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2B8AD660-9E83-6A41-89CA-B0FC1AD6D135}"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T279" i="1"/>
  <c r="BT280" i="1"/>
  <c r="BT281" i="1"/>
  <c r="BT282" i="1"/>
  <c r="BT283" i="1"/>
  <c r="BT284" i="1"/>
  <c r="BT285" i="1"/>
  <c r="BT286"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<sst xmlns="http://schemas.openxmlformats.org/spreadsheetml/2006/main" count="59434" uniqueCount="19205">
  <si>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</si>
  <si>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</si>
  <si>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</si>
  <si>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</si>
  <si>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</si>
  <si>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</si>
  <si>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</si>
  <si>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</si>
  <si>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</si>
  <si>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</si>
  <si>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</si>
  <si>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</si>
  <si>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</si>
  <si>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</si>
  <si>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</si>
  <si>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</si>
  <si>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</si>
  <si>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</si>
  <si>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</si>
  <si>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</si>
  <si>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</si>
  <si>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</si>
  <si>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</si>
  <si>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</si>
  <si>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</si>
  <si>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</si>
  <si>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</si>
  <si>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</si>
  <si>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</si>
  <si>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</si>
  <si>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</si>
  <si>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</si>
  <si>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</si>
  <si>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</si>
  <si>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</si>
  <si>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</si>
  <si>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</si>
  <si>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</si>
  <si>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</si>
  <si>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</si>
  <si>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</si>
  <si>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</si>
  <si>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</si>
  <si>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</si>
  <si>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</si>
  <si>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</si>
  <si>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</si>
  <si>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</si>
  <si>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</si>
  <si>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</si>
  <si>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</si>
  <si>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</si>
  <si>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</si>
  <si>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</si>
  <si>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</si>
  <si>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</si>
  <si>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</si>
  <si>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</si>
  <si>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</si>
  <si>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</si>
  <si>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</si>
  <si>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</si>
  <si>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</si>
  <si>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</si>
  <si>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</si>
  <si>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</si>
  <si>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</si>
  <si>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</si>
  <si>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</si>
  <si>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</si>
  <si>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</si>
  <si>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</si>
  <si>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</si>
  <si>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Cavan, EL; Laurenceau-Cornec, EC; Bressac, M; Boyd, PW</t>
  </si>
  <si>
    <t/>
  </si>
  <si>
    <t>Cavan, E. L.; Laurenceau-Cornec, E. C.; Bressac, M.; Boyd, P. W.</t>
  </si>
  <si>
    <t>Exploring the ecology of the mesopelagic biological pump</t>
  </si>
  <si>
    <t>PROGRESS IN OCEANOGRAPHY</t>
  </si>
  <si>
    <t>English</t>
  </si>
  <si>
    <t>Review</t>
  </si>
  <si>
    <t>Carbon cycle; Mesopelagic zone; Biological pump; Particulate organic carbon; Carbon sequestration</t>
  </si>
  <si>
    <t>PARTICULATE ORGANIC-CARBON; DIATOM RESTING SPORES; ZOOPLANKTON FECAL PELLETS; PORCUPINE ABYSSAL-PLAIN; NORTH-ATLANTIC OCEAN; MARINE-SNOW; PARTICLE-FLUX; VERTICAL MIGRATION; SINKING VELOCITY; TWILIGHT ZONE</t>
  </si>
  <si>
    <t>The oceans' biological pump (BP) exports large amounts of particulate organic carbon (POC) to the mesopelagic zone (base of the euphotic zone - 1000 m depth). The efficiency at which POC is transferred through the mesopelagic zone determines the size of the deep ocean carbon store. Few observational BP studies focus on the mesopelagic, often leading to the need to oversimplify the representation of processes within this depth horizon in numerical models. In this review, we identify and describe three interlinked biological processes that act to regulate and control the transfer efficiency of POC through the mesopelagic zone; (1) direct sinking of phytoplankton cells and aggregates, (2) zooplankton community structure and (3) the microbial loop and associated carbon pump. We reveal previously unidentified relationships between planktonic community structure and POC transfer efficiency for specific regions. We also compare mesopelagic POC remineralisation depth (a proxy for POC transfer efficiency) with the permanent thermocline in different regions. Our analysis shows that even when mesopelagic POC transfer efficiency is low, such a transfer efficiency does not necessarily mean low carbon sequestration if the permanent thermocline is shallow, and we define a carbon sequestration ratio (C-seq, the remineralisation depth divided by the permanent thermocline) to highlight this. Low latitude regions typically have a higher C-seq than temperate and polar regions, and thus could be more important in transferring carbon on long timescales than previously thought. POC transfer efficiency should be regularly discussed in the context of the physical water properties such as the permanent thermocline, to truly assess an oceanic region's ability to sequester carbon. Improved understanding of mesopelagic ecological processes and links to surface processes will better constrain ecosystem models and improve projections of the future global carbon cycle.</t>
  </si>
  <si>
    <t>[Cavan, E. L.; Laurenceau-Cornec, E. C.; Bressac, M.; Boyd, P. W.] Univ Tasmania, Inst Marine &amp; Antarctic Studies, 20 Castray Esplanade, Battery Point, Tas 7004, Australia; [Boyd, P. W.] Univ Tasmania, Antarctic Climate &amp; Ecosyst CRC, 20 Castray Esplanade, Battery Point, Tas 7004, Australia</t>
  </si>
  <si>
    <t>University of Tasmania; University of Tasmania</t>
  </si>
  <si>
    <t>Cavan, EL (corresponding author), Imperial Coll London, Dept Life Sci, Silwood Pk Campus,Buckhurst Rd, Ascot SL5 7PY, Berks, England.</t>
  </si>
  <si>
    <t>e.cavan@imperial.ac.uk</t>
  </si>
  <si>
    <t>Cavan, Emma/AFY-2671-2022; Boyd, Philip W/J-7624-2014</t>
  </si>
  <si>
    <t>Bressac, Matthieu/0000-0003-3075-3137</t>
  </si>
  <si>
    <t>Australian Research Council [FL160100131]; Australian Research Council [FL160100131] Funding Source: Australian Research Council</t>
  </si>
  <si>
    <t>Australian Research Council(Australian Research Council); Australian Research Council(Australian Research Council)</t>
  </si>
  <si>
    <t>We would like to thank David Johns from the Marine Biological Association (Plymouth, UK) for the Continuous Plankton Recorder data and Dr Stephanie Henson for the global particulate organic carbon flux data sets. This study was funded by the Australian Research Council by a Laureate awarded to PB (FL160100131).</t>
  </si>
  <si>
    <t>PERGAMON-ELSEVIER SCIENCE LTD</t>
  </si>
  <si>
    <t>OXFORD</t>
  </si>
  <si>
    <t>THE BOULEVARD, LANGFORD LANE, KIDLINGTON, OXFORD OX5 1GB, ENGLAND</t>
  </si>
  <si>
    <t>0079-6611</t>
  </si>
  <si>
    <t>PROG OCEANOGR</t>
  </si>
  <si>
    <t>Prog. Oceanogr.</t>
  </si>
  <si>
    <t>SEP</t>
  </si>
  <si>
    <t>10.1016/j.pocean.2019.102125</t>
  </si>
  <si>
    <t>Oceanography</t>
  </si>
  <si>
    <t>Science Citation Index Expanded (SCI-EXPANDED)</t>
  </si>
  <si>
    <t>IU2LL</t>
  </si>
  <si>
    <t>2024-04-21</t>
  </si>
  <si>
    <t>WOS:000483411800017</t>
  </si>
  <si>
    <t>Carman, VG; Piola, A; O'Brien, TD; Tormosov, DD; Acha, EM</t>
  </si>
  <si>
    <t>Gonzalez Carman, Victoria; Piola, Alberto; O'Brien, Todd D.; Tormosov, Dmitriy D.; Marcelo Acha, E.</t>
  </si>
  <si>
    <t>Circumpolar frontal systems as potential feeding grounds of Southern Right whales</t>
  </si>
  <si>
    <t>Article</t>
  </si>
  <si>
    <t>Southern Hemisphere; Eubalaena australis; Subtropical Front; Polar Front; Species distribution modelling; Whaling</t>
  </si>
  <si>
    <t>NORTH-ATLANTIC RIGHT; SEA-SURFACE TEMPERATURE; ANTARCTIC POLAR FRONT; EUBALAENA-AUSTRALIS; SUBTROPICAL CONVERGENCE; RELATIVE ABUNDANCE; PENINSULA VALDES; STABLE-ISOTOPES; BALEEN WHALES; LOWER BAY</t>
  </si>
  <si>
    <t>All subpopulations of Southern Right whales (SRWs) have been subject of intense commercial whaling during the 18th, 19th and 20th centuries. Although the abundance and population status of some subpopulations are improving, their recovery could be compromised if inadequate advice are given rooted in poor data on basic aspects of their ecology, such as the location of feeding grounds. In this study, we combine historical whaling data with key environmental features known to be important for Balaenids to predict the offshore distribution of SRWs throughout the Southern Hemisphere using monthly Ensemble Distribution Models. We found that the location of potential feeding grounds of SRWs changes from mid-latitude shelf and oceanic waters in September towards higher latitude waters in December, a situation that holds throughout the summer. In March and April, suitable feeding grounds reach their minimum geographic coverage, being mostly restricted to areas near calving grounds. We also provide evidence that highly suitable areas of SRWs overlap with the Subtropical Frontal Zone and the Polar Front, so these frontal systems stand as important potential feeding grounds for SRWs from late spring to early fall at circumpolar scale. Improved identification of offshore feeding areas of SRWs will require more efforts to directly observe vast areas of the open ocean and to track individuals from calving to feeding grounds.</t>
  </si>
  <si>
    <t>[Gonzalez Carman, Victoria; Marcelo Acha, E.] UNMdP, CONICET, FCEyN, IIMYC, CC1260, RA-7600 Mar Del Plata, Buenos Aires, Argentina; [Gonzalez Carman, Victoria; Marcelo Acha, E.] Inst Invest &amp; Desarrollo Pesquero INIDEP, Mar Del Plata, Buenos Aires, Argentina; [Piola, Alberto] Serv Hidrog Naval, Dept Oceanog, Buenos Aires, DF, Argentina; [Piola, Alberto] Consejo Nacl Invest Cient &amp; Tecn, Buenos Aires, DF, Argentina; [Piola, Alberto] Univ Buenos Aires, FCEyN, Inst Franco Argentino Estudios Clima &amp; Sus Impact, Buenos Aires, DF, Argentina; [Piola, Alberto] Univ Buenos Aires, FCEyN, Dept Ciencias Atmosfera &amp; Oceartos, Buenos Aires, DF, Argentina; [O'Brien, Todd D.] NOAA, NMFS, Silver Spring, MD USA; [Tormosov, Dmitriy D.] K Marks St 76-5, Kaliningrad, Russia</t>
  </si>
  <si>
    <t>National University of Mar del Plata; Consejo Nacional de Investigaciones Cientificas y Tecnicas (CONICET); National Fisheries Research &amp; Development Institute (INIDEP); Servicio de Hidrografia Naval; Consejo Nacional de Investigaciones Cientificas y Tecnicas (CONICET); University of Buenos Aires; University of Buenos Aires; National Oceanic Atmospheric Admin (NOAA) - USA</t>
  </si>
  <si>
    <t>Carman, VG (corresponding author), Paseo Victoria Ocampo 1, RA-7600 Mar Del Plata, Buenos Aires, Argentina.</t>
  </si>
  <si>
    <t>vgcarman@inidep.edu.ar</t>
  </si>
  <si>
    <t>Piola, Alberto/HZI-5475-2023; Piola, Alberto/O-2280-2013</t>
  </si>
  <si>
    <t>Piola, Alberto/0000-0002-5003-8926</t>
  </si>
  <si>
    <t>10.1016/j.pocean.2019.102123</t>
  </si>
  <si>
    <t>WOS:000483411800011</t>
  </si>
  <si>
    <t>Hendry, KR; Huvenne, VAI; Robinson, LF; Annett, A; Badger, M; Jacobel, AW; Ng, HC; Opher, J; Pickering, RA; Taylor, ML; Bates, SL; Cooper, A; Cushman, GG; Goodwin, C; Hoy, S; Rowland, G; Samperiz, A; Williams, JA; Achterberg, EP; Arrowsmith, C; Brearley, JA; Henley, SF; Krause, JW; Leng, MJ; Li, T; McManus, JF; Meredith, MP; Perkins, R; Woodward, EMS</t>
  </si>
  <si>
    <t>Hendry, Katharine R.; Huvenne, Veerle A. I.; Robinson, Laura F.; Annett, Amber; Badger, Marcus; Jacobel, Allison W.; Hong Chin Ng; Opher, Jacob; Pickering, Rebecca A.; Taylor, Michelle L.; Bates, Stephanie L.; Cooper, Adam; Cushman, Grace G.; Goodwin, Claire; Hoy, Shannon; Rowland, George; Samperiz, Ana; Williams, James A.; Achterberg, Eric P.; Arrowsmith, Carol; Brearley, J. Alexander; Henley, Sian F.; Krause, Jeffrey W.; Leng, Melanie J.; Li, Tao; McManus, Jerry F.; Meredith, Michael P.; Perkins, Rupert; Woodward, E. Malcolm S.</t>
  </si>
  <si>
    <t>The biogeochemical impact of glacial meltwater from Southwest Greenland</t>
  </si>
  <si>
    <t>Biogeochemistry; Nutrients; Glaciers; Primary production; Silica cycling</t>
  </si>
  <si>
    <t>SUBPOLAR NORTH-ATLANTIC; ICE-SHEET; FRESH-WATER; BIOGENIC SILICA; LABRADOR SEA; ANTARCTIC PENINSULA; EARLY DIAGENESIS; MASS-BALANCE; OCEAN; CIRCULATION</t>
  </si>
  <si>
    <t>Biogeochemical cycling in high-latitude regions has a disproportionate impact on global nutrient budgets. Here, we introduce a holistic, multi-disciplinary framework for elucidating the influence of glacial meltwaters, shelf currents, and biological production on biogeochemical cycling in high-latitude continental margins, with a focus on the silica cycle. Our findings highlight the impact of significant glacial discharge on nutrient supply to shelf and slope waters, as well as surface and benthic production in these regions, over a range of timescales from days to thousands of years. Whilst biological uptake in fjords and strong diatom activity in coastal waters maintains low dissolved silicon concentrations in surface waters, we find important but spatially heterogeneous additions of particulates into the system, which are transported rapidly away from the shore. We expect the glacially-derived particles - together with biogenic silica tests - to be cycled rapidly through shallow sediments, resulting in a strong benthic flux of dissolved silicon. Entrainment of this benthic silicon into boundary currents may supply an important source of this key nutrient into the Labrador Sea, and is also likely to recirculate back into the deep fjords inshore. This study illustrates how geochemical and oceanographic analyses can be used together to probe further into modern nutrient cycling in this region, as well as the palaeoclimatological approaches to investigating changes in glacial meltwater discharge through time, especially during periods of rapid climatic change in the Late Quaternary.</t>
  </si>
  <si>
    <t>[Hendry, Katharine R.; Robinson, Laura F.; Hong Chin Ng; Bates, Stephanie L.; Rowland, George; Samperiz, Ana; Li, Tao] Univ Bristol, Sch Earth Sci, Wills Mem Bldg,Queens Rd, Bristol BS8 1RJ, Avon, England; [Huvenne, Veerle A. I.] Univ Southampton, Natl Oceanog Ctr, Waterfront Campus,European Way, Southampton SO14 3ZH, Hants, England; [Annett, Amber; Cooper, Adam] Univ Southampton, Ocean &amp; Earth Sci, Waterfront Campus,European Way, Southampton SO14 3ZH, Hants, England; [Badger, Marcus] Open Univ, Sch Environm Earth &amp; Ecosyst Sci, Walton Hall, Milton Keynes MK7 6AA, Bucks, England; [Jacobel, Allison W.; Cushman, Grace G.; McManus, Jerry F.] Columbia Univ, Lamont Doherty Earth Observ, 61 US-9W, Palisades, NY 10964 USA; [Jacobel, Allison W.] Brown Univ, Envirom &amp; Soc, 85 Waterman St, Providence, RI 02912 USA; [Opher, Jacob; Brearley, J. Alexander; Meredith, Michael P.] British Antarctic Survey, Madingley Rd, Cambridge CB3 0ET, England; [Opher, Jacob] Univ East Anglia, Sch Environm Sci, Ctr Ocean &amp; Atmospher Sci, Norwich Res Pk, Norwich NR4 7TJ, Norfolk, England; [Opher, Jacob] Ctr Environm Fisheries &amp; Aquaculture Sci, Pakefield Rd, Lowestoft NR33 0HT, Suffolk, England; [Pickering, Rebecca A.; Krause, Jeffrey W.] Dauphin Isl Sea Lab, 101 Bienville Blvd, Dauphin Isl, AL 36528 USA; [Pickering, Rebecca A.; Krause, Jeffrey W.] Univ S Alabama, Mobile, AL 36688 USA; [Taylor, Michelle L.] Univ Essex, Sch Biol Sci, Wivenhoe Pk, Colchester CO4 3SQ, Essex, England; [Goodwin, Claire] Huntsman Marine Sci Ctr, 1 Lower Campus Rd, St Andrews, NB ESB 2L7, Canada; [Hoy, Shannon] Jere A Chase Ocean Engn Lab, Joint Hydrog Ctr, Ctr Coastal &amp; Ocean Mapping, 24 Colovos Rd, Durham, NH 03824 USA; [Samperiz, Ana; Williams, James A.; Perkins, Rupert] Cardiff Univ, Sch Earth &amp; Ocean Sci, Main Bldg,Pk Pl, Cardiff CF10 3AT, S Glam, Wales; [Achterberg, Eric P.] GEOMAR Helmholtz Ctr Ocean Res, Wischhofstr 1-3, D-24148 Kiel, Germany; [Arrowsmith, Carol; Leng, Melanie J.] British Geol Survey, NERC Isotope Geosci Facil, Nottingham NG12 3GG, England; [Henley, Sian F.] Univ Edinburgh, Sch GeoSci, James Hutton Rd, Edinburgh EH9 3FE, Midlothian, Scotland; [Leng, Melanie J.] Univ Nottingham, Sch Biosci, Ctr Environm Geochem, Sutton Bonington Campus, Loughborough LE12 5RD, Leics, England; [Woodward, E. Malcolm S.] Plymouth Marine Lab, Prospect Pl, Plymouth PL1 3DH, Devon, England</t>
  </si>
  <si>
    <t>University of Bristol; NERC National Oceanography Centre; University of Southampton; University of Southampton; Open University - UK; Columbia University; Brown University; UK Research &amp; Innovation (UKRI); Natural Environment Research Council (NERC); NERC British Antarctic Survey; University of East Anglia; Centre for Environment Fisheries &amp; Aquaculture Science; Dauphin Island Sea Lab; University of South Alabama; University of Essex; Cardiff University; Helmholtz Association; GEOMAR Helmholtz Center for Ocean Research Kiel; UK Research &amp; Innovation (UKRI); Natural Environment Research Council (NERC); NERC British Geological Survey; University of Edinburgh; University of Nottingham; Plymouth Marine Laboratory</t>
  </si>
  <si>
    <t>Hendry, KR (corresponding author), Univ Bristol, Sch Earth Sci, Wills Mem Bldg,Queens Rd, Bristol BS8 1RJ, Avon, England.</t>
  </si>
  <si>
    <t>K.Hendry@bristol.ac.uk</t>
  </si>
  <si>
    <t>Taylor, Michelle/AAY-3864-2021; Achterberg, Eric P/C-5820-2009; Li, Tao/ITW-0434-2023; Pickering, Rebecca A/ABB-4873-2021; Woodward, Ernest M S/D-5755-2016; Badger, Marcus/A-3607-2014; Taylor, Michelle/C-3918-2015; Hendry, Katharine/E-4793-2011</t>
  </si>
  <si>
    <t>Li, Tao/0000-0002-9975-152X; Pickering, Rebecca A/0000-0001-5295-2976; Ng, Hong Chin/0000-0002-2707-8372; Huvenne, Veerle A.I./0000-0001-7135-6360; Rowland, George/0000-0001-8721-0550; Samperiz, Ana/0000-0002-9553-1124; Annett, Amber/0000-0002-3730-2438; mcmanus, jerry/0000-0002-7365-1600; Goodwin, Claire/0000-0002-2428-1340; Meredith, Michael/0000-0002-7342-7756; Badger, Marcus/0000-0001-8195-5244; Bates, Stephanie L/0000-0003-2064-6362; Krause, Jeffrey/0000-0003-2479-6229; Taylor, Michelle/0000-0001-7271-4385; Hendry, Katharine/0000-0002-0790-5895</t>
  </si>
  <si>
    <t>European Research Council (ERC) [DY081, 678371]; US-NSF; NERC [NE/S001743/1, NE/P006108/1, bosc01001, noc010011, NE/L011166/1, NE/R015953/1, bas0100033, NE/P017630/1, NE/S00954X/1] Funding Source: UKRI</t>
  </si>
  <si>
    <t>European Research Council (ERC)(European Research Council (ERC)Spanish Government); US-NSF(National Science Foundation (NSF)); NERC(UK Research &amp; Innovation (UKRI)Natural Environment Research Council (NERC))</t>
  </si>
  <si>
    <t>The authors would like to thank the Captain and crew of the RRS Discovery, the National Marine Facility technicians, David Turner, and project manager, Daniel Comben, National Oceanography Centre Southampton (NOCS). Many thanks to Sinhue Torres -Valdes and Christopher D. Coath for assistance in the laboratory, and the Marine Geoscience group at NOCS for providing the core-splitter. Additional thanks to Lorenz Meire and colleagues at the Greenland Institute of Natural Resources. Funding for DY081 was from the European Research Council (ERC Starting Grant 678371 ICY-LAB). The contributions of AWJ, GGC, and JFM were supported in part by the US-NSF.</t>
  </si>
  <si>
    <t>10.1016/j.pocean.2019.102126</t>
  </si>
  <si>
    <t>Green Accepted, Green Submitted</t>
  </si>
  <si>
    <t>WOS:000483411800009</t>
  </si>
  <si>
    <t>Silva, CNS; Villacorta-Rath, C; Woodings, LN; Murphy, NP; Green, BS; Hartmann, K; Gardner, C; Bell, JJ; Strugnell, JM</t>
  </si>
  <si>
    <t>Silva, Catarina N. S.; Villacorta-Rath, Cecilia; Woodings, Laura N.; Murphy, Nicholas P.; Green, Bridget S.; Hartmann, Klaas; Gardner, Caleb; Bell, James J.; Strugnell, Jan M.</t>
  </si>
  <si>
    <t>Advancing our understanding of the connectivity, evolution and management of marine lobsters through genetics</t>
  </si>
  <si>
    <t>REVIEWS IN FISH BIOLOGY AND FISHERIES</t>
  </si>
  <si>
    <t>Adaptation; Close-kin-mark-recapture; Connectivity; Genomics; Lobster; Management</t>
  </si>
  <si>
    <t>SOUTHERN ROCK LOBSTER; MITOCHONDRIAL-DNA VARIATION; EUROPEAN SPINY LOBSTER; AMERICAN LOBSTER; JASUS-EDWARDSII; HOMARUS-AMERICANUS; NEW-ZEALAND; POPULATION-STRUCTURE; MOLECULAR PHYLOGENY; BIOPHYSICAL MODELS</t>
  </si>
  <si>
    <t>The genomic revolution has provided powerful insights into the biology and ecology of many non-model organisms. Genetic tools have been increasingly applied to marine lobster research in recent years and have improved our understanding of species delimitation and population connectivity. High resolution genomic markers are just beginning to be applied to lobsters and are now starting to revolutionise our understanding of fine spatial and temporal scales of population connectivity and adaptation to environmental conditions. Lobsters play an important role in the ecosystem and many species are commercially exploited but many aspects of their biology is still largely unknown. Genetics is a powerful tool that can further contribute to our understanding of their ecology and evolution and assist management. Here we illustrate how recent genetic advancements are (1) leading to a step change in our understanding of evolution and adaptation, (2) elucidating factors driving connectivity and recruitment, (3) revealing insights into ecological processes and can (4) potentially revolutionise management of this commercially important group. We discuss how improvements in sequencing technologies and statistical methods for genetic data analyses combined with increased sampling efforts and careful sampling design have transformed our understanding of lobsters biology in recent years. We also highlight possible future directions in the application of genomic tools to lobster research that can aid management, in particular, the close-kin-mark-recapture method. Finally, we identify gaps and challenges in lobster research, such as the lack of any reference genomes and predictions on how lobsters will respond to future environmental conditions.</t>
  </si>
  <si>
    <t>[Silva, Catarina N. S.; Strugnell, Jan M.] James Cook Univ, Ctr Sustainable Trop Fisheries &amp; Aquaculture, Townsville, Qld 4810, Australia; [Villacorta-Rath, Cecilia; Green, Bridget S.; Hartmann, Klaas; Gardner, Caleb] Univ Tasmania, Inst Marine &amp; Antarctic Studies, Hobart, Tas 7001, Australia; [Woodings, Laura N.; Murphy, Nicholas P.; Strugnell, Jan M.] La Trobe Univ, Dept Ecol Environm &amp; Evolut, Melbourne, Vic 3086, Australia; [Bell, James J.] Victoria Univ Wellington, Sch Biol Sci, Wellington 6140, New Zealand</t>
  </si>
  <si>
    <t>James Cook University; University of Tasmania; La Trobe University; Melbourne Genomics Health Alliance; Victoria University Wellington</t>
  </si>
  <si>
    <t>Silva, CNS (corresponding author), James Cook Univ, Ctr Sustainable Trop Fisheries &amp; Aquaculture, Townsville, Qld 4810, Australia.</t>
  </si>
  <si>
    <t>catari.bio@gmail.com</t>
  </si>
  <si>
    <t>Silva, Catarina/GVS-9316-2022; Silva, Catarina N. S./A-8402-2008; Villacorta-Rath, Cecilia/G-8819-2013; Green, Bridget S/G-3368-2014; Hartmann, Klaas/B-3991-2008; Strugnell, Jan M/P-9921-2016</t>
  </si>
  <si>
    <t>Silva, Catarina N. S./0000-0001-9401-2616; Villacorta-Rath, Cecilia/0000-0002-1060-5447;</t>
  </si>
  <si>
    <t>Australian Research Council [DP150101491]</t>
  </si>
  <si>
    <t>Australian Research Council(Australian Research Council)</t>
  </si>
  <si>
    <t>Funding for this research was provided by an Australian Research Council Discovery Project awarded to JMS, NPM, BSG and JJB (Project No. DP150101491).</t>
  </si>
  <si>
    <t>SPRINGER</t>
  </si>
  <si>
    <t>DORDRECHT</t>
  </si>
  <si>
    <t>VAN GODEWIJCKSTRAAT 30, 3311 GZ DORDRECHT, NETHERLANDS</t>
  </si>
  <si>
    <t>0960-3166</t>
  </si>
  <si>
    <t>1573-5184</t>
  </si>
  <si>
    <t>REV FISH BIOL FISHER</t>
  </si>
  <si>
    <t>Rev. Fish. Biol. Fish.</t>
  </si>
  <si>
    <t>10.1007/s11160-019-09573-z</t>
  </si>
  <si>
    <t>Fisheries; Marine &amp; Freshwater Biology</t>
  </si>
  <si>
    <t>IO3EX</t>
  </si>
  <si>
    <t>Green Accepted</t>
  </si>
  <si>
    <t>WOS:000479264500009</t>
  </si>
  <si>
    <t>Vernet, M; Geibert, W; Hoppema, M; Brown, PJ; Haas, C; Hellmer, HH; Jokat, W; Jullion, L; Mazloff, M; Bakker, DCE; Brearley, JA; Croot, P; Hattermann, T; Hauck, J; Hillenbrand, CD; Hoppe, CJM; Huhn, O; Koch, BP; Lechtenfeld, OJ; Meredith, MP; Garabato, ACN; Nöthig, EM; Peeken, I; van der Loeff, MMR; Schmidtko, S; Schröder, M; Strass, VH; Torres-Valdés, S; Verdy, A</t>
  </si>
  <si>
    <t>Vernet, M.; Geibert, W.; Hoppema, M.; Brown, P. J.; Haas, C.; Hellmer, H. H.; Jokat, W.; Jullion, L.; Mazloff, M.; Bakker, D. C. E.; Brearley, J. A.; Croot, P.; Hattermann, T.; Hauck, J.; Hillenbrand, C. -D.; Hoppe, C. J. M.; Huhn, O.; Koch, B. P.; Lechtenfeld, O. J.; Meredith, M. P.; Garabato, A. C. Naveira; Noethig, E-M.; Peeken, I.; van der Loeff, M. M. Rutgers; Schmidtko, S.; Schroeder, M.; Strass, V. H.; Torres-Valdes, S.; Verdy, A.</t>
  </si>
  <si>
    <t>The Weddell Gyre, Southern Ocean: Present Knowledge and Future Challenges</t>
  </si>
  <si>
    <t>REVIEWS OF GEOPHYSICS</t>
  </si>
  <si>
    <t>Weddell Gyre; Weddell Sea; Antarctica; oceanography; regional models; long-termsampling</t>
  </si>
  <si>
    <t>ANTARCTIC SEA-ICE; DISSOLVED ORGANIC-MATTER; CIRCUMPOLAR DEEP-WATER; SILVERFISH PLEURAGRAMMA-ANTARCTICUM; FECAL PELLET PRODUCTION; TROUGH-MOUTH FAN; BOTTOM-WATER; ATLANTIC SECTOR; AUSTRAL SUMMER; SEASONAL VARIABILITY</t>
  </si>
  <si>
    <t>The Weddell Gyre (WG) is one of the main oceanographic features of the Southern Ocean south of the Antarctic Circumpolar Current which plays an influential role in global ocean circulation as well as gas exchange with the atmosphere. We review the state-of-the art knowledge concerning the WG from an interdisciplinary perspective, uncovering critical aspects needed to understand this system's role in shaping the future evolution of oceanic heat and carbon uptake over the next decades. The main limitations in our knowledge are related to the conditions in this extreme and remote environment, where the polar night, very low air temperatures, and presence of sea ice year-round hamper field and remotely sensed measurements. We highlight the importance of winter and under-ice conditions in the southern WG, the role that new technology will play to overcome present-day sampling limitations, the importance of the WG connectivity to the low-latitude oceans and atmosphere, and the expected intensification of the WG circulation as the westerly winds intensify. Greater international cooperation is needed to define key sampling locations that can be visited by any research vessel in the region. Existing transects sampled since the 1980s along the Prime Meridian and along an East-West section at similar to 62 degrees S should be maintained with regularity to provide answers to the relevant questions. This approach will provide long-term data to determine trends and will improve representation of processes for regional, Antarctic-wide, and global modeling efforts-thereby enhancing predictions of the WG in global ocean circulation and climate.</t>
  </si>
  <si>
    <t>[Vernet, M.; Mazloff, M.; Verdy, A.] Scripps Inst Oceanog, La Jolla, CA 92037 USA; [Geibert, W.; Hoppema, M.; Haas, C.; Hellmer, H. H.; Jokat, W.; Hattermann, T.; Hauck, J.; Hoppe, C. J. M.; Koch, B. P.; Noethig, E-M.; Peeken, I.; van der Loeff, M. M. Rutgers; Schroeder, M.; Strass, V. H.; Torres-Valdes, S.] Helmholtz Ctr Polar &amp; Marine Res, Alfred Wegener Inst, Bremerhaven, Germany; [Brown, P. J.; Torres-Valdes, S.] Natl Oceanog Ctr, Southampton, Hants, England; [Jullion, L.] Inst Mediterraneen Oceanol, Marseille, France; [Bakker, D. C. E.] Univ East Anglia, Sch Environm Sci, Ctr Ocean &amp; Atmospher Sci, Norwich, Norfolk, England; [Brearley, J. A.; Hillenbrand, C. -D.; Meredith, M. P.] British Antarctic Survey, Cambridge, England; [Croot, P.] Natl Univ Ireland, Earth &amp; Ocean Sci, Irish Ctr Res Appl Geosci iCRAG NUIG, Galway, Ireland; [Hattermann, T.] Fram Ctr, Norwegian Polar Inst, Tromso, Norway; [Huhn, O.] Univ Bremen, Inst Environm Phys, Bremen, Germany; [Lechtenfeld, O. J.] Helmholtz Ctr Environm Res, Leipzig, Germany; [Garabato, A. C. Naveira] Univ Southampton, Natl Oceanog Ctr, Southampton, Hants, England; [Schmidtko, S.] GEOMAR Helmholtz Ctr Ocean Res, Kiel, Germany</t>
  </si>
  <si>
    <t>University of California System; University of California San Diego; Scripps Institution of Oceanography; Helmholtz Association; Alfred Wegener Institute, Helmholtz Centre for Polar &amp; Marine Research; NERC National Oceanography Centre; Aix-Marseille Universite; University of East Anglia; UK Research &amp; Innovation (UKRI); Natural Environment Research Council (NERC); NERC British Antarctic Survey; Ollscoil na Gaillimhe-University of Galway; Norwegian Polar Institute; University of Bremen; Helmholtz Association; Helmholtz Center for Environmental Research (UFZ); University of Southampton; NERC National Oceanography Centre; Helmholtz Association; GEOMAR Helmholtz Center for Ocean Research Kiel</t>
  </si>
  <si>
    <t>Vernet, M (corresponding author), Scripps Inst Oceanog, La Jolla, CA 92037 USA.</t>
  </si>
  <si>
    <t>mvernet@ucsd.edu</t>
  </si>
  <si>
    <t>Koch, Boris/B-2784-2009; Verdy, Ariane/B-6470-2008; Schmidtko, Sunke/F-3355-2011; Hauck, Judith/AAC-3967-2019; Hoppe, Clara Jule Marie/AFT-1558-2022; Brown, Peter/AAN-4372-2020; Lechtenfeld, Oliver J./A-6480-2013; Garabato, Alberto Naveira/AAQ-1114-2020; Mazloff, Matthew/AAG-6463-2019; Nöthig, Eva-Maria/AAS-7253-2021; Torres-Valdés, Sinhué/O-6436-2019; Geibert, Walter/ABA-9785-2020; Haas, Christian/L-5279-2016; Hoppema, Mario/I-6286-2013; Jullion, Loic/B-3304-2011; Bakker, Dorothee/E-4951-2015</t>
  </si>
  <si>
    <t>Koch, Boris/0000-0002-8453-731X; Hauck, Judith/0000-0003-4723-9652; Hoppe, Clara Jule Marie/0000-0002-2509-0546; Brown, Peter/0000-0002-1152-1114; Lechtenfeld, Oliver J./0000-0001-5313-6014; Garabato, Alberto Naveira/0000-0001-6071-605X; Mazloff, Matthew/0000-0002-1650-5850; Torres-Valdés, Sinhué/0000-0003-2749-4170; Geibert, Walter/0000-0001-8646-2334; Haas, Christian/0000-0002-7674-3500; Peeken, Ilka/0000-0003-1531-1664; Verdy, Ariane/0000-0002-2774-2691; Jokat, Wilfried/0000-0002-7793-5854; Hoppema, Mario/0000-0002-2326-619X; Nothig, Eva-Maria/0000-0002-7527-7827; Jullion, Loic/0000-0001-6269-6750; Hellmer, Hartmut/0000-0002-9357-9853; Bakker, Dorothee/0000-0001-9234-5337; Meredith, Michael/0000-0002-7342-7756</t>
  </si>
  <si>
    <t>Hanse-Wissenschaftskolleg (Hanse Institute of Advanced Studies), Delmenhorst, Germany; Priority Program Antarctic Research with comparative investigations in Arctic ice areas of the German Science Foundation (DFG) [SPP 1158]; US National Science Foundation [OPP-1443705]; NERC [bas0100033, NE/K013181/1, noc010009, bas0100030, NE/L011166/1, NE/E005667/1] Funding Source: UKRI</t>
  </si>
  <si>
    <t>Hanse-Wissenschaftskolleg (Hanse Institute of Advanced Studies), Delmenhorst, Germany; Priority Program Antarctic Research with comparative investigations in Arctic ice areas of the German Science Foundation (DFG)(German Research Foundation (DFG)); US National Science Foundation(National Science Foundation (NSF)); NERC(UK Research &amp; Innovation (UKRI)Natural Environment Research Council (NERC))</t>
  </si>
  <si>
    <t>No new data were used in producing this publication. The public or published data used for each figure are indicated in the legend. The authors state that there is no conflict of interest in publishing this work. The authors thank B.J. Pan for curating the references as well as A. Leventer, E. Rosenblum, M. Cape, and A.L. Cusick, K. Forsch, M. Lindeman, and L. Manck for editing the text. We would like to acknowledge the support from D. Meyerdierks and the Hanse-Wissenschaftskolleg (Hanse Institute of Advanced Studies), Delmenhorst, Germany, for funding of the International Weddell Gyre Workshop in September 2012 and a Fellowship to M.V. during 2015-2016. Several German coauthors acknowledge the Priority Program (SPP 1158) Antarctic Research with comparative investigations in Arctic ice areas of the German Science Foundation (DFG). M.V acknowledges support from the US National Science Foundation grant OPP-1443705.</t>
  </si>
  <si>
    <t>AMER GEOPHYSICAL UNION</t>
  </si>
  <si>
    <t>WASHINGTON</t>
  </si>
  <si>
    <t>2000 FLORIDA AVE NW, WASHINGTON, DC 20009 USA</t>
  </si>
  <si>
    <t>8755-1209</t>
  </si>
  <si>
    <t>1944-9208</t>
  </si>
  <si>
    <t>REV GEOPHYS</t>
  </si>
  <si>
    <t>Rev. Geophys.</t>
  </si>
  <si>
    <t>10.1029/2018RG000604</t>
  </si>
  <si>
    <t>Geochemistry &amp; Geophysics</t>
  </si>
  <si>
    <t>JH5GI</t>
  </si>
  <si>
    <t>hybrid, Green Published, Green Accepted</t>
  </si>
  <si>
    <t>WOS:000492796700001</t>
  </si>
  <si>
    <t>Venero, ECS; Ricardi, MM; Gomez-Lozano, M; Molin, S; Tribelli, PM; Lopez, NI</t>
  </si>
  <si>
    <t>Solar Venero, Esmeralda C.; Ricardi, Martiniano M.; Gomez-Lozano, Maria; Molin, Soren; Tribelli, Paula M.; Lopez, Nancy, I</t>
  </si>
  <si>
    <t>Oxidative stress under low oxygen conditions triggers hyperflagellation and motility in the Antarctic bacterium Pseudomonas extremaustralis</t>
  </si>
  <si>
    <t>EXTREMOPHILES</t>
  </si>
  <si>
    <t>RNA-seq; Biofilms; Low oxygen availability; Antioxidative enzymes; Chemotaxis; Reactive oxygen species</t>
  </si>
  <si>
    <t>BIOFILM FORMATION; GLOBAL REGULATOR; GENOME SEQUENCE; CATALASE KATA; REDOX STATE; ANR; CHEMOTAXIS; ADAPTATION; RESISTANCE; FLAGELLAR</t>
  </si>
  <si>
    <t>Reactive oxygen species and nitrogen species (ROS and RNS), produced in a wide range of physiological process even under low oxygen availability, are among the main stressors found in the environment. Strategies developed to combat them constitute key features in bacterial adaptability and survival. Pseudomonas extremaustralis is a metabolic versatile and stress resistant Antarctic bacterium, able to grow under different oxygen conditions. The present work explores the effect of oxidative stress under low oxygen conditions in P. extremaustralis, by combining RNA deep sequencing analysis and physiological studies. Cells grown under microaerobiosis exhibited more oxidative damage in macromolecules and lower survival rates than under aerobiosis. RNA-seq analysis showed an up-regulation of genes related with oxidative stress response, flagella, chemotaxis and biofilm formation while chaperones and cytochromes were down-regulated. Microaerobic cultures exposed to H2O2 also displayed a hyper-flagellated phenotype coupled with a high motility behavior. Moreover, cells that were subjected to oxidative stress presented increased biofilm formation. Altogether, our results suggest that a higher motile behavior and augmented capacity to form biofilm structures could work in addition to well-known antioxidant enzymes and non-enzymatic ROS scavenging mechanisms to cope with oxidative stress at low oxygen tensions.</t>
  </si>
  <si>
    <t>[Solar Venero, Esmeralda C.; Tribelli, Paula M.; Lopez, Nancy, I] IQUIBICEN CONICET, Intendente Guiraldes 2160,1428EGA, Buenos Aires, DF, Argentina; [Ricardi, Martiniano M.] Univ Buenos Aires, Fac Ciencias Exactas &amp; Nat, Inst Fisiol Biol Mol &amp; Neurociencias, Buenos Aires, DF, Argentina; [Gomez-Lozano, Maria; Molin, Soren] Tech Univ Denmark, Novo Nordisk Fdn Ctr Biosustainabil, Lyngby, Denmark; [Tribelli, Paula M.; Lopez, Nancy, I] Univ Buenos Aires, Fac Ciencias Exactas &amp; Nat, Dept Quim Biol, 1428EGA, Buenos Aires, DF, Argentina</t>
  </si>
  <si>
    <t>University of Buenos Aires; Technical University of Denmark; University of Buenos Aires</t>
  </si>
  <si>
    <t>Tribelli, PM; Lopez, NI (corresponding author), IQUIBICEN CONICET, Intendente Guiraldes 2160,1428EGA, Buenos Aires, DF, Argentina.;Tribelli, PM; Lopez, NI (corresponding author), Univ Buenos Aires, Fac Ciencias Exactas &amp; Nat, Dept Quim Biol, 1428EGA, Buenos Aires, DF, Argentina.</t>
  </si>
  <si>
    <t>paulatrib@qb.fcen.uba.ar; nan@qb.fcen.uba.ar</t>
  </si>
  <si>
    <t>Gomez-Lozano, PhD, Maria/ABA-2244-2021</t>
  </si>
  <si>
    <t>Gomez-Lozano, PhD, Maria/0000-0002-7078-4141; Ricardi, Martiniano Maria/0000-0002-7904-6305; Solar Venero, Esmeralda/0000-0003-3516-8535; Molin, Soren/0000-0002-7973-2639</t>
  </si>
  <si>
    <t>Consejo Nacional de Investigaciones Cientificas y Tecnicas (CONICET) [11220130100450CO]; Universidad de Buenos Aires [20020170100310BA]; CONICET</t>
  </si>
  <si>
    <t>Consejo Nacional de Investigaciones Cientificas y Tecnicas (CONICET)(Consejo Nacional de Investigaciones Cientificas y Tecnicas (CONICET)); Universidad de Buenos Aires(University of Buenos Aires); CONICET(Consejo Nacional de Investigaciones Cientificas y Tecnicas (CONICET))</t>
  </si>
  <si>
    <t>This work was supported by the Consejo Nacional de Investigaciones Cientificas y Tecnicas (CONICET) [grant number PIP No. 11220130100450CO]; and the Universidad de Buenos Aires [grant number 20020170100310BA]. MMR, PMT and NIL are career investigators from CONICET (Argentina). ECSV has a graduate student fellowship from CONICET.</t>
  </si>
  <si>
    <t>SPRINGER JAPAN KK</t>
  </si>
  <si>
    <t>TOKYO</t>
  </si>
  <si>
    <t>SHIROYAMA TRUST TOWER 5F, 4-3-1 TORANOMON, MINATO-KU, TOKYO, 105-6005, JAPAN</t>
  </si>
  <si>
    <t>1431-0651</t>
  </si>
  <si>
    <t>1433-4909</t>
  </si>
  <si>
    <t>Extremophiles</t>
  </si>
  <si>
    <t>10.1007/s00792-019-01110-x</t>
  </si>
  <si>
    <t>Biochemistry &amp; Molecular Biology; Microbiology</t>
  </si>
  <si>
    <t>IQ4VA</t>
  </si>
  <si>
    <t>WOS:000480747900009</t>
  </si>
  <si>
    <t>Garcia-Laviña, CX; Castro-Sowinski, S; Ramón, A</t>
  </si>
  <si>
    <t>Garcia-Lavina, Cesar X.; Castro-Sowinski, Susana; Ramon, Ana</t>
  </si>
  <si>
    <t>Reference genes for real-time RT-PCR expression studies in an Antarctic Pseudomonas exposed to different temperature conditions</t>
  </si>
  <si>
    <t>Reference genes; Validation; RT-qPCR; Pseudomonas; Psychrotolerant; Cold-shock</t>
  </si>
  <si>
    <t>REVERSE-TRANSCRIPTION PCR; COLD-ACCLIMATION PROTEINS; HOUSEKEEPING GENES; SHOCK RESPONSE; VALIDATION; QUANTIFICATION; IDENTIFICATION; STRATEGIES; STABILITY; SELECTION</t>
  </si>
  <si>
    <t>Psychrophilic and psychrotolerant bacteria from permanently cold environments may be the most abundant extremophiles on Earth and yet little is known on how they cope with temperature stress. Real-time reverse transcription PCR (RT-qPCR) is a powerful technique that could shed light on this matter but it requires pre-validated reference genes for normalization of data to get accurate results. In this study, we assessed the expression stability of eight candidate genes for the psychrotolerant Antarctic isolate Pseudomonas sp. AU10 during exponential growth under 4 degrees C and 30 degrees C, and after a cold-shock. Using the software programs BestKeeper and geNorm we validated recA, ftsZ, 16S rRNA, and rpoD as reference genes and we suggested the combination of recA and ftsZ for qPCR data normalization. Our results provide a starting point for gene expression studies in Antarctic Pseudomonas concerning temperature-related physiology and also for the validation of reference genes in other cold-adapted bacterial species.</t>
  </si>
  <si>
    <t>[Garcia-Lavina, Cesar X.; Castro-Sowinski, Susana; Ramon, Ana] Univ Republica, Fac Ciencias, Dept Biol Celular &amp; Mol, Secc Bioquim, Igua 4225, Montevideo 11400, Uruguay</t>
  </si>
  <si>
    <t>Universidad de la Republica, Uruguay</t>
  </si>
  <si>
    <t>Ramón, A (corresponding author), Univ Republica, Fac Ciencias, Dept Biol Celular &amp; Mol, Secc Bioquim, Igua 4225, Montevideo 11400, Uruguay.</t>
  </si>
  <si>
    <t>anaramon@fcien.edu.uy</t>
  </si>
  <si>
    <t>PEDECIBA (Programa de Desarrollo de las Ciencias Basicas); CSIC (Comision Sectorial de Investigacion Cientifica) [C335-348]; ANII (Agencia Nacional de Investigacion e Innovacion); CAP (Comision Academica de Posgrado)</t>
  </si>
  <si>
    <t>PEDECIBA (Programa de Desarrollo de las Ciencias Basicas); CSIC (Comision Sectorial de Investigacion Cientifica); ANII (Agencia Nacional de Investigacion e Innovacion); CAP (Comision Academica de Posgrado)</t>
  </si>
  <si>
    <t>The authors especially thank Prof. Lucia Yim and MSc Mailen Arleo for their support and valuable suggestions during this work. They also thank the Uruguayan Antarctic Institute for the logistic support during the stay in the Antarctic Base Artigas. A. Ramon and S. Castro-Sowinski are members of the National Research System (SNI, Sistema Nacional de Investigadores). This work was partially supported by PEDECIBA (Programa de Desarrollo de las Ciencias Basicas) and CSIC (Comision Sectorial de Investigacion Cientifica, C335-348). The work of CXGL was supported by ANII (Agencia Nacional de Investigacion e Innovacion) and CAP (Comision Academica de Posgrado).</t>
  </si>
  <si>
    <t>10.1007/s00792-019-01109-4</t>
  </si>
  <si>
    <t>WOS:000480747900012</t>
  </si>
  <si>
    <t>Beadling, RL; Russell, JL; Stouffer, RJ; Goodman, PJ; Mazloff, M</t>
  </si>
  <si>
    <t>Beadling, R. L.; Russell, J. L.; Stouffer, R. J.; Goodman, P. J.; Mazloff, M.</t>
  </si>
  <si>
    <t>Assessing the Quality of Southern Ocean Circulation in CMIP5 AOGCM and Earth System Model Simulations</t>
  </si>
  <si>
    <t>JOURNAL OF CLIMATE</t>
  </si>
  <si>
    <t>Ocean circulation; Climate models; Coupled models; General circulation models; Model comparison; Model evaluation; performance</t>
  </si>
  <si>
    <t>ANTARCTIC CIRCUMPOLAR CURRENT; GLOBAL OVERTURNING CIRCULATION; HISTORICAL BIAS; SEA-ICE; TRANSPORT; DEEP; CONFIGURATION; SENSITIVITY; ATLANTIC; PACIFIC</t>
  </si>
  <si>
    <t>The Southern Ocean (SO) is vital to Earth's climate system due to its dominant role in exchanging carbon and heat between the ocean and atmosphere and transforming water masses. Evaluating the ability of fully coupled climate models to accurately simulate SO circulation and properties is crucial for building confidence in model projections and advancing model fidelity. By analyzing multiple biases collectively across large model ensembles, physical mechanisms governing the diverse mean-state SO circulation found across models can be identified. This analysis 1) assesses the ability of a large ensemble of models contributed to phase 5 of the Coupled Model Intercomparison Project (CMIP5) to simulate observationally based metrics associated with an accurate representation of the Antarctic Circumpolar Current (ACC), and 2) presents a framework by which the quality of the simulation can be categorized and mechanisms governing the resulting circulation can be deduced. Different combinations of biases in critical metrics including the magnitude and position of the zonally averaged westerly wind stress maximum, wind-driven surface divergence, surface buoyancy fluxes, and properties and transport of North Atlantic Deep Water entering the SO produce distinct mean-state ACC transports. Relative to CMIP3, the quality of the CMIP5 SO simulations has improved. Eight of the thirty-one models simulate an ACC within observational uncertainty (2 sigma) for approximately the right reasons; that is, the models achieve accuracy in the surface wind stress forcing and the representation of the difference in the meridional density across the current. Improved observations allow for a better assessment of the SO circulation and its properties.</t>
  </si>
  <si>
    <t>[Beadling, R. L.; Russell, J. L.; Stouffer, R. J.; Goodman, P. J.] Univ Arizona, Dept Geosci, Tucson, AZ 85721 USA; [Mazloff, M.] Univ Calif San Diego, Scripps Inst Oceanog, La Jolla, CA 92093 USA</t>
  </si>
  <si>
    <t>University of Arizona; University of California System; University of California San Diego; Scripps Institution of Oceanography</t>
  </si>
  <si>
    <t>Beadling, RL (corresponding author), Univ Arizona, Dept Geosci, Tucson, AZ 85721 USA.</t>
  </si>
  <si>
    <t>Beadling@email.arizona.edu</t>
  </si>
  <si>
    <t>Mazloff, Matthew/AAG-6463-2019</t>
  </si>
  <si>
    <t>Mazloff, Matthew/0000-0002-1650-5850; Russell, Joellen/0000-0001-9937-6056; Goodman, Paul/0000-0002-1824-5845</t>
  </si>
  <si>
    <t>U.S. EPA [FP-91780701-0]; NSF's Southern Ocean Carbon and Climate Observations and Modeling (SOCCOM) Project under the NSF Award [PLR-1425989]; NOAA; NASA; Thomas R. Brown foundation at the University of Arizona</t>
  </si>
  <si>
    <t>U.S. EPA(United States Environmental Protection Agency); NSF's Southern Ocean Carbon and Climate Observations and Modeling (SOCCOM) Project under the NSF Award; NOAA(National Oceanic Atmospheric Admin (NOAA) - USA); NASA(National Aeronautics &amp; Space Administration (NASA)); Thomas R. Brown foundation at the University of Arizona</t>
  </si>
  <si>
    <t>We acknowledge the World Climate Research Programme's Working Group on Coupled Modelling responsible for CMIP. We thank the modeling groups listed in Table 1 for producing and making available their output. For CMIP, the U.S. Department of Energy's Program for Climate Model Diagnosis and Intercomparison provides coordinating support and led development of software infrastructure in partnership with the Global Organization for Earth System Science Portals. The BSOSE data used in this analysis are available at Scripps Institution of Oceanography (http://sose.ucsd.edu/). The CFSR and ERAInterim reanalysis data were downloaded from the NASA CREATE system (Potter et al. 2018; https://esgf.nccs.nasa.gov/search/create-ip/). The World Ocean Atlas 13 (WOA13) data were downloaded from https://www.nodc.noaa.gov/OC5/woa13/. We acknowledge the use of the Ferret program from NOAA's Pacific Marine Environmental Laboratory for analysis and graphics (http://ferret.pmel.noaa.gov/Ferret/). We thank the editor and three anonymous reviewers for their comments and suggestions on earlier versions of this manuscript. This research was funded by the U.S. EPA Assistance Agreement FP-91780701-0. This publication has not been reviewed by the EPA and the views expressed herein are solely those of the authors. This work was funded by NSF's Southern Ocean Carbon and Climate Observations and Modeling (SOCCOM) Project under the NSF Award PLR-1425989, with additional support from NOAA and NASA. Logistical support for SOCCOM in the Antarctic was provided by the U.S. NSF through the U.S. Antarctic Program. We also thank the Thomas R. Brown foundation at the University of Arizona for supporting Joellen L. Russell and Paul J. Goodman.</t>
  </si>
  <si>
    <t>AMER METEOROLOGICAL SOC</t>
  </si>
  <si>
    <t>BOSTON</t>
  </si>
  <si>
    <t>45 BEACON ST, BOSTON, MA 02108-3693 USA</t>
  </si>
  <si>
    <t>0894-8755</t>
  </si>
  <si>
    <t>1520-0442</t>
  </si>
  <si>
    <t>J CLIMATE</t>
  </si>
  <si>
    <t>J. Clim.</t>
  </si>
  <si>
    <t>10.1175/JCLI-D-19-0263.1</t>
  </si>
  <si>
    <t>Meteorology &amp; Atmospheric Sciences</t>
  </si>
  <si>
    <t>IR5ME</t>
  </si>
  <si>
    <t>Green Published</t>
  </si>
  <si>
    <t>WOS:000481476900002</t>
  </si>
  <si>
    <t>Cha, OK; Lee, J; Lee, HS; Lee, H</t>
  </si>
  <si>
    <t>Cha, Ok-Kyoung; Lee, Jungeun; Lee, Hyoung Seok; Lee, Horim</t>
  </si>
  <si>
    <t>Optimized protoplast isolation and establishment of transient gene expression system for the Antarctic flowering plant Colobanthus quitensis (Kunth) Bartl.</t>
  </si>
  <si>
    <t>PLANT CELL TISSUE AND ORGAN CULTURE</t>
  </si>
  <si>
    <t>Cell-based assay; Low temperature; Molecular adaptation; PEG-CaCl2-mediated transfection; Subcellular localization</t>
  </si>
  <si>
    <t>VASCULAR PLANTS; RESPONSES; PROTEIN; TRAITS</t>
  </si>
  <si>
    <t>Key message C. quitensis protoplasts can provide a physiologically relevant cell system to facilitate the molecular, biochemical, and cellular characterization of C. quitensis genes. Colobanthus quitensis is one of two terrestrial plants that grow in the maritime Antarctic. Despite its important ecological niche in extreme environments, the molecular mechanisms of its adaptation and tolerance have not been elucidated due to difficulties with genetic or transgenic approaches. For this reason, in many other plant species mesophyll protoplasts as a versatile cell-based system have been developed and used to analyze the biological functions of genes of interest. Here we report an optimized method of protoplast isolation from C. quitensis leaves. The main parameters evaluated to reach the highest protoplast yield were the use of a cell wall-degrading enzyme, an osmotic stabilizer, and different pH conditions. Moreover, transient expression and subcellular localization of proteins were validated by an immunoblot assay and a confocal microscopy, respectively, using C. quitensis protoplasts. Therefore, these results suggest that protoplasts can provide a useful cell-based system to facilitate the molecular, biochemical, and cellular characterizations of C. quitensis genes.</t>
  </si>
  <si>
    <t>[Cha, Ok-Kyoung; Lee, Horim] Duksung Womens Univ, Dept Biotechnol, Seoul 01369, South Korea; [Lee, Jungeun; Lee, Hyoung Seok] Korea Polar Res Inst KOPRI, Unit Polar Genom, Incheon 21990, South Korea; [Lee, Jungeun; Lee, Hyoung Seok] Univ Sci &amp; Technol, Polar Sci, Daejeon 34113, South Korea</t>
  </si>
  <si>
    <t>Duksung Women's University; Korea Polar Research Institute (KOPRI); University of Science &amp; Technology (UST)</t>
  </si>
  <si>
    <t>Lee, H (corresponding author), Duksung Womens Univ, Dept Biotechnol, Seoul 01369, South Korea.</t>
  </si>
  <si>
    <t>hrlee1375@duksung.ac.kr</t>
  </si>
  <si>
    <t>Lee, Hyoungseok/0000-0002-5831-6345</t>
  </si>
  <si>
    <t>Korea Polar Research Institute [PE18290]</t>
  </si>
  <si>
    <t>Korea Polar Research Institute(Korea Polar Research Institute of Marine Research Placement (KOPRI))</t>
  </si>
  <si>
    <t>This research was supported by a grant from the Korea Polar Research Institute (PE18290).</t>
  </si>
  <si>
    <t>0167-6857</t>
  </si>
  <si>
    <t>1573-5044</t>
  </si>
  <si>
    <t>PLANT CELL TISS ORG</t>
  </si>
  <si>
    <t>Plant Cell Tissue Organ Cult.</t>
  </si>
  <si>
    <t>10.1007/s11240-019-01651-1</t>
  </si>
  <si>
    <t>Biotechnology &amp; Applied Microbiology; Plant Sciences</t>
  </si>
  <si>
    <t>IQ2JL</t>
  </si>
  <si>
    <t>WOS:000480574700017</t>
  </si>
  <si>
    <t>Taylor-Offord, S; Horgan, H; Townend, J; Winberry, JP</t>
  </si>
  <si>
    <t>Taylor-Offord, Samuel; Horgan, Huw; Townend, John; Winberry, J. Paul</t>
  </si>
  <si>
    <t>Seismic observations of crevasse growth following rain-induced glacier acceleration, Haupapa/Tasman Glacier, New Zealand</t>
  </si>
  <si>
    <t>ANNALS OF GLACIOLOGY</t>
  </si>
  <si>
    <t>crevasses; glacier geophysics; mountain glaciers; seismology</t>
  </si>
  <si>
    <t>SUBGLACIAL WATER-PRESSURE; GREENLAND ICE-SHEET; FRANZ JOSEF GLACIER; VELOCITY; ICEQUAKES; DRAINAGE; FRACTURE; VARIABILITY; EARTHQUAKE</t>
  </si>
  <si>
    <t>Changing rates of water input can affect both the flow of glaciers and ice sheets and their propensity to crevasse. Here we examine geodetic and seismic observations during two substantial (10-18-times background velocity) rain-induced glacier accelerations at Haupapa/Tasman Glacier, New Zealand. Changes in rain rate result in glacier acceleration and associated uplift, which propagate down-glacier. This pattern of acceleration results in a change to the strain rate field, which correlates with an order of magnitude increase in the apparent seismicity rate and an overall down-glacier migration in located seismicity. After each acceleration event the apparent seismicity rate decreases to below the pre-acceleration rate for 3 days. This suggests that seismic events associated with surface crevasse growth occur early during phases of glacier acceleration due to elevated extensional stresses, and then do not occur again until stresses recover.</t>
  </si>
  <si>
    <t>[Taylor-Offord, Samuel; Horgan, Huw] Victoria Univ Wellington, Antarctic Res Ctr, Wellington, New Zealand; [Taylor-Offord, Samuel; Horgan, Huw; Townend, John] Victoria Univ Wellington, Sch Geog Environm &amp; Earth Sci, Wellington, New Zealand; [Winberry, J. Paul] Cent Washington Univ, Dept Geol Sci, Ellensburg, WA USA</t>
  </si>
  <si>
    <t>Victoria University Wellington; Victoria University Wellington; Central Washington University</t>
  </si>
  <si>
    <t>Taylor-Offord, S (corresponding author), Victoria Univ Wellington, Antarctic Res Ctr, Wellington, New Zealand.;Taylor-Offord, S (corresponding author), Victoria Univ Wellington, Sch Geog Environm &amp; Earth Sci, Wellington, New Zealand.</t>
  </si>
  <si>
    <t>s.taylor-offord@gns.cri.nz</t>
  </si>
  <si>
    <t>Townend, John/B-5923-2012; Winberry, Paul/HLQ-2673-2023</t>
  </si>
  <si>
    <t>Townend, John/0000-0002-7017-620X; Winberry, Paul/0000-0003-1205-0745; Horgan, Huw/0000-0002-4836-0078; Taylor-Offord, Samuel/0000-0002-6770-2731</t>
  </si>
  <si>
    <t>Victoria University of Wellington [URF 209829]; Geoscience Society of New Zealand via the John Beavan Geodetic Fieldwork Award</t>
  </si>
  <si>
    <t>Victoria University of Wellington; Geoscience Society of New Zealand via the John Beavan Geodetic Fieldwork Award</t>
  </si>
  <si>
    <t>We thank Brian Anderson, Merijn Thornton, Troy Feck and Sean Barberie for their support in the fieldwork required for this study. The seismic instruments were provided by the Incorporated Research Institutions for Seismology (IRIS) through the PASSCAL Instrument Center at New Mexico Tech. Data are available via IRIS at http://ds.iris.edu/mda/2C?timewindow=2016-2017. Funding for this study was provided by Victoria University of Wellington (URF 209829) and the Geoscience Society of New Zealand via the John Beavan Geodetic Fieldwork Award.</t>
  </si>
  <si>
    <t>CAMBRIDGE UNIV PRESS</t>
  </si>
  <si>
    <t>CAMBRIDGE</t>
  </si>
  <si>
    <t>EDINBURGH BLDG, SHAFTESBURY RD, CB2 8RU CAMBRIDGE, ENGLAND</t>
  </si>
  <si>
    <t>0260-3055</t>
  </si>
  <si>
    <t>1727-5644</t>
  </si>
  <si>
    <t>ANN GLACIOL</t>
  </si>
  <si>
    <t>Ann. Glaciol.</t>
  </si>
  <si>
    <t>10.1017/aog.2019.20</t>
  </si>
  <si>
    <t>Geography, Physical; Geosciences, Multidisciplinary</t>
  </si>
  <si>
    <t>Physical Geography; Geology</t>
  </si>
  <si>
    <t>IP8IE</t>
  </si>
  <si>
    <t>Green Published, gold</t>
  </si>
  <si>
    <t>WOS:000480289300002</t>
  </si>
  <si>
    <t>Cooley, J; Winberry, P; Koutnik, M; Conway, H</t>
  </si>
  <si>
    <t>Cooley, Jade; Winberry, Paul; Koutnik, Michelle; Conway, Howard</t>
  </si>
  <si>
    <t>Tidal and spatial variability of flow speed and seismicity near the grounding zone of Beardmore Glacier, Antarctica</t>
  </si>
  <si>
    <t>Antarctic glaciology; crevasses; glacier geophysics; ice-shelf tributary glaciers; seismology</t>
  </si>
  <si>
    <t>ROSS ICE SHELF; SHEET; THICKNESS; VELOCITY; FLEXURE; RATES</t>
  </si>
  <si>
    <t>GPS measurements of tidal modulation of ice flow and seismicity within the grounding zone of Beardmore Glacier show that tidally induced fluctuations of horizontal flow are largest near the grounding line and decrease downstream. Seismic activity is continuous, but peaks occur on falling and rising tides. Beamforming methods reveal that most seismic events originate from two distinct locations, one on the grid-north side of the grounding zone, and one on the grid-south side. The broad pattern of deformation generated as Beardmore Glacier merges with the Ross Ice Shelf results in net extension along the grid-north side of the grounding zone and net compression along the grid-south side. During falling tides, seismic activity peaks on both sides because of increased vertical flexure across the grounding line. During rising tides, seismic activity in the region of extension on the grid-north side is relatively low because the tidal influence on both horizontal strain rate and vertical flexure is small. On the grid-south side during rising tides, however, tidally induced horizontal strain rates promote increased seismicity in regions of long-term compressional flow paths. Our study highlights how concurrent geodetic and seismic measurements provide insight into grounding-zone mechanics and their influence on ice-shelf buttressing.</t>
  </si>
  <si>
    <t>[Cooley, Jade; Winberry, Paul] Cent Washington Univ, 400 E Univ Way, Ellensburg, WA 98926 USA; [Cooley, Jade] Univ Lethbridge, 4401 Univ Dr W, Lethbridge, AB T1K 3M4, Canada; [Koutnik, Michelle; Conway, Howard] Univ Washington, Seattle, WA 98195 USA</t>
  </si>
  <si>
    <t>Central Washington University; University of Lethbridge; University of Washington; University of Washington Seattle</t>
  </si>
  <si>
    <t>Cooley, J (corresponding author), Cent Washington Univ, 400 E Univ Way, Ellensburg, WA 98926 USA.;Cooley, J (corresponding author), Univ Lethbridge, 4401 Univ Dr W, Lethbridge, AB T1K 3M4, Canada.</t>
  </si>
  <si>
    <t>jade.cooley@uleth.ca</t>
  </si>
  <si>
    <t>Cooley, Jade/HOF-3467-2023; Winberry, Paul/HLQ-2673-2023</t>
  </si>
  <si>
    <t>Winberry, Paul/0000-0003-1205-0745; Conway, Howard/0000-0003-4634-3474</t>
  </si>
  <si>
    <t>US NSF [1141889, 1246666, 1141866]; Office of Polar Programs (OPP); Directorate For Geosciences [1141889] Funding Source: National Science Foundation</t>
  </si>
  <si>
    <t>US NSF(National Science Foundation (NSF)); Office of Polar Programs (OPP); Directorate For Geosciences(National Science Foundation (NSF)NSF - Directorate for Geosciences (GEO))</t>
  </si>
  <si>
    <t>This work was supported by US NSF grants 1141889 and 1246666 to JPW and grant 1141866 to HC and MK. We thank Antarctic Support Contract, the US Air National Guard, and Ken Borek Air for logistical support. Equipment for this study was provided by the IRIS-PASSCAL and UNVACO instrument facilities. We thank Max Stevens and Maurice Conway for help with data collection. We thank Audrey Huerta and Walter Szeliga for comments on an early version of the manuscript, and Hester Jiskoot for comments on a late version of the manuscript. The authors thank reviewer Anja Diez and Scientific Editor Brad Lipovsky for comments that improved the manuscript.</t>
  </si>
  <si>
    <t>10.1017/aog.2019.14</t>
  </si>
  <si>
    <t>gold, Green Published</t>
  </si>
  <si>
    <t>WOS:000480289300004</t>
  </si>
  <si>
    <t>Lombardi, D; Gorodetskaya, I; Barruol, G; Camelbeeck, T</t>
  </si>
  <si>
    <t>Lombardi, Denis; Gorodetskaya, Irina; Barruol, Guilhem; Camelbeeck, Thierry</t>
  </si>
  <si>
    <t>Thermally induced icequakes detected on blue ice areas of the East Antarctic ice sheet</t>
  </si>
  <si>
    <t>Antarctic glaciology; blue ice; ice rheology; ice temperature; seismology</t>
  </si>
  <si>
    <t>DRONNING MAUD LAND; SURFACE-ENERGY BALANCE; SHELF RIFT; SNOW; SEISMICITY; NOISE; ALBEDO</t>
  </si>
  <si>
    <t>Over a year of seismic observations, similar to 5000 short duration icequakes were detected by a permanent broadband station installed at the Princess Elisabeth base, located similar to 180 km inland in eastern Dronning Maud Land, East-Antarctica. Icequake detection via seismic waveform pattern recognition indicates the presence of two dominating clusters of events, totalizing similar to 1500 icequakes. The corresponding icequake locations point towards two distinct zones of outcropping blue ice areas (BIAS) located respectively at 4 and 1 km from the seismic station, both on the leeward side of a nunatak protruding through the ice sheet. The temporal occurrence of these icequakes suggests a close genetic link with thermal contraction of ice caused by significant surface cooling controlled, in summer by variations in diurnal solar radiation and in winter by strong cooling during cold katabatic regimes. Further analysis demonstrates the dependence of these icequakes on the absolute surface temperature and on its temporal change. Besides providing information on the ice fracture mechanics and rheology, investigations of thermal icequakes may be regarded as a ground-based proxy for the monitoring of the thermal state of BIAS, and characterization of ice-sheet ablation zones.</t>
  </si>
  <si>
    <t>[Lombardi, Denis; Barruol, Guilhem] Univ Paris, Inst Phys Globe Paris, CNRS, F-75005 Paris, France; [Gorodetskaya, Irina] Univ Aveiro, CESAM Ctr Environm &amp; Marine Studies, Dept Phys, Aveiro, Portugal; [Camelbeeck, Thierry] Royal Observ Belgium, Ave Circulaire 3, B-1180 Brussels, Belgium</t>
  </si>
  <si>
    <t>Universite Paris Cite; Centre National de la Recherche Scientifique (CNRS); Universidade de Aveiro</t>
  </si>
  <si>
    <t>Lombardi, D (corresponding author), Univ Paris, Inst Phys Globe Paris, CNRS, F-75005 Paris, France.</t>
  </si>
  <si>
    <t>lombardi.geoscope@gmail.com</t>
  </si>
  <si>
    <t>BARRUOL, Guilhem/AAN-4611-2021; Barruol, guilhem/M-8677-2019; Gorodetskaya, Irina/K-1987-2015</t>
  </si>
  <si>
    <t>Barruol, guilhem/0000-0002-4049-2375; Gorodetskaya, Irina/0000-0002-2294-7823</t>
  </si>
  <si>
    <t>Belgian Federal Science Policy (BELSPO) [EA/33/2A, EA/33/2B]; BELSPO [EA/01/04A, EA/01/04B]; FCT/MCTES [UID/AMB/50017/2019]</t>
  </si>
  <si>
    <t>Belgian Federal Science Policy (BELSPO)(Belgian Federal Science Policy Office); BELSPO(Belgian Federal Science Policy Office); FCT/MCTES(Fundacao para a Ciencia e a Tecnologia (FCT))</t>
  </si>
  <si>
    <t>We acknowledge the support of the Belgian Antarctic program lead by the Belgian Federal Science Policy (BELSPO) allowing the installation and maintenance of the seismic station (project GIANT-LISSA, grants EA/33/2A and EA/33/2B). We are thankful to the BELSPO project HYDRANT (grants EA/01/04A and EA/01/04B, PI Nicole van Lipzig) that supported installation and maintenance of the automatic weather station at PEA together with technical support by the Institute for Marine and Atmospheric Research (IMAU), Utrecht University. We thank Carleen Reijmer (IMAU) for providing AWS6 and AWS7 data at Svea base. Niels Souverijns is acknowledged for providing access to the webcam data now supported under BELSPO project AEROCLOUD. We are grateful to the International Polar Foundation for the logistic and field support in such a difficult environment. We are also grateful for constant development of the following open-source software packages used in this study: Python (python. org), Matplotlib (Hunter, 2007), Obspy (Beyreuther and others, 2010) and QGIS (qgis.org). We also benefited from the Quantarctica database distributed by the Norwegian Polar Institute (quantarctica.org). IG thanks FCT/MCTES for the financial support to CESAM (UID/AMB/50017/2019), through national funds. We thank Trevor Williams for proofreading the manuscript while at sea. The manuscript profited from constructive reviews from Evgeny Podolskiy and an anonymous reviewer. This is IPGP contribution 4044.</t>
  </si>
  <si>
    <t>10.1017/aog.2019.26</t>
  </si>
  <si>
    <t>WOS:000480289300005</t>
  </si>
  <si>
    <t>Minowa, M; Podolskiy, EA; Sugiyama, S</t>
  </si>
  <si>
    <t>Minowa, Masahiro; Podolskiy, Evgeny A.; Sugiyama, Shin</t>
  </si>
  <si>
    <t>Tide-modulated ice motion and seismicity of a floating glacier tongue in East Antarctica</t>
  </si>
  <si>
    <t>Antarctic glaciology; ice shelves; ice dynamics; Seismicity</t>
  </si>
  <si>
    <t>WEST ANTARCTICA; GROUNDING LINE; CALVING FRONT; MERTZ GLACIER; SHELF; STREAM; FLOW; GREENLAND; ICEQUAKES; TERMINUS</t>
  </si>
  <si>
    <t>We recorded the ice motion and icequakes on the floating part of Langhovde Glacier in East Antarctica to better understand the dynamic behavior of ice shelves and floating tongues. Diurnal and semi-diurnal variations in ice motion and seismicity were simultaneously observed at all four global navigation satellite system and three seismic stations over 2 weeks. The short-term along-flow ice motion is explained by the elastic response of the glacier to ocean tide-induced hydrostatic stress variations, which decayed at a rate of 0.8 km(-1) toward the grounding line. We observed a large number of icequakes during mid-rising and high tides that covered a broad frequency range and formed two major groups of events centered at 10 and 120 Hz, respectively. The hourly occurrence rates were similar to 500 events h(-1), with the observed seismicity consistent with fracture due to floating tongue bending. We also observed minor secondary peaks at high ice speeds, which could reflect surface cracking due to stretching or basal friction. Our observation demonstrates that tidal-modulation was the main factor to fracture the floating tongue of Langhovde Glacier.</t>
  </si>
  <si>
    <t>[Minowa, Masahiro] Univ Austral Chile, Inst Ciencias Fis &amp; Matemat, Valdivia, Chile; [Podolskiy, Evgeny A.] Hokkaido Univ, Arctic Res Ctr, Sapporo, Hokkaido, Japan; [Podolskiy, Evgeny A.] Hokkaido Univ, Global Inst Collaborat Res &amp; Educ, Sapporo, Hokkaido, Japan; [Sugiyama, Shin] Hokkaido Univ, Inst Low Temp Sci, Sapporo, Hokkaido, Japan</t>
  </si>
  <si>
    <t>Universidad Austral de Chile; Hokkaido University; Hokkaido University; Hokkaido University</t>
  </si>
  <si>
    <t>Minowa, M (corresponding author), Univ Austral Chile, Inst Ciencias Fis &amp; Matemat, Valdivia, Chile.</t>
  </si>
  <si>
    <t>minowa.masahiro@gmail.com</t>
  </si>
  <si>
    <t>Minowa, Masahiro/AAX-1280-2021; Podolskiy, Evgeny/A-4458-2010; Sugiyama, Shin/C-2511-2012</t>
  </si>
  <si>
    <t>Minowa, Masahiro/0000-0003-2667-9798; Podolskiy, Evgeny/0000-0002-3050-4897;</t>
  </si>
  <si>
    <t>Research of Ocean-ice BOundary InTeraction and Change around Antarctica (ROBOTICA) (2016-2022); JSPS KAKENHI on Innovative Areas [4902]; JSPS KAKENHI [18K18175]; JSPS Overseas Research Fellowship [201860152]; Grants-in-Aid for Scientific Research [4902, 18K18175] Funding Source: KAKEN</t>
  </si>
  <si>
    <t>Research of Ocean-ice BOundary InTeraction and Change around Antarctica (ROBOTICA) (2016-2022); JSPS KAKENHI on Innovative Areas; JSPS KAKENHI(Ministry of Education, Culture, Sports, Science and Technology, Japan (MEXT)Japan Society for the Promotion of ScienceGrants-in-Aid for Scientific Research (KAKENHI)); JSPS Overseas Research Fellowship; Grants-in-Aid for Scientific Research(Ministry of Education, Culture, Sports, Science and Technology, Japan (MEXT)Japan Society for the Promotion of ScienceGrants-in-Aid for Scientific Research (KAKENHI))</t>
  </si>
  <si>
    <t>We thank Masato Ito, Shiori Yamane, Shinji Takamura, Tatsuro Tsuchiya, and the 58th and 59th Japanese Antarctic Research Expedition members for their assistance at Langhovde Glacier. We also thank Shigeru Aoki and Takeshi Tamura for their support to the research activity. The manuscript was handled by Scientific Editor, Fabian Walter, and carefully reviewed by two anonymous reviewers. This research was funded by Research of Ocean-ice BOundary InTeraction and Change around Antarctica (ROBOTICA) (2016-2022), JSPS KAKENHI on Innovative Areas Grant Number 4902 (2018-2022), and JSPS KAKENHI Grant Number 18K18175. Masahiro Minowa was supported by a JSPS Overseas Research Fellowship (#201860152, 2018-2020). GNSS and seismic signal were processed with RTKLIB (http://www.rtklib.com/rtklib.htm) and ObsPy (http://www.obspy.org), respectively. Figures were produced by Matlab and QGIS. The Landsat 8 image was downloaded from http://earthexplorer.usgs.gov/. Tide gauge and weather records at Syowa Station are available from the Intergovernmental Oceanographic Commission archive database (http://www.ioc-sealevelmonitoring.org) and Japanese Meteorological Agency (http://www.data.jma.go.jp). The Pleiades orthoimage and digital elevation model used in this study were provided by the Pleiades Glacier Observatory initiative of the French Space Agency (CNES).</t>
  </si>
  <si>
    <t>10.1017/aog.2019.25</t>
  </si>
  <si>
    <t>gold</t>
  </si>
  <si>
    <t>WOS:000480289300006</t>
  </si>
  <si>
    <t>Macayeal, DR; Banwell, AF; Okal, EA; Lin, JQ; Willis, IC; Goodsell, B; MacDonald, GJ</t>
  </si>
  <si>
    <t>Macayeal, Douglas R.; Banwell, Alison F.; Okal, Emile A.; Lin, Jinqiao; Willis, Ian C.; Goodsell, Becky; MacDonald, Grant J.</t>
  </si>
  <si>
    <t>Diurnal seismicity cycle linked to subsurface melting on an ice shelf</t>
  </si>
  <si>
    <t>Antarctic glaciology; debris-covered glaciers; ice shelves; ice temperature; seismics</t>
  </si>
  <si>
    <t>SEA-ICE; ANTARCTICA; STREAM; EARTHQUAKES; MAGNITUDE; MELTWATER; FRACTURE; GLACIER; BOTTOM; TREMOR</t>
  </si>
  <si>
    <t>Seismograms acquired on the McMurdo Ice Shelf, Antarctica, during an Austral summer melt season (November 2016-January 2017) reveal a diurnal cycle of seismicity, consisting of hundreds of thousands of small ice quakes limited to a 6-12 hour period during the evening, in an area where there is substantial subsurface melting. This cycle is explained by thermally induced bending and fracture of a frozen surface superimposed on a subsurface slush/water layer that is supported by solar radiation penetration and absorption. A simple, one-dimensional model of heat transfer driven by observed surface air temperature and shortwave absorption reproduces the presence and absence (as daily weather dictated) of the observed diurnal seismicity cycle. Seismic event statistics comparing event occurrence with amplitude suggest that the events are generated in a fractured medium featuring relatively low stresses, as is consistent with a frozen surface superimposed on subsurface slush. Waveforms of the icequakes are consistent with hydroacoustic phases at frequency &gt;75 Hz and flexural-gravity waves at frequency &lt;25 Hz. Our results suggest that seismic observation may prove useful in monitoring subsurface melting in a manner that complements other ground-based methods as well as remote sensing.</t>
  </si>
  <si>
    <t>[Macayeal, Douglas R.; Lin, Jinqiao; Goodsell, Becky; MacDonald, Grant J.] Univ Chicago, Dept Geophys Sci, 5734 S Ellis Ave, Chicago, IL 60637 USA; [Banwell, Alison F.; Willis, Ian C.] Univ Cambridge, Scott Polar Res Inst, Cambridge, England; [Banwell, Alison F.; Willis, Ian C.] Univ Colorado, CIRES NSIDC, Boulder, CO 80309 USA; [Okal, Emile A.] Northwestern Univ, Dept Earth &amp; Planetary Sci, Evanston, IL USA</t>
  </si>
  <si>
    <t>University of Chicago; University of Cambridge; University of Colorado System; University of Colorado Boulder; Northwestern University</t>
  </si>
  <si>
    <t>Macayeal, DR (corresponding author), Univ Chicago, Dept Geophys Sci, 5734 S Ellis Ave, Chicago, IL 60637 USA.</t>
  </si>
  <si>
    <t>drm7@uchicago.edu</t>
  </si>
  <si>
    <t>Banwell, Alison/W-8180-2018</t>
  </si>
  <si>
    <t>Banwell, Alison/0000-0001-9545-829X; Macdonald, Grant/0000-0002-9295-085X; MacAyeal, Douglas/0000-0003-0647-6176; Willis, Ian/0000-0002-0750-7088</t>
  </si>
  <si>
    <t>US National Science Foundation [PLR-1443126]; Leverhulme/Newton Trust Early Career Fellowship; NASA Earth and Space Science Fellowship [NNX15AN44H]; NASA [NNX15AN44H, 800309] Funding Source: Federal RePORTER</t>
  </si>
  <si>
    <t>US National Science Foundation(National Science Foundation (NSF)); Leverhulme/Newton Trust Early Career Fellowship; NASA Earth and Space Science Fellowship; NASA(National Aeronautics &amp; Space Administration (NASA))</t>
  </si>
  <si>
    <t>We thank the US Antarctic Program, UNAVCO and IRIS/PASSCAL, especially Phillip Chung and Pnina Miller, who have made our study, particularly our presence in the field, possible. We also acknowledge help by Mike Cloutier and the PGC. This work was supported by US National Science Foundation grant PLR-1443126. Seismic data are archived for public distribution at the IRIS Data Management Center (DMC), and is identified by network ID 9G. AWS and GPS data are archived at the US Antarctic Program Data Center (USAP-DC), and are identified by digital object identifier (doi) numbers 10.15784/601106 and 10.15784/601107. AWS data are additionally archived at the University of Wisconsin's Antarctic Meteorological Research Center (AMRC). AFB acknowledges support from a Leverhulme/Newton Trust Early Career Fellowship. GJM acknowledges support from a NASA Earth and Space Science Fellowship (NNX15AN44H). We thank Brad Lipovsky for discussion and valuable suggestions on the analysis presented here. The two anonymous referees and scientific editor who reviewed this manuscript provided extremely good comments and criticism.</t>
  </si>
  <si>
    <t>10.1017/aog.2018.29</t>
  </si>
  <si>
    <t>gold, Green Submitted, Green Published</t>
  </si>
  <si>
    <t>WOS:000480289300012</t>
  </si>
  <si>
    <t>Hudson, TS; Smith, J; Brisbourne, AM; White, RS</t>
  </si>
  <si>
    <t>Hudson, Thomas S.; Smith, Jonathan; Brisbourne, Alex M.; White, Robert S.</t>
  </si>
  <si>
    <t>Automated detection of basal icequakes and discrimination from surface crevassing</t>
  </si>
  <si>
    <t>crevasses; glacier geophysics; ice dynamics; seismology; subglacial processes</t>
  </si>
  <si>
    <t>SEISMIC EVENT DETECTION; RUTFORD ICE STREAM; MOUNT-RAINIER; ANTARCTICA; ALGORITHM; LOCATION</t>
  </si>
  <si>
    <t>Icequakes at or near the bed of a glacier have the potential to allow us to investigate the interaction of ice with the underlying till or bedrock. Understanding this interaction is important for studying basal sliding of glaciers and ice streams, a critical process in ice dynamics models used to constrain future sea-level rise projections. However, seismic observations on glaciers can be dominated by seismic energy from surface crevassing. We present a method of automatically detecting basal icequakes and discriminating them from surface crevassing, comparing this method to a commonly used spectrum-based method of detecting icequakes. We use data from Skeidararjokull, an outlet glacier of the Vatnajokull Ice Cap, South-East Iceland, to demonstrate that our method outperforms the commonly used spectrum-based method. Our method detects a higher number of basal icequakes, has a lower rate of incorrectly identifying crevassing as basal icequakes and detects an additional, spatially independent basal icequake cluster. We also show independently that the icequakes do not originate from near the glacier surface. We conclude that the method described here is more effective than currently implemented methods for detecting and discriminating basal icequakes from surface crevassing.</t>
  </si>
  <si>
    <t>[Hudson, Thomas S.; Brisbourne, Alex M.] NERC British Antarctic Survey, Cambridge, England; [Hudson, Thomas S.; Smith, Jonathan; White, Robert S.] Univ Cambridge, Bullard Labs, Cambridge, England</t>
  </si>
  <si>
    <t>University of Cambridge</t>
  </si>
  <si>
    <t>Hudson, TS (corresponding author), NERC British Antarctic Survey, Cambridge, England.;Hudson, TS (corresponding author), Univ Cambridge, Bullard Labs, Cambridge, England.</t>
  </si>
  <si>
    <t>tsh37@cam.ac.uk</t>
  </si>
  <si>
    <t>Hudson, Thomas/IQS-9833-2023; Brisbourne, Alex/E-6198-2013; Facility, NERC Geophysical Equipment/G-5260-2010</t>
  </si>
  <si>
    <t>Hudson, Thomas/0000-0003-2944-883X;</t>
  </si>
  <si>
    <t>Cambridge Earth System Science NERC Doctoral Training Partnership; BAS innovation grant; NERC; NERC [NE/B502287/1]; NERC [bas0100034] Funding Source: UKRI</t>
  </si>
  <si>
    <t>Cambridge Earth System Science NERC Doctoral Training Partnership; BAS innovation grant; NERC(UK Research &amp; Innovation (UKRI)Natural Environment Research Council (NERC)); NERC(UK Research &amp; Innovation (UKRI)Natural Environment Research Council (NERC)); NERC(UK Research &amp; Innovation (UKRI)Natural Environment Research Council (NERC))</t>
  </si>
  <si>
    <t>We thank Julian Drew for contributions to the development of the QuakeMigrate software. The QuakeMigrate software is made freely available for research use and can be found on online (https://github.com/Ulvetanna/QuakeMigrate).The spectrum-based method software, SpectDetect, is also made freely available for research use and can be found on GitHub (https://github.com/TomSHudson/SpectDetect) and is available on the Python repository. Users of this software should acknowledge this paper and ?, if appropriate. We thank Hunter Philson for helping collect the Skeidararjokull data and Robert Green for helping preprocess it. We thank Finnur Palsson and the University of Iceland Glaciology Group for the Skeidararjokull surface and bed topography. We thank Andy Smith for leading the Rutford Ice Stream project, Hamish Pritchard for collecting the Rutford data and Emma Smith for help deciding on initial QuakeMigrate detection parameters to use. We thank Fabian Walter and his group for their contribution to a practical icequake detection session at the POLENET Glacial Seismology Training School (2017), upon which certain aspects of the spectrumbased method are based. We also thank the reviewers for constructive feedback that helped improve this study. Tom Hudson was funded by a the Cambridge Earth System Science NERC Doctoral Training Partnership. The Skeidararjokull data collection was funded by a BAS innovation grant and NERC Geophysical Equipment Facility Loan 1022. The Rutford data collection was funded by NERC grant NE/B502287/1 and NERC Geophysical Equipment Facility Loan 852. University of Cambridge, Department of Earth Sciences contribution number 4390.</t>
  </si>
  <si>
    <t>10.1017/aog.2019.18</t>
  </si>
  <si>
    <t>Green Accepted, Green Published, gold</t>
  </si>
  <si>
    <t>WOS:000480289300014</t>
  </si>
  <si>
    <t>Schlegel, R; Diez, A; Löwe, H; Mayer, C; Lambrecht, A; Freitag, J; Miller, H; Hofstede, C; Eisen, O</t>
  </si>
  <si>
    <t>Schlegel, Rebecca; Diez, Anja; Lowe, Henning; Mayer, Christoph; Lambrecht, Astrid; Freitag, Johannes; Miller, Heinrich; Hofstede, Coen; Eisen, Olaf</t>
  </si>
  <si>
    <t>Comparison of elastic moduli from seismic diving-wave and ice-core microstructure analysis in Antarctic polar firn</t>
  </si>
  <si>
    <t>Anisotropic ice; Antarctic glaciology; applied glaciology; polar firn; seismics</t>
  </si>
  <si>
    <t>DEEP-DRILLING SITE; DRONNING MAUD-LAND; CRYSTAL ANISOTROPY; MASS-BALANCE; SNOW; PROPAGATION; DENSIFICATION; ACCUMULATION; VELOCITY; STRESS</t>
  </si>
  <si>
    <t>We compared elastic moduli in polar firn derived from diving wave refraction seismic velocity analysis, firn-core density measurements and microstructure modelling based on firn-core data. The seismic data were obtained with a small electrodynamic vibrator source near Kohnen Station, East Antarctica. The analysis of diving waves resulted in velocity-depth profiles for different wave types (P-, SH- and SV-waves). Dynamic elastic moduli of firn were derived by combining P- and S-wave velocities and densities obtained from firn-core measurements. The structural finite-element method (FEM) was used to calculate the components of the elastic tensor from firn microstructure derived from X-ray tomography of firn-core samples at depths of 10, 42, 71 and 99 m, providing static elastic moduli. Shear and bulk moduli range from 0.39 to 2.42 GPa and 0.68 to 2.42 GPa, respectively. The elastic moduli from seismic observations and the structural FEM agree within 8.5% for the deepest achieved values at a depth of 71 m, and are within the uncertainty range. Our observations demonstrate that the elastic moduli of the firn can be consistently obtained from two independent methods which are based on dynamic (seismic) and static (tomography and FEM) observations, respectively, for deeper layers in the firn below similar to 10 m depth.</t>
  </si>
  <si>
    <t>[Schlegel, Rebecca; Freitag, Johannes; Miller, Heinrich; Hofstede, Coen; Eisen, Olaf] Alfred Wegener Inst, Helmholtz Ctr Polar &amp; Marine Res, Bremerhaven, Germany; [Diez, Anja] Norwegian Polar Res Inst, Tromso, Norway; [Lowe, Henning] WSL Inst Snow &amp; Avalanche Res SLF, Davos, Switzerland; [Mayer, Christoph; Lambrecht, Astrid] Bavarian Acad Sci &amp; Humanities, Munich, Germany; [Eisen, Olaf] Univ Bremen, Bremen, Germany; [Schlegel, Rebecca] Swansea Univ, Swansea, W Glam, Wales</t>
  </si>
  <si>
    <t>Helmholtz Association; Alfred Wegener Institute, Helmholtz Centre for Polar &amp; Marine Research; Norwegian Polar Institute; Swiss Federal Institutes of Technology Domain; Swiss Federal Institute for Forest, Snow &amp; Landscape Research; University of Bremen; Swansea University</t>
  </si>
  <si>
    <t>Eisen, O (corresponding author), Alfred Wegener Inst, Helmholtz Ctr Polar &amp; Marine Res, Bremerhaven, Germany.</t>
  </si>
  <si>
    <t>olaf.eisen@awi.de</t>
  </si>
  <si>
    <t>Hofstede, Coen/JXM-4966-2024; Eisen, Olaf/K-3846-2012; Löwe, Henning/B-6279-2009</t>
  </si>
  <si>
    <t>Eisen, Olaf/0000-0002-6380-962X; Löwe, Henning/0000-0001-7515-6809; Diez, Anja/0000-0001-6443-6135; Miller, Heinrich/0000-0003-1015-2828; Schlegel, Rebecca/0000-0003-1149-2816</t>
  </si>
  <si>
    <t>Emmy Noether program of the Deutsche Forschungsgemeinschaft [EI 672/5]</t>
  </si>
  <si>
    <t>Emmy Noether program of the Deutsche Forschungsgemeinschaft(German Research Foundation (DFG))</t>
  </si>
  <si>
    <t>Preparation of this work was supported by the Emmy Noether program of the Deutsche Forschungsgemeinschaft grant EI 672/5 to O.E. Discussions with G. Druivenga and U. Polom during vibroseismic survey design and analyses facilitated this study. We greatly acknowledge the assistance of AWI's logistic personnel at Kohnen station without whom the data acquisition would not have been possible. Finally, we are grateful for comments of the reviewers A. Brisbourne and G. Stuart, as well as the editor B. Kulessa that helped to improve the manuscript.</t>
  </si>
  <si>
    <t>10.1017/aog.2019.10</t>
  </si>
  <si>
    <t>gold, Green Published, Green Submitted</t>
  </si>
  <si>
    <t>WOS:000480289300018</t>
  </si>
  <si>
    <t>Rutkiewicz, M; Bujacz, A; Bujacz, G</t>
  </si>
  <si>
    <t>Rutkiewicz, Maria; Bujacz, Anna; Bujacz, Grzegorz</t>
  </si>
  <si>
    <t>Structural features of cold-adapted dimeric GH2 β-D-galactosidase from Arthrobacter sp. 32cB</t>
  </si>
  <si>
    <t>BIOCHIMICA ET BIOPHYSICA ACTA-PROTEINS AND PROTEOMICS</t>
  </si>
  <si>
    <t>Crystal structure; GH2 family; Beta-galactosidase; Dimer; Cold-adapted hydrolase</t>
  </si>
  <si>
    <t>CRYSTAL-STRUCTURE; PSYCHROPHILIC BACTERIUM; ADAPTATION; TEMPERATURE; PARAMETERS; STABILITY; MODEL; CONSERVATION; PURIFICATION; SPECIFICITY</t>
  </si>
  <si>
    <t>Crystal structures of cold-adapted beta-D-galactosidase (EC 3.2.1.23) from the Antarctic bacterium Arthrobacter sp. 32cB (Arth beta DG) have been determined in an unliganded form resulting from diffraction experiments conducted at 100 K (at resolution 1.8 angstrom) and at room temperature (at resolution 3.0 angstrom). A detailed comparison of those two structures of the same enzyme was performed in order to estimate differences in their molecular flexibility and rigidity and to study structural rationalization for the cold-adaptation of the investigated enzyme. Furthermore, a comparative analysis with structures of homologous enzymes from psychrophilic, mesophilic, and thermophilic sources has been discussed to elucidate the relationship between structure and cold-adaptation in a wider context. The performed studies confirm that the structure of cold-adapted Arth beta DG maintains balance between molecular stability and structural flexibility, which can be observed independently on the temperature of conducted X-ray diffraction experiments. Obtained information about proper protein function under given conditions provide a guideline for rational engineering of proteins in terms of their temperature optimum and thermal stability.</t>
  </si>
  <si>
    <t>[Rutkiewicz, Maria; Bujacz, Anna; Bujacz, Grzegorz] Lodz Univ Technol, Inst Tech Biochem, Fac Biotechnol &amp; Food Sci, Stefanowskiego 4-10, PL-90924 Lodz, Poland</t>
  </si>
  <si>
    <t>Lodz University of Technology</t>
  </si>
  <si>
    <t>Bujacz, A (corresponding author), Lodz Univ Technol, Inst Tech Biochem, Fac Biotechnol &amp; Food Sci, Stefanowskiego 4-10, PL-90924 Lodz, Poland.</t>
  </si>
  <si>
    <t>anna.bujacz@p.lodz.pl</t>
  </si>
  <si>
    <t>Bujacz, Grzegorz/M-4446-2018; Bujacz, Anna/M-4464-2018; Rutkiewicz, Maria/N-2630-2016</t>
  </si>
  <si>
    <t>Bujacz, Anna/0000-0002-0808-1349; Rutkiewicz, Maria/0000-0001-8339-3230</t>
  </si>
  <si>
    <t>National Science Centre Poland [2018/-28/T/ST5/00233]</t>
  </si>
  <si>
    <t>National Science Centre Poland(National Science Centre, Poland)</t>
  </si>
  <si>
    <t>This research was supported by grant 2016/21/B/ST5/00555 from the National Science Centre Poland (A.B.) and Ph.D. scholarship (2018/-28/T/ST5/00233) financed by National Science Centre Poland (M.R.).</t>
  </si>
  <si>
    <t>ELSEVIER</t>
  </si>
  <si>
    <t>AMSTERDAM</t>
  </si>
  <si>
    <t>RADARWEG 29, 1043 NX AMSTERDAM, NETHERLANDS</t>
  </si>
  <si>
    <t>1570-9639</t>
  </si>
  <si>
    <t>1878-1454</t>
  </si>
  <si>
    <t>BBA-PROTEINS PROTEOM</t>
  </si>
  <si>
    <t>BBA-Proteins Proteomics</t>
  </si>
  <si>
    <t>10.1016/j.bbapap.2019.06.001</t>
  </si>
  <si>
    <t>Biochemistry &amp; Molecular Biology; Biophysics</t>
  </si>
  <si>
    <t>IQ3SL</t>
  </si>
  <si>
    <t>WOS:000480671300005</t>
  </si>
  <si>
    <t>Ilanko, T; Fischer, TP; Kyle, P; Curtis, A; Lee, H; Sano, Y</t>
  </si>
  <si>
    <t>Ilanko, T.; Fischer, T. P.; Kyle, P.; Curtis, A.; Lee, H.; Sano, Y.</t>
  </si>
  <si>
    <t>Modification of fumarolic gases by the ice-covered edifice of Erebus volcano, Antarctica</t>
  </si>
  <si>
    <t>JOURNAL OF VOLCANOLOGY AND GEOTHERMAL RESEARCH</t>
  </si>
  <si>
    <t>Fumarolic ice caves; Volcanic degassing; Carbon dioxide; Erebus volcano</t>
  </si>
  <si>
    <t>CARBON-ISOTOPE FRACTIONATION; RIFT SYSTEM; ERUPTIVE HISTORY; MANTLE PLUME; ROSS ISLAND; LONG-TERM; SOIL CO2; NITROGEN; DIOXIDE; WATER</t>
  </si>
  <si>
    <t>The chemistry of gases measured in ice caves and from warm geothermal ground at Erebus volcano, Antarctica, shows that gas emissions are dominated by air, with varying amounts of added volcanic CO2. This suggests widespread circulation of air through the volcanic edifice, as well as spatially or temporally varying contributions from magmatic degassing. The resulting gases are further modified by two processes. The first is CO2 dissolution in water, resulting in fractionation from magmatic delta C-13-CO2 values, which are estimated to be around -4%., to heavier values, up to 1%.. Assuming all magmatic CO2 is dissolved in neutral water as HCOi', this requires hydrothermal temperatures of over 120 degrees C. However, other phases such as calcite may be present, implying even higher temperatures, while lower water pH values could result in similar isotope ratios at much lower temperatures, such as 60 degrees C at pH of 53. A large proportion of magmatic CO2 must be lost to this hydrothermal system or to mixing with air. The hydrothermal influence is localized to certain areas on the volcano, which may be associated with high velocity zones identified in previous studies by seismic tomography. Two sites with stronger magmatic signatures, by contrast, are above low velocity zones representing possible shallow magma storage. The second modification is the removal of oxygen from both deeply-sourced and air-derived gases. This is likely due to prevailing conditions in the subsurface, as it is independent of the original source of the gases and of hydrothermal modifications; and thus may affect sites with magmatic, air-like, or hydrothermal signatures. (C) 2019 Elsevier B.V. All rights reserved.</t>
  </si>
  <si>
    <t>[Ilanko, T.; Fischer, T. P.; Lee, H.] Univ New Mexico, Dept Earth &amp; Planetary Sci, Albuquerque, NM 87131 USA; [Kyle, P.; Curtis, A.] NM Inst Min &amp; Technol, Dept Earth &amp; Environm Sci, Socorro, NM 87801 USA; [Sano, Y.] Univ Tokyo, Inst Atmosphere &amp; Ocean Res, Chiba, Japan; [Ilanko, T.] Univ Sheffield, Dept Geog, Sheffield S10 2TN, S Yorkshire, England; [Curtis, A.] Jet Prop Lab, Pasadena, CA 91109 USA; [Lee, H.] Seoul Natl Univ, Sch Earth &amp; Environm Sci, 1 Gwanak Ro, Seoul 08826, South Korea</t>
  </si>
  <si>
    <t>University of New Mexico; University of Tokyo; University of Sheffield; National Aeronautics &amp; Space Administration (NASA); NASA Jet Propulsion Laboratory (JPL); Seoul National University (SNU)</t>
  </si>
  <si>
    <t>Ilanko, T (corresponding author), Univ New Mexico, Dept Earth &amp; Planetary Sci, Albuquerque, NM 87131 USA.;Ilanko, T (corresponding author), Univ Sheffield, Dept Geog, Sheffield S10 2TN, S Yorkshire, England.</t>
  </si>
  <si>
    <t>tehnuka@volcanofiles.com</t>
  </si>
  <si>
    <t>Ilanko, Tehnuka/AAF-8871-2020; Sano, Yuji/GPT-3454-2022</t>
  </si>
  <si>
    <t>Ilanko, Tehnuka/0000-0001-6535-1117; Sano, Yuji/0000-0002-3305-5644</t>
  </si>
  <si>
    <t>National Science Foundation through the Office of Polar Programs [1443633, 1142083]; Division of Earth Sciences [1664246]; Directorate For Geosciences; Division Of Earth Sciences [1664246] Funding Source: National Science Foundation; Directorate For Geosciences; Office of Polar Programs (OPP) [1142083] Funding Source: National Science Foundation; Office of Polar Programs (OPP); Directorate For Geosciences [1443633] Funding Source: National Science Foundation</t>
  </si>
  <si>
    <t>National Science Foundation through the Office of Polar Programs; Division of Earth Sciences(National Science Foundation (NSF)NSF - Directorate for Geosciences (GEO)); Directorate For Geosciences; Division Of Earth Sciences(National Science Foundation (NSF)NSF - Directorate for Geosciences (GEO)); Directorate For Geosciences; Office of Polar Programs (OPP)(National Science Foundation (NSF)NSF - Directorate for Geosciences (GEO)); Office of Polar Programs (OPP); Directorate For Geosciences(National Science Foundation (NSF)NSF - Directorate for Geosciences (GEO))</t>
  </si>
  <si>
    <t>This material is based upon work supported by the National Science Foundation through the Office of Polar Programs under grants 1443633 (to TF) and 1142083 (to PRK), and through the Division of Earth Sciences under grant 1664246 (to TF). We are grateful to US Antarctic Program personnel, particularly to Lyra Pierotti and Tom Schaefer for assistance in the field, and to to Viorel Atudorei and the Centre for Stable Isotopes at UNM for assistance with laboratory analyses. We also thank Marco Liuzzo and an anonymous reviewer for their valuable feedback.</t>
  </si>
  <si>
    <t>0377-0273</t>
  </si>
  <si>
    <t>1872-6097</t>
  </si>
  <si>
    <t>J VOLCANOL GEOTH RES</t>
  </si>
  <si>
    <t>J. Volcanol. Geotherm. Res.</t>
  </si>
  <si>
    <t>SEP 1</t>
  </si>
  <si>
    <t>10.1016/j.jvolgeores.2019.05.017</t>
  </si>
  <si>
    <t>Geosciences, Multidisciplinary</t>
  </si>
  <si>
    <t>Geology</t>
  </si>
  <si>
    <t>IP9OG</t>
  </si>
  <si>
    <t>Green Submitted, hybrid</t>
  </si>
  <si>
    <t>WOS:000480378900008</t>
  </si>
  <si>
    <t>Weiss, D</t>
  </si>
  <si>
    <t>Weiss, Daniel</t>
  </si>
  <si>
    <t>THE ANTARCTIC HUNT</t>
  </si>
  <si>
    <t>ARCHAEOLOGY</t>
  </si>
  <si>
    <t>ARCHAEOLOGICAL INST AMERICA</t>
  </si>
  <si>
    <t>656 BEACON STREET, BOSTON, MA 02215 USA</t>
  </si>
  <si>
    <t>0003-8113</t>
  </si>
  <si>
    <t>1943-5746</t>
  </si>
  <si>
    <t>Archaeology</t>
  </si>
  <si>
    <t>SEP-OCT</t>
  </si>
  <si>
    <t>Arts &amp; Humanities Citation Index (A&amp;HCI)</t>
  </si>
  <si>
    <t>IM5KF</t>
  </si>
  <si>
    <t>WOS:000478032100029</t>
  </si>
  <si>
    <t>Roche, K; Kuta, J; Sedlácek, I; Cervenka, R; Tomanová, K; Jurajda, P</t>
  </si>
  <si>
    <t>Roche, Kevin; Kuta, Jan; Sedlacek, Ivo; Cervenka, Rostislav; Tomanova, Katerina; Jurajda, Pavel</t>
  </si>
  <si>
    <t>Concentrations of Thirteen Trace Metals in Scales of Three Nototheniid Fishes from Antarctica (James Ross Island, Antarctic Peninsula)</t>
  </si>
  <si>
    <t>BIOLOGICAL TRACE ELEMENT RESEARCH</t>
  </si>
  <si>
    <t>Antarctic peninsula; Bioaccumulation; Czech Antarctic Station; Notothenioidei; Trace metal contaminants; Shallow coastal waters</t>
  </si>
  <si>
    <t>KING-GEORGE ISLAND; URANIUM BIOACCUMULATION; CLIMATE-CHANGE; HEAVY-METALS; ELEMENTS; TISSUE; VARIABILITY; ECOSYSTEM; MERCURY; HABITS</t>
  </si>
  <si>
    <t>In this study, we assessed concentrations of 13 trace metals in the scales of Notothenia coriiceps, Trematomus bernacchii and Gobionotothen gibberifrons caught off the coast of James Ross Island (Antarctic Peninsula). Overall, our results for scales broadly match those of previous studies using different fish and different organs, with most metals found at trace levels and manganese, aluminium, iron and zinc occurring at high levels in all species. This suggests that scales can serve as a useful, non-invasive bioindicator of long-term contamination in Antarctic fishes. High accumulation of manganese, aluminium, iron and zinc is largely due to high levels in sediments associated with nearby active volcanic sites. Manganese, vanadium and aluminium showed significant positive bioaccumulation in T. bernacchii (along with non-significant positive accumulation of iron, zinc, cobalt and chromium), most likely due to greater dietary specialisation on sediment feeding benthic prey and higher trophic species. Levels of significance in bioaccumulation regressions were strongly affected by large-scale variation in the data, driven largely by individual differences in diet and/or changes in habitat use and sex differences associated with life stage and reproductive status. Increased levels of both airborne deposition and precipitation and meltwater runoff associated with climate change may be further adding to the already high levels of manganese, aluminium, iron and zinc in Antarctic Peninsula sediments. Further long-term studies are encouraged to elucidate mechanisms of uptake (especially for aluminium and iron) and possible intra- and interspecific impacts of climate change on the delicate Antarctic food web.</t>
  </si>
  <si>
    <t>[Roche, Kevin; Jurajda, Pavel] Czech Acad Sci, Inst Vertebrate Biol, Kvetna 8, Brno 60365, Czech Republic; [Kuta, Jan; Cervenka, Rostislav] Masaryk Univ, Fac Sci, Res Ctr Tox Cpds Environm RECETOX, Kamenice 5, Brno 62500, Czech Republic; [Sedlacek, Ivo; Tomanova, Katerina] Masaryk Univ, Czech Collect Microorganisms, Fac Sci, Kamenice 5, Brno 62500, Czech Republic</t>
  </si>
  <si>
    <t>Czech Academy of Sciences; Institute of Vertebrate Biology of the Czech Academy of Sciences; Masaryk University Brno; Masaryk University Brno</t>
  </si>
  <si>
    <t>Roche, K (corresponding author), Czech Acad Sci, Inst Vertebrate Biol, Kvetna 8, Brno 60365, Czech Republic.</t>
  </si>
  <si>
    <t>kevin.roche@hotmail.co.uk</t>
  </si>
  <si>
    <t>Cervenka, Rostislav/AAX-4624-2021; Roche, Kevin F/A-2816-2015; Sedlacek, Ivo/IWU-8828-2023</t>
  </si>
  <si>
    <t>Roche, Kevin F/0000-0002-3221-0139; Kuta, Jan/0000-0002-5776-9596; Cervenka, Rostislav/0000-0002-4542-0717</t>
  </si>
  <si>
    <t>Grant Agency of the Czech Republic (ECIP Project) [P505/12/G112]; Ministry of Education, Youth and Sports of the Czech Republic [LM2015078, LM2015051]; European Structural and Investment Funds, Operational Programme for Research, Development and Education [CZ.02.1.01/0.0/0.0/16_013/0001761]</t>
  </si>
  <si>
    <t>Grant Agency of the Czech Republic (ECIP Project)(Grant Agency of the Czech Republic); Ministry of Education, Youth and Sports of the Czech Republic(Ministry of Education, Youth &amp; Sports - Czech Republic); European Structural and Investment Funds, Operational Programme for Research, Development and Education</t>
  </si>
  <si>
    <t>This study was made possible thanks to financial support from the Grant Agency of the Czech Republic (ECIP Project No. P505/12/G112). We would like to express our thanks for permission to use the J.G. Mendel Czech Antarctic Station on James Ross Island in 2014 and all our expedition colleagues for their technical help while stationed there. Research activities at the J.G. Mendel Station are carried out as part of the Czech Polar Research Infrastructure (project no. LM2015078) and RECETOX Research Infrastructure (project no. LM2015051), financed through the Ministry of Education, Youth and Sports of the Czech Republic and European Structural and Investment Funds, Operational Programme for Research, Development and Education (CZ.02.1.01/0.0/0.0/16_013/0001761). Thanks also go to Michal Janac for help and advice with statistical issues.</t>
  </si>
  <si>
    <t>HUMANA PRESS INC</t>
  </si>
  <si>
    <t>TOTOWA</t>
  </si>
  <si>
    <t>999 RIVERVIEW DRIVE SUITE 208, TOTOWA, NJ 07512 USA</t>
  </si>
  <si>
    <t>0163-4984</t>
  </si>
  <si>
    <t>1559-0720</t>
  </si>
  <si>
    <t>BIOL TRACE ELEM RES</t>
  </si>
  <si>
    <t>Biol. Trace Elem. Res.</t>
  </si>
  <si>
    <t>10.1007/s12011-018-1598-1</t>
  </si>
  <si>
    <t>Biochemistry &amp; Molecular Biology; Endocrinology &amp; Metabolism</t>
  </si>
  <si>
    <t>IL0YC</t>
  </si>
  <si>
    <t>WOS:000477025100026</t>
  </si>
  <si>
    <t>Lee, MJ; Kyle, PR; Iverson, NA; Lee, JI; Han, Y</t>
  </si>
  <si>
    <t>Lee, Mi Jung; Kyle, Philip R.; Iverson, Nels A.; Lee, Jong Ik; Han, Yeongcheol</t>
  </si>
  <si>
    <t>Rittmann volcano, Antarctica as the source of a widespread 1252±2 CE tephra layer in Antarctica ice</t>
  </si>
  <si>
    <t>EARTH AND PLANETARY SCIENCE LETTERS</t>
  </si>
  <si>
    <t>tephra; Antarctica; ice cores; Rittmann volcano</t>
  </si>
  <si>
    <t>NORTHERN VICTORIA LAND; SIPLE DOME; WEST ANTARCTICA; CORE; TEPHROCHRONOLOGY; ERUPTION; EVOLUTION; COMPLEX; RECORD</t>
  </si>
  <si>
    <t>Tephra occur in many ice cores from Antarctica and are important time markers that assist in correlations between cores and in dating their valuable climate records. Major element compositions of glass shards in a trachytic tephra found in ice cores drilled at WAIS Divide, Roosevelt Island and Styx Glacier, and blue ice patches at Brimstone Peak and the Rennick Glacier in Victoria Land, are similar and suggest they are the same tephra. The composition of the tephra is also similar to tephra layers reported in 3 others ice cores from the East and West Antarctica Ice Sheets. In the WAIS Divide WDCO6A ice core the tephra is dated as 1252 +/- 2 CE. The distribution of the tephra implies a source in northern Victoria Land, Antarctica. The Pleiades, Mt. Melbourne and Rittmann volcano in northern Victoria Land all have evidence of recent eruptive activity which has resulted in the occurrence of trachytic tephra in ice cores, blue ice/snow areas and as surficial tephra layers. Although there is a significant area of geothermal activity at Mt. Rittmann, until now there has been no evidence of any recent eruptive activity. A pyroclastic breccia, with glassy fiamme-like clasts was formed by an explosive eruption from Rittmann volcano. Analyses of the glass clasts and whole rock analyses of some lava samples have trachytic compositions very similar to the 1252 CE tephra. Rittmann volcano is now considered the source of this tephra, which is here named the Rittmann tephra. Rittmann tephra is spread over 2000 km and the 8 known occurrences makes it the most widely correlated tephra layer in Antarctic ice and a valuable marker layer. The wide distribution implies a large possibly Plinian eruption which makes it the largest known eruptions from any Holocene volcano in the western Ross Sea area. This discovery of young explosive eruptions from Rittmann volcano and other northern Victoria Land volcanoes show that there is a significant volcanic hazard from these volcanoes especially to aircraft operations. (C) 2019 Elsevier B.V. All rights reserved.</t>
  </si>
  <si>
    <t>[Lee, Mi Jung; Lee, Jong Ik; Han, Yeongcheol] Korea Polar Res Inst, Incheon 21990, South Korea; [Kyle, Philip R.] New Mexico Inst Min &amp; Technol, Dept Earth &amp; Environm Sci, Socorro, NM 87801 USA; [Iverson, Nels A.] New Mexico Inst Min &amp; Technol, New Mexico Bur Geol &amp; Mineral Resources, Socorro, NM 87801 USA</t>
  </si>
  <si>
    <t>Korea Polar Research Institute (KOPRI); New Mexico Institute of Mining Technology; New Mexico Institute of Mining Technology</t>
  </si>
  <si>
    <t>Kyle, PR (corresponding author), New Mexico Inst Min &amp; Technol, Dept Earth &amp; Environm Sci, Socorro, NM 87801 USA.</t>
  </si>
  <si>
    <t>philip.kyle@nmt.edu</t>
  </si>
  <si>
    <t>Iverson, Nels/0000-0002-7110-5040; Kyle, Philip/0000-0001-6598-8062</t>
  </si>
  <si>
    <t>Korea Polar Research Institute [PE19230]; NSF [1142083, 0636767, 1142115, 1142069, 0230396, 0440817, 0944348, 0944266]; Directorate For Geosciences; Office of Polar Programs (OPP) [0636767] Funding Source: National Science Foundation; Office of Polar Programs (OPP); Directorate For Geosciences [0944266, 1142115, 1142069] Funding Source: National Science Foundation</t>
  </si>
  <si>
    <t>Korea Polar Research Institute(Korea Polar Research Institute of Marine Research Placement (KOPRI)); 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</si>
  <si>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research is partly funded by a Korea Polar Research Institute grant PE19230. PRK acknowledges support from NSF grant 1142083 and help from Lynn Heizler making microprobe analyses at N.M. Tech. NI acknowledges and thanks Dr. Nelia Dunbar for advice and support through her NSF grants 0636767, 1142115 and 1142069. NI also acknowledges the WAIS Divide Science Coordination Office at DRI, Reno and University of New Hampshire, for the collection and distribution of the WAIS Divide ice core and related tasks (NSF grants 0230396, 0440817, 0944348; and 0944266). Thanks to 2 anonymous reviewers for their comments and insights on this and an early version of the manuscript. We appreciate the assistance of the editor Tamsin Mather in handling this manuscript through several versions and providing helpful comments on the final version.</t>
  </si>
  <si>
    <t>0012-821X</t>
  </si>
  <si>
    <t>1385-013X</t>
  </si>
  <si>
    <t>EARTH PLANET SC LETT</t>
  </si>
  <si>
    <t>Earth Planet. Sci. Lett.</t>
  </si>
  <si>
    <t>10.1016/j.epsl.2019.06.002</t>
  </si>
  <si>
    <t>IL0CI</t>
  </si>
  <si>
    <t>hybrid</t>
  </si>
  <si>
    <t>WOS:000476963300017</t>
  </si>
  <si>
    <t>Wang, ZM; Turner, J; Wu, Y; Liu, CY</t>
  </si>
  <si>
    <t>Wang, Zhaomin; Turner, John; Wu, Yang; Liu, Chengyan</t>
  </si>
  <si>
    <t>Rapid Decline of Total Antarctic Sea Ice Extent during 2014-16 Controlled by Wind-Driven Sea Ice Drift</t>
  </si>
  <si>
    <t>Atmosphere; Antarctica; Sea ice; Severe storms; Ocean models</t>
  </si>
  <si>
    <t>OCEAN; VARIABILITY; MODEL; CLIMATE; TRENDS; RECORD; EVOLUTION; SYSTEM; MOTION</t>
  </si>
  <si>
    <t>Between 2014 and 2016 the annual mean total extent of Antarctic sea ice decreased by a record, unprecedented amount of 1.6 x 10(6) km(2), the largest in a record starting in the late 1970s. The mechanisms behind such a rapid decrease remain unknown. Using the outputs of a high-resolution, global ocean-sea ice model we show that the change was predominantly a result of record atmospheric low pressure systems over sectors of the Southern Ocean in 2016, with the associated winds inducing strong sea ice drift. Regions of large positive and negative sea ice extent anomaly were generated by both thermal and dynamic effects of the wind anomalies. Although the strong wind forcing also generated the warmest ocean surface state from April to December 2016, we show that enhanced northward sea ice drift and hence increased melting at lower latitudes driven by strong winds made the dominant contribution to the large decrease in total Antarctic sea ice extent between 2014 and 2016.</t>
  </si>
  <si>
    <t>[Wang, Zhaomin; Wu, Yang; Liu, Chengyan] Hohai Univ, Coll Oceanog, Nanjing, Jiangsu, Peoples R China; [Wang, Zhaomin; Wu, Yang; Liu, Chengyan] Hohai Univ, Int Polar Environm Res Lab, Nanjing, Jiangsu, Peoples R China; [Wang, Zhaomin; Wu, Yang; Liu, Chengyan] Univ Corp Polar Res, Beijing, Peoples R China; [Turner, John] British Antarctic Survey, Cambridge, England</t>
  </si>
  <si>
    <t>Hohai University; Hohai University; UK Research &amp; Innovation (UKRI); Natural Environment Research Council (NERC); NERC British Antarctic Survey</t>
  </si>
  <si>
    <t>Wang, ZM (corresponding author), Hohai Univ, Coll Oceanog, Nanjing, Jiangsu, Peoples R China.;Wang, ZM (corresponding author), Hohai Univ, Int Polar Environm Res Lab, Nanjing, Jiangsu, Peoples R China.;Wang, ZM (corresponding author), Univ Corp Polar Res, Beijing, Peoples R China.</t>
  </si>
  <si>
    <t>zhaomin.wang@hhu.edu.cn</t>
  </si>
  <si>
    <t>Wu, Yang/0000-0001-7842-9796</t>
  </si>
  <si>
    <t>Major State Basic Research Development Program of China [2016YFA0601804]; Global Change Research Program of China [2015CB953900]; National Natural Science Foundation of China [41876220]; Fundamental Research Funds for the Central Universities [2017B04814, 2017B20714]; NERC [bas0100032] Funding Source: UKRI</t>
  </si>
  <si>
    <t>Major State Basic Research Development Program of China(National Basic Research Program of China); Global Change Research Program of China; National Natural Science Foundation of China(National Natural Science Foundation of China (NSFC)); Fundamental Research Funds for the Central Universities(Fundamental Research Funds for the Central Universities); NERC(UK Research &amp; Innovation (UKRI)Natural Environment Research Council (NERC))</t>
  </si>
  <si>
    <t>Z. Wang and C. Liu were supported by the Major State Basic Research Development Program of China (2016YFA0601804). Z. Wang was supported by the Global Change Research Program of China (2015CB953900), by the project (41876220) of National Natural Science Foundation of China and by the Fundamental Research Funds for the Central Universities'' (2017B04814, 2017B20714). We thank Dr. Martin Losch (Alfred-Wegener-Institut fur Polar- und Meeresforschung, Germany) for his helpful comments on this work. The authors declare no conflicts of interest. The data presented in this article are available from the authors on request.</t>
  </si>
  <si>
    <t>10.1175/JCLI-D-18-0635.1</t>
  </si>
  <si>
    <t>IM0EB</t>
  </si>
  <si>
    <t>Green Accepted, Bronze</t>
  </si>
  <si>
    <t>WOS:000477657300003</t>
  </si>
  <si>
    <t>Kennedy, T; Jourdan, F; Eroglu, E; Mayers, C</t>
  </si>
  <si>
    <t>Kennedy, Trudi; Jourdan, Fred; Eroglu, Ela; Mayers, Celia</t>
  </si>
  <si>
    <t>Bombardment history of asteroid 4 Vesta recorded by brecciated eucrites: Large impact event clusters at 4.50 Ga and discreet bombardment until 3.47 Ga</t>
  </si>
  <si>
    <t>GEOCHIMICA ET COSMOCHIMICA ACTA</t>
  </si>
  <si>
    <t>40Ar/39Ar; Geochronology; Impact crater; Bombardment; Planetary sciences; Meteorites; Eucrites; Asteroids; 4 Vesta</t>
  </si>
  <si>
    <t>CANYON SANIDINE STANDARD; K-40 DECAY CONSTANTS; PARENT BODY; ARGON DIFFUSION; COLLISIONAL HISTORY; BASALTIC ACHONDRITES; JOINT DETERMINATION; IMPROVED ACCURACY; THERMAL HISTORY; HED METEORITES</t>
  </si>
  <si>
    <t>The thermal/impact histories of sixteen eucrite meteorites were investigated: three monomict eucrites (NWA 999, A-87272,87, and Stannern), five polymict eucrites (NWA 1000, NWA 1666, NWA 5601, Y-980066,100, and Y-980255,100), three quench-textured, eucrite melt rocks (Y-981646,21, Y-981651,105, and MIL 0766214), one eucrite dominantly comprised of quench-textured clasts (QUE 99005,11), three unclassified eucrite breccias (LAP 031316,9, LAR 06870,5, QUE 99799,4) and one unbrecciated eucrite (EET 92004,17), included here due to its shock features. We have measured fifteen high-precision new 40Ar/39Ar plateau ages on plagioclase and matrix for ten of these meteorites with a tight cluster of nine ages obtained from three different polymict breccias. These ages range from 4534 +/- 56 Ma to 4491 +/- 16 Ma resulting in a concordant age population (P = 0.16). The fact that such a cluster of ages is recorded in unrelated breccias which are made of a priori unrelated components, leads us to propose that those ages recorded a single heating event on a large scale, and is interpreted here as a high-energy impact event, early in the history of Vesta at 4500 +/- 4 Ma. We propose that the debris was ejected and isolated from subsequent large impacts in a secondary rubble pile asteroid where the energy of the outgoing shock wave from an impact is significantly reduced as it compacts the target material (Holsapple et al., 2002, and references therein). The other analyses define a spread of five plateau ages ranging from 3851 +/- 21 Ma to 3469 +/- 35 Ma, over similar to 380 Ma. An additional apparent plateau age of 4288 +/- 38 Ma, but with a diffusion profile of cumulative 39Ar release, along with published U-Pb apatite age of similar to 4.14 Ga, suggests that the data might either define a true continuum (normal background bombardment) from 4.5 Ga to 3.47 Ga or cluster between similar to 3.85 Ga and similar to 3.47 Ga (excavation of a fresh surface at 3.85 Ga continuously bombarded until 3.47 Ga). Both scenarios are compatible with a final ejection age of 3.47 Ga when a major impact liberates the bulk of the brecciated meteorites into another secondary rubble pile asteroid, where the brecciated eucrites stayed relatively well protected from subsequent major impacts. Based on these results and recent crater counting measurements, we propose that the excavation and bulk ejection were caused by the Rheasilvia (ca. 3.47 Ga) basin-forming impact. Diffusion models on plagioclase crystals with different Ar age spectrum signatures, from a single breccia (NWA1666; 4501 +/- 7 Ma), suggest that either: (1) the formation of the breccia is very young, or (2) different plagioclase crystals have different diffusion characteristics, and/or (3) the porosity caused heterogeneous temperatures during an impact heating event, particularly likely if the 4.5 Ga brecciated eucrites were stored in a rubble pile asteroid. Many or possibly most large asteroids being re-accumulated rubble piles with potential large porosity (Holsapple et al., 2002). Scenarios (2) and (3) preclude the usage of multi-grain aliquots to decipher the time-temperature history of most impact breccia using 40Ar/39Ar thermochronology. (C) 2019 Elsevier Ltd. All rights reserved. The thermal/impact histories of sixteen eucrite meteorites were investigated: three monomict eucrites (NWA 999, A-87272,87, and Stannern), five polymict eucrites (NWA 1000, NWA 1666, NWA 5601, Y-980066,100, and Y-980255,100), three quench-textured, eucrite melt rocks (Y-981646,21, Y-981651,105, and MIL 0766214), one eucrite dominantly comprised of quench-textured clasts (QUE 99005,11), three unclassified eucrite breccias (LAP 031316,9, LAR 06870,5, QUE 99799,4) and one unbrecciated eucrite (EET 92004,17), included here due to its shock features. We have measured fifteen high-precision new 40Ar/39Ar plateau ages on plagioclase and matrix for ten of these meteorites with a tight cluster of nine ages obtained from three different polymict breccias. These ages range from 4534 +/- 56 Ma to 4491 +/- 16 Ma resulting in a concordant age population (P = 0.16). The fact that such a cluster of ages is recorded in unrelated breccias which are made of a priori unrelated components, leads us to propose that those ages recorded a single heating event on a large scale, and is interpreted here as a high-energy impact event, early in the history of Vesta at 4500 +/- 4 Ma. We propose that the debris was ejected and isolated from subsequent large impacts in a secondary rubble pile asteroid where the energy of the outgoing shock wave from an impact is significantly reduced as it compacts the target material (Holsapple et al., 2002, and references therein). The other analyses define a spread of five plateau ages ranging from 3851 +/- 21 Ma to 3469 +/- 35 Ma, over similar to 380 Ma. An additional apparent plateau age of 4288 +/- 38 Ma, but with a diffusion profile of cumulative 39Ar release, along with published U-Pb apatite age of similar to 4.14 Ga, suggests that the data might either define a true continuum (normal background bombardment) from 4.5 Ga to 3.47 Ga or cluster between similar to 3.85 Ga and similar to 3.47 Ga (excavation of a fresh surface at 3.85 Ga continuously bombarded until 3.47 Ga). Both scenarios are compatible with a final ejection age of 3.47 Ga when a major impact liberates the bulk of the brecciated meteorites into another secondary rubble pile asteroid, where the brecciated eucrites stayed relatively well protected from subsequent major impacts. Based on these results and recent crater counting measurements, we propose that the excavation and bulk ejection were caused by the Rheasilvia (ca. 3.47 Ga) basin-forming impact. Diffusion models on plagioclase crystals with different Ar age spectrum signatures, from a single breccia (NWA1666; 4501 +/- 7 Ma), suggest that either: (1) the formation of the breccia is very young, or (2) different plagioclase crystals have different diffusion characteristics, and/or (3) the porosity caused heterogeneous temperatures during an impact heating event, particularly likely if the 4.5 Ga brecciated eucrites were stored in a rubble pile asteroid. Many or possibly most large asteroids being re-accumulated rubble piles with potential large porosity (Holsapple et al., 2002). Scenarios (2) and (3) preclude the usage of multi-grain aliquots to decipher the time-temperature history of most impact breccia using 40Ar/39Ar thermochronology. (C) 2019 Elsevier Ltd. All rights reserved. The thermal/impact histories of sixteen eucrite meteorites were investigated: three monomict eucrites (NWA 999, A-87272,87, and Stannern), five polymict eucrites (NWA 1000, NWA 1666, NWA 5601, Y-980066,100, and Y-980255,100), three quench-textured, eucrite melt rocks (Y-981646,21, Y-981651,105, and MIL 0766214), one eucrite dominantly comprised of quench-textured clasts (QUE 99005,11), three unclassified eucrite breccias (LAP 031316,9, LAR 06870,5, QUE 99799,4) and one unbrecciated eucrite (EET 92004,17), included here due to its shock features. We have measured fifteen high-precision new 40Ar/39Ar plateau ages on plagioclase and matrix for ten of these meteorites with a tight cluster of nine ages obtained from three different polymict breccias. These ages range from 4534 +/- 56 Ma to 4491 +/- 16 Ma resulting in a concordant age population (P = 0.16). The fact that such a cluster of ages is recorded in unrelated breccias which are made of a priori unrelated components, leads us to propose that those ages recorded a single heating event on a large scale, and is interpreted here as a high-energy impact event, early in the history of Vesta at 4500 +/- 4 Ma. We propose that the debris was ejected and isolated from subsequent large impacts in a secondary rubble pile asteroid where the energy of the outgoing shock wave from an impact is significantly reduced as it compacts the target material (Holsapple et al., 2002, and references therein). The other analyses define a spread of five plateau ages ranging from 3851 +/- 21 Ma to 3469 +/- 35 Ma, over similar to 380 Ma. An additional apparent plateau age of 4288 +/- 38 Ma, but with a diffusion profile of cumulative 39Ar release, along with published U-Pb apatite age of similar to 4.14 Ga, suggests that the data might either define a true continuum (normal background bombardment) from 4.5 Ga to 3.47 Ga or cluster between similar to 3.85 Ga and similar to 3.47 Ga (excavation of a fresh surface at 3.85 Ga continuously bombarded until 3.47 Ga). Both scenarios are compatible with a final ejection age of 3.47 Ga when a major impact liberates the bulk of the brecciated meteorites into another secondary rubble pile asteroid, where the brecciated eucrites stayed relatively well protected from subsequent major impacts. Based on these results and recent crater counting measurements, we propose that the excavation and bulk ejection were caused by the Rheasilvia (ca. 3.47 Ga) basin-forming impact. Diffusion models on plagioclase crystals with different Ar age spectrum signatures, from a single breccia (NWA1666; 4501 +/- 7 Ma), suggest that either: (1) the formation of the breccia is very young, or (2) different plagioclase crystals have different diffusion characteristics, and/or (3) the porosity caused heterogeneous temperatures during an impact heating event, particularly likely if the 4.5 Ga brecciated eucrites were stored in a rubble pile asteroid. Many or possibly most large asteroids being re-accumulated rubble piles with potential large porosity (Holsapple et al., 2002). Scenarios (2) and (3) preclude the usage of multi-grain aliquots to decipher the time-temperature history of most impact breccia using 40Ar/39Ar thermochronology. (C) 2019 Elsevier Ltd. All rights reserved.</t>
  </si>
  <si>
    <t>[Kennedy, Trudi; Jourdan, Fred; Mayers, Celia] Curtin Univ, JdL Ctr &amp; Appl Geol, Western Australian Argon Isotope Facil, GPO Box U1987, Perth, WA 6845, Australia; [Eroglu, Ela] Curtin Univ, Dept Chem Engn, GPO Box U1987, Perth, WA 6845, Australia</t>
  </si>
  <si>
    <t>Curtin University; Curtin University</t>
  </si>
  <si>
    <t>Kennedy, T (corresponding author), Curtin Univ, JdL Ctr &amp; Appl Geol, Western Australian Argon Isotope Facil, GPO Box U1987, Perth, WA 6845, Australia.</t>
  </si>
  <si>
    <t>t.kennedy@curtin.edu.au</t>
  </si>
  <si>
    <t>Eroglu, Ela/B-3323-2013</t>
  </si>
  <si>
    <t>Jourdan, Fred/0000-0001-5626-4521; Eroglu, Ela/0000-0002-6080-2879</t>
  </si>
  <si>
    <t>NSF; NASA</t>
  </si>
  <si>
    <t>NSF(National Science Foundation (NSF)); NASA(National Aeronautics &amp; Space Administration (NASA))</t>
  </si>
  <si>
    <t>We thank V.A. Fernandes and an anonymous reviewer for their helpful reviews and the Associate Editor David Shuster for a thorough handling of our manuscript. We also thank Zdenka Martelli and Adam Frew for technical help with the sample preparation and analysis. Dr Akira Yamaguchi is thanked for five samples of Antarctic meteorites from the collections of the National Institute of Polar Research, Japan, Dr Kevin Righter, Lunar and Planetary Institute, is thanked for six samples from the NASA Antarctic Meteorite Collection, and Dr Kimberly Tait, Royal Ontario Museum, Department of Natural History, for the four North West Africa meteorite samples, and Dermot Henry, Museum Victoria for one meteorite sample.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</si>
  <si>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0016-7037</t>
  </si>
  <si>
    <t>1872-9533</t>
  </si>
  <si>
    <t>GEOCHIM COSMOCHIM AC</t>
  </si>
  <si>
    <t>Geochim. Cosmochim. Acta</t>
  </si>
  <si>
    <t>10.1016/j.gca.2019.06.027</t>
  </si>
  <si>
    <t>IJ5JE</t>
  </si>
  <si>
    <t>hybrid, Green Submitted</t>
  </si>
  <si>
    <t>WOS:000475938300007</t>
  </si>
  <si>
    <t>Telus, M; Alexander, CMOD; Hauri, EH; Wang, J</t>
  </si>
  <si>
    <t>Telus, M.; Alexander, C. M. O. D.; Hauri, E. H.; Wang, J.</t>
  </si>
  <si>
    <t>Calcite and dolomite formation in the CM parent body: Insight from in situ C and O isotope analyses</t>
  </si>
  <si>
    <t>Carbon isotopes; oxygen isotopes; carbonates; chondrites; calcite; dolomite; meteorite; carbon; oxygen; SIMS; ion probe</t>
  </si>
  <si>
    <t>OXYGEN-ISOTOPE; AQUEOUS ALTERATION; CARBONATES; CHONDRITES; MURCHISON; CLASSIFICATION; TEMPERATURES; CONSTRAINTS; METEORITES; MICROPROBE</t>
  </si>
  <si>
    <t>To constrain the conditions of aqueous alteration in early planetesimals, we carried out in situ C and O isotope analyses of calcite and dolomite and O isotope analyses of magnetite from the highly altered CM chondrites ALH 83100, ALH 84034, and MET 01070. Petrographic and isotopic analyses of these samples support previous findings of multiple generations of carbonate growth. We observe wide ranges in the C and O isotope compositions of carbonates of up to 8 parts per thousand and 30 parts per thousand, respectively, that span the full range of previously reported bulk carbonate values for CM chondrites. Variations in the Delta O-17 values indicate that fluid evolution varied for each chondrite. ALH 83100 dolomite-magnetite delta O-18 fractionation of 23 parts per thousand +/- 7 parts per thousand (2SD) corresponds to dolomite formation temperature of 125 degrees C +/- 60 degrees C. delta C-13 vs delta O-18 values fall into two groups, one consisting of primary calcite and the other consisting of dolomite and secondary calcite. The positive correlation between delta O-13 and delta O-18 for primary calcite is consistent with the precipitation of calcite in equilibrium with a gas mixture of CO (or CH4 ) and CO2. The isotopic composition of calcite in CM1s and CM2s overlap significantly; however, many CM1 calcite grains are more depleted in delta O-18 compared to CM2s. Altogether, the data indicate that the fluid composition during calcite formation was initially the same for both CM1s and CM2s. CM1s experienced more episodes of carbonate dissolution and reprecipitation where some fraction of the carbonate grains survive each episode resulting in a highly disequilibrium assemblage of carbonates on the thin-section scale. (C) 2019 The Author(s). Published by Elsevier Ltd.</t>
  </si>
  <si>
    <t>[Telus, M.; Alexander, C. M. O. D.; Hauri, E. H.; Wang, J.] Carnegie Inst Sci, Dept Terr Magnetism, 5241 Broad Branch Rd, Washington, DC 20015 USA</t>
  </si>
  <si>
    <t>Carnegie Institution for Science</t>
  </si>
  <si>
    <t>Telus, M (corresponding author), Univ Calif Santa Cruz, Earth &amp; Planetary Sci, 1156 High St, Santa Cruz, CA 95064 USA.</t>
  </si>
  <si>
    <t>mtelus@ucsc.edu</t>
  </si>
  <si>
    <t>Wang, Jianhua/D-6500-2011; Alexander, Conel M. O'D./N-7533-2013</t>
  </si>
  <si>
    <t>Wang, Jianhua/0000-0002-7671-2413; Alexander, Conel M. O'D./0000-0002-8558-1427; Telus, Myriam/0000-0003-1593-2030</t>
  </si>
  <si>
    <t>The authors acknowledge associate editor Rhian Jones and three anonymous reviewers for their helpful comments. Many thanks to E. Bullock for assistance with electron probe analyses. Thanks also to K. D. McKeegan (UCLA), and J. G. Wynn (USF) for the terrestrial standards.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t>
  </si>
  <si>
    <t>10.1016/j.gca.2019.06.012</t>
  </si>
  <si>
    <t>Green Published, hybrid</t>
  </si>
  <si>
    <t>WOS:000475938300017</t>
  </si>
  <si>
    <t>Brasier, MJ; Constable, A; Melbourne-Thomas, J; Trebilco, R; Griffiths, H; Van de Putte, A; Sumner, M</t>
  </si>
  <si>
    <t>Brasier, M. J.; Constable, A.; Melbourne-Thomas, J.; Trebilco, R.; Griffiths, H.; Van de Putte, A.; Sumner, M.</t>
  </si>
  <si>
    <t>Observations and models to support the first Marine Ecosystem Assessment for the Southern Ocean (MEASO)</t>
  </si>
  <si>
    <t>JOURNAL OF MARINE SYSTEMS</t>
  </si>
  <si>
    <t>Antarctica; Conservation; Ecosystem-based management; CCAMLR</t>
  </si>
  <si>
    <t>KRILL EUPHAUSIA-SUPERBA; EAST ANTARCTICA 80-150-DEGREES-E; FOOD-WEB; SCOTIA SEA; CLIMATE-CHANGE; ABUNDANCE; DYNAMICS; UNCERTAINTY; VARIABILITY; MANAGEMENT</t>
  </si>
  <si>
    <t>Assessments of the status and trends of habitats, species and ecosystems are needed for effective ecosystem-based management in marine ecosystems. Knowledge on imminent ecosystem changes (climate change impacts) set in train by existing climate forcings are needed for adapting management practices to achieve conservation and sustainabililty targets into the future. Here, we describe a process for enabling a marine ecosystem assessment (MEA) by the broader scientific community to support managers in this way, using a MEA for the Southern Ocean (MEASO) as an example. We develop a framework and undertake an audit to support a MEASO, involving three parts. First, we review available syntheses and assessments of the Southern Ocean ecosystem and its parts, paying special attention to building on the SCAR Antarctic Climate Change and Environment report and the SCAR Biogeographic Atlas of the Southern Ocean. Second, we audit available field observations of habitats and densities and/or abundances of taxa, using the literature as well as a survey of scientists as to their current and recent activities. Third, we audit available system models that can form a nested ensemble for making, with available data, circumpolar assessments of habitats, species and food webs. We conclude that there is sufficient data and models to undertake, at least, a circumpolar assessment of the krill-based system. The auditing framework provides the basis for the first MEASO but also provides a repository (www.SOKI.aq/display/MEASO) for easily amending the audit for future MEASOs. We note that an important outcome of the first MEASO will not only be the assessment but also to advise on priorities in observations and models for improving subsequent MEASOs.</t>
  </si>
  <si>
    <t>[Brasier, M. J.; Constable, A.; Melbourne-Thomas, J.; Trebilco, R.] Antarctic Climate &amp; Ecosyst Cooperat Res Ctr, 20 Castray Esplanade, Hobart, Tas, Australia; [Constable, A.; Melbourne-Thomas, J.; Sumner, M.] Australian Antarctic Div, 203 Channel Highway, Kingston, Tas, Australia; [Griffiths, H.] British Antarctic Survey, Madingley Rd, Cambridge CB3 0ET, England; [Van de Putte, A.] Katholieke Univ Leuven, Dept Biol, Charles Deberiotstr 32, Leuven, Belgium; [Van de Putte, A.] Royal Belgian Inst Nat Sci, OD Nat, Rue Vautierstr 29, B-1000 Brussels, Belgium</t>
  </si>
  <si>
    <t>Antarctic Climate &amp; Ecosystems Cooperative Research Centre (ACE CRC); Australian Antarctic Division; UK Research &amp; Innovation (UKRI); Natural Environment Research Council (NERC); NERC British Antarctic Survey; KU Leuven; Royal Belgian Institute of Natural Sciences</t>
  </si>
  <si>
    <t>Brasier, MJ (corresponding author), Antarctic Climate &amp; Ecosyst Cooperat Res Ctr, 20 Castray Esplanade, Hobart, Tas, Australia.</t>
  </si>
  <si>
    <t>madeleine.brasier@utas.edu.au</t>
  </si>
  <si>
    <t>Melbourne-Thomas, Jess/N-2437-2019; Trebilco, Rowan/I-5311-2012; Sumner, Michael D/J-3478-2013; Griffiths, Huw J/D-4234-2009</t>
  </si>
  <si>
    <t>Melbourne-Thomas, Jess/0000-0001-6585-876X; Trebilco, Rowan/0000-0001-9712-8016; Griffiths, Huw J/0000-0003-1764-223X; Van de Putte, Anton/0000-0003-1336-5554; Sumner, Michael/0000-0002-2471-7511; Brasier, Madeleine/0000-0003-2844-655X</t>
  </si>
  <si>
    <t>Antarctic Climate and Ecosystems Cooperative Research Centre, Hobart, Australia; Pew Charitable Trusts, Washingto D.C., USA; World Wildlife Fund, Sydney, Australia; Austral Fisheries, Perth, Australia; Australian Longline, Hobart, Australia; National Institute of Polar Research, Tokyo, Japan; Coalition of Legal Toothfish Operators, Perth, Australia; Tasmanian Polar Network, Hobart, Australia; EU Lifewatch; NERC [bas0100036] Funding Source: UKRI</t>
  </si>
  <si>
    <t>Antarctic Climate and Ecosystems Cooperative Research Centre, Hobart, Australia; Pew Charitable Trusts, Washingto D.C., USA; World Wildlife Fund, Sydney, Australia; Austral Fisheries, Perth, Australia; Australian Longline, Hobart, Australia; National Institute of Polar Research, Tokyo, Japan; Coalition of Legal Toothfish Operators, Perth, Australia; Tasmanian Polar Network, Hobart, Australia; EU Lifewatch; NERC(UK Research &amp; Innovation (UKRI)Natural Environment Research Council (NERC))</t>
  </si>
  <si>
    <t>Funding for the MEASO conference and the development of materials for this paper were provided by: Antarctic Climate and Ecosystems Cooperative Research Centre, Hobart, Australia; Pew Charitable Trusts, Washingto D.C., USA; World Wildlife Fund, Sydney, Australia, Austral Fisheries, Perth, Australia; Australian Longline, Hobart, Australia; National Institute of Polar Research, Tokyo, Japan; Coalition of Legal Toothfish Operators, Perth, Australia; Tasmanian Polar Network, Hobart, Australia; EU Lifewatch.</t>
  </si>
  <si>
    <t>0924-7963</t>
  </si>
  <si>
    <t>1879-1573</t>
  </si>
  <si>
    <t>J MARINE SYST</t>
  </si>
  <si>
    <t>J. Mar. Syst.</t>
  </si>
  <si>
    <t>10.1016/j.jmarsys.2019.05.008</t>
  </si>
  <si>
    <t>Geosciences, Multidisciplinary; Marine &amp; Freshwater Biology; Oceanography</t>
  </si>
  <si>
    <t>Geology; Marine &amp; Freshwater Biology; Oceanography</t>
  </si>
  <si>
    <t>IJ6EC</t>
  </si>
  <si>
    <t>Green Accepted, Green Published</t>
  </si>
  <si>
    <t>WOS:000475993900002</t>
  </si>
  <si>
    <t>Woo, KS; Kim, JK; Lee, JI; Lim, HS; Yoo, KC; Summerhayes, CP; Ahn, IY; Kang, SH; Kil, Y</t>
  </si>
  <si>
    <t>Woo, Kyung Sik; Kim, Jin-Kyoung; Lee, Jae Il; Lim, Hyoun Soo; Yoo, Kyu-Cheul; Summerhayes, Colin P.; Ahn, In-Young; Kang, Sung-Ho; Kil, Youngwoo</t>
  </si>
  <si>
    <t>Glacial melting pulses in the Antarctica: Evidence for different responses to regional effects of global warming recorded in Antarctic bivalve shell (Laternula elliptica)</t>
  </si>
  <si>
    <t>Glacier melting; Global warming; Antarctic bivalve shell; Laternula elliptica; Maxwell Bay; Antarctica</t>
  </si>
  <si>
    <t>KING-GEORGE ISLAND; CLIMATE-CHANGE; MCMURDO SOUND; MARIAN COVE; SURFACE; PENINSULA; CARBON; OXYGEN; RATIOS; GROWTH</t>
  </si>
  <si>
    <t>Meltwater history of the Antarctic bivalve Laternula elliptica in Maxwell Bay, King George Island near the Antarctic Peninsula was reconstructed during the shell growth. High resolution trace elemental and stable isotopic compositions along the aragonite outer part of the shell together with growth bands shows that the shell lived for 9 years with distinct annual cycles. Also oxygen and carbon isotope values reveal the local meltwater history in Antarctic Peninsula region. More negative oxygen isotope values than the predicted equilibrium values clearly show that oxygen isotope depletion is due to lower salinity of seawater by glacial melting. This is also confirmed by the similar trend of low carbon isotope values as well as monitored sea surface salinity values. Comparing delta O-18 values of previous results using the same bivalve species, more negative values from the Antarctic Peninsula (Maxwell Bay) during the austral winter than from East Antarctica (Syowa Coast and Ross Sea) suggests that perennial glacial melting influenced seawater delta O-18 composition near the peninsula. Also, more negative and variable bivalve delta O-18 values during austral summer indicate that meltwater pulses fluctuated greatly in the study area. Distinctively different trends in bivalve delta O-18 profiles between the Antarctic Peninsula and East Antarctica may reflect differential responses to regional warming with regard to the recent global warming over the past few decades.</t>
  </si>
  <si>
    <t>[Woo, Kyung Sik] Kangwon Natl Univ, Chunchon 24341, South Korea; [Kim, Jin-Kyoung] Korea Inst Ocean Sci &amp; Technol, Busan 49111, South Korea; [Lee, Jae Il; Yoo, Kyu-Cheul; Ahn, In-Young; Kang, Sung-Ho] Korea Polar Res Inst, Incheon 21990, South Korea; [Lim, Hyoun Soo] Pusan Natl Univ, Busan 46241, South Korea; [Summerhayes, Colin P.] Univ Cambridge, Cambridge CB2 1ER, England; [Kil, Youngwoo] Chonnam Natl Univ, Gwangju 61186, South Korea; [Kim, Jin-Kyoung] First Inst Oceanog, Qingdao 266061, Shandong, Peoples R China</t>
  </si>
  <si>
    <t>Kangwon National University; Korea Institute of Ocean Science &amp; Technology (KIOST); Korea Polar Research Institute (KOPRI); Pusan National University; University of Cambridge; Chonnam National University; First Institute of Oceanography, Ministry of Natural Resources</t>
  </si>
  <si>
    <t>Kim, JK (corresponding author), 385 Haeyang Ro, Busan Metropolitan City 49111, South Korea.</t>
  </si>
  <si>
    <t>jinkim.paleo@gmail.com</t>
  </si>
  <si>
    <t>Lim, Hyoun Soo/AAC-5499-2022</t>
  </si>
  <si>
    <t>Lim, Hyoun Soo/0000-0002-2489-4470</t>
  </si>
  <si>
    <t>King Sejong Station (Korean Antarctic station); KOPRI [PE19030]</t>
  </si>
  <si>
    <t>King Sejong Station (Korean Antarctic station); KOPRI(Korea Polar Research Institute of Marine Research Placement (KOPRI))</t>
  </si>
  <si>
    <t>We thank the support from King Sejong Station (Korean Antarctic station), particularly Dr. G. Y. Jeong for their assistance in collecting material for this study. We also thank H. S. Ji, Y. J. Kim and J. S. Kim for assistance with lab works. This research was supported by the research project of KOPRI titled 'Reconstruction of Antartic ice sheet and ocean history for the past two million years using sediment records (Grant No. PE19030)'.</t>
  </si>
  <si>
    <t>ELSEVIER SCIENCE BV</t>
  </si>
  <si>
    <t>PO BOX 211, 1000 AE AMSTERDAM, NETHERLANDS</t>
  </si>
  <si>
    <t>10.1016/j.jmarsys.2019.05.005</t>
  </si>
  <si>
    <t>WOS:000475993900006</t>
  </si>
  <si>
    <t>Ely, RC; Case, JA</t>
  </si>
  <si>
    <t>Ely, Ricardo C.; Case, Judd A.</t>
  </si>
  <si>
    <t>Phylogeny of a new gigantic paravian (Theropoda; Coelurosauria; Maniraptora) from the Upper Cretaceous of James Ross Island, Antarctica</t>
  </si>
  <si>
    <t>CRETACEOUS RESEARCH</t>
  </si>
  <si>
    <t>Paraves; Antarctica; Cape lamb member; Maastrichtian; Biostratigraphy</t>
  </si>
  <si>
    <t>AVIAN BODY PLAN; ORNITHOPOD DINOSAURIA; EVOLUTION; ORNITHISCHIA; STRATIGRAPHY; METATARSUS; CLADE; CHINA</t>
  </si>
  <si>
    <t>A description with phylogenetic analyses is provided for Imperobator antarcticus, gen. et sp. nov., an early Maastrichtian, basal paravian (Theropoda; Maniraptora) from the Naze Peninsula, James Ross Island, Antarctica. In 2003, researchers uncovered the remains of a theropod later referred to Dromaeosauridae. Dromaeosaurids are a Glade of maniraptorans including well-known members such as Velociraptor and Deinonychus. The specimen displays a case of gigantism in paravians, a condition best documented in the dromaeosaurids Achillobator, Austroraptor, Dakotaraptor, and Utahraptor. In addition to certain morphological traits that differ from the dromaeosaurid norm, the smooth surface of the distal metatarsal II prevents referral of the 'Naze Theropod' to dromaeosaurids (ginglymoidy of the distal surface of metatarsal II being considered an unambiguous synapomorphy of dromaeosaurids). The specimen also lacks a hypertrophied ungual of the second pedal digit, and is surprisingly small in comparison with those of equivalently sized dromaeosaurids such as Utahraptor. A heuristic search and Bayesian phylogenetic analysis were performed, providing the first phylogenetic analyses of this enigmatic theropod. Both analyses support a placement of this taxon within Paraves, a Glade which includes Dromaeosauridae, Troodontidae, and Avialae (birds). Despite previous referral to 'Deinonychosauria,' placement near or within any of the three major paravian subclades could not be retained. We also offer the first biostratigraphic placement of the Campanian-Maastrichtian, non-avian Antarctic dinosaurs and can, with confidence, determine the contemporaneous nature of the latest Cretaceous, dinosaur fauna in Antarctica. (C) 2019 Elsevier Ltd. All rights reserved.</t>
  </si>
  <si>
    <t>[Ely, Ricardo C.] Indiana Univ, Dept Earth &amp; Atmospher Sci, Bloomington, IN 47408 USA; [Case, Judd A.] Eastern Washington Univ, Dept Biol, Cheney, WA 99004 USA</t>
  </si>
  <si>
    <t>Indiana University System; Indiana University Bloomington; Eastern Washington University</t>
  </si>
  <si>
    <t>Ely, RC (corresponding author), Indiana Univ, Dept Earth &amp; Atmospher Sci, Bloomington, IN 47408 USA.</t>
  </si>
  <si>
    <t>rcely@iu.edu; jcase@ewu.edu</t>
  </si>
  <si>
    <t>National Science Foundation, Division of Polar Programs [NSF OPP-0003844]</t>
  </si>
  <si>
    <t>National Science Foundation, Division of Polar Programs(National Science Foundation (NSF))</t>
  </si>
  <si>
    <t>We wish to thank the National Science Foundation, Division of Polar Programs for support to JAC from NSF OPP-0003844 when the specimen discussed here was found. We thank Eric Galey and Larry Conboy for photography of the specimen; We would like to thank Dr. Matthew Lamanna for his general assistance on the manuscript and we especially want to thank Andrew McAfee, Scientific Illustrator for Vertebrate Paleontology, for his wonderful work on several of the illustrations in this paper, both gentlemen are from the Carnegie Museum of Natural History; Additional thanks goes to Paul Upchurch for discussions pertaining to phylogenetic methods; James Clark, Michael Woodburne, Jonah Choiniere, Stephen Brusatte, two anonymous reviewers, and Eduardo Koutsoukos (editor for Cretaceous Research) for reviews, comments, and feedback.</t>
  </si>
  <si>
    <t>ACADEMIC PRESS LTD- ELSEVIER SCIENCE LTD</t>
  </si>
  <si>
    <t>LONDON</t>
  </si>
  <si>
    <t>24-28 OVAL RD, LONDON NW1 7DX, ENGLAND</t>
  </si>
  <si>
    <t>0195-6671</t>
  </si>
  <si>
    <t>1095-998X</t>
  </si>
  <si>
    <t>CRETACEOUS RES</t>
  </si>
  <si>
    <t>Cretac. Res.</t>
  </si>
  <si>
    <t>10.1016/j.cretres.2019.04.003</t>
  </si>
  <si>
    <t>Geology; Paleontology</t>
  </si>
  <si>
    <t>IH2LB</t>
  </si>
  <si>
    <t>WOS:000474325200001</t>
  </si>
  <si>
    <t>Zuev, VV; Savelieva, E</t>
  </si>
  <si>
    <t>Zuev, Vladimir V.; Savelieva, Ekaterina</t>
  </si>
  <si>
    <t>The cause of the strengthening of the Antarctic polar vortex during October November periods</t>
  </si>
  <si>
    <t>JOURNAL OF ATMOSPHERIC AND SOLAR-TERRESTRIAL PHYSICS</t>
  </si>
  <si>
    <t>Antarctic polar vortex; Subtropical stratospheric temperature; Polar ozone depletion</t>
  </si>
  <si>
    <t>LOWER-STRATOSPHERIC TEMPERATURE; ARCTIC OSCILLATION RESPONSE; OZONE DEPLETION; NORTHERN-HEMISPHERE; PINATUBO ERUPTION; WATER-VAPOR; CIRCULATION; HOLE; TROPOSPHERE; SPLIT</t>
  </si>
  <si>
    <t>The stratospheric polar vortex strength in spring determines to a great extent the duration and intensity of ozone depletion in the polar regions. The size of the Antarctic ozone hole usually reaches its maximum in September, and then drops off during October and November. However, in 1987, 1998, 1999, 2001, 2006, 2011 and especially in 2015, a significant increase in the ozone hole area relative to climatological mean values was observed in October and November under strong polar vortex conditions. Furthermore, in these years it occurred simultaneously with a temperature increase in the subtropical lower stratosphere in the Southern Hemisphere. Based on the ERA-Interim reanalysis temperature and zonal wind data, we reveal a high correlation between interannual variations of the subtropical temperature and the zonal wind at 60 degrees S in October and November (the Pearson correlation coefficients r equal 0.71 and 0.82, respectively). Thus, a temperature increase in the subtropical lower stratosphere from October to November can strengthen the Antarctic polar vortex in this period.</t>
  </si>
  <si>
    <t>[Zuev, Vladimir V.; Savelieva, Ekaterina] Russian Acad Sci, Inst Monitoring Climat &amp; Ecol Syst, Siberian Branch, 10-3 Acad Sky Ave, Tomsk 634055, Russia</t>
  </si>
  <si>
    <t>Institute of Monitoring of Climatic &amp; Ecological Systems of the Siberian Branch of the RAS; Russian Academy of Sciences</t>
  </si>
  <si>
    <t>Savelieva, E (corresponding author), Russian Acad Sci, Inst Monitoring Climat &amp; Ecol Syst, Siberian Branch, 10-3 Acad Sky Ave, Tomsk 634055, Russia.</t>
  </si>
  <si>
    <t>vzuev@list.ru; ekat.savelieva@gmail.com</t>
  </si>
  <si>
    <t>Zuev, Vladimir Vladimirovich/E-5470-2014; Savelieva, Ekaterina/HCH-5908-2022; Savelieva, Ekaterina S/E-4782-2014</t>
  </si>
  <si>
    <t>Savelieva, Ekaterina S/0000-0002-6560-7386</t>
  </si>
  <si>
    <t>1364-6826</t>
  </si>
  <si>
    <t>1879-1824</t>
  </si>
  <si>
    <t>J ATMOS SOL-TERR PHY</t>
  </si>
  <si>
    <t>J. Atmos. Sol.-Terr. Phys.</t>
  </si>
  <si>
    <t>10.1016/j.jastp.2019.04.016</t>
  </si>
  <si>
    <t>Geochemistry &amp; Geophysics; Meteorology &amp; Atmospheric Sciences</t>
  </si>
  <si>
    <t>IH7JR</t>
  </si>
  <si>
    <t>WOS:000474680400001</t>
  </si>
  <si>
    <t>Scales, PJ; Wijekoon, K; Ladwig, C; Knight, A; Allinson, M; Allinson, G; Zhang, JH; Gray, S; Packer, M; Northcott, K; Sheehan, D</t>
  </si>
  <si>
    <t>Scales, Peter J.; Wijekoon, Kaushalya; Ladwig, Christian; Knight, Adrian; Allinson, Mayumi; Allinson, Graeme; Zhang, Jianhua; Gray, Stephen; Packer, Michael; Northcott, Kathy; Sheehan, David</t>
  </si>
  <si>
    <t>A critical control point approach to the removal of chemicals of concern from water for reuse</t>
  </si>
  <si>
    <t>WATER RESEARCH</t>
  </si>
  <si>
    <t>Chemical log reduction value; Chemicals of concern; Critical control point; Advanced water treatment; Water recycling</t>
  </si>
  <si>
    <t>ENDOCRINE DISRUPTING COMPOUNDS; TRACE ORGANIC-CHEMICALS; REVERSE-OSMOSIS; WASTE-WATER; POTABLE REUSE; MEMBRANE BIOREACTOR; TREATMENT PLANTS; ACTIVE COMPOUNDS; N-NITROSAMINES; PILOT-SCALE</t>
  </si>
  <si>
    <t>The reuse of water in a range of potable and non-potable applications is an important factor in the augmentation of water supply and in improving water security and productivity worldwide. A key hindrance to the reuse of water is the cost of compliance testing and process validation associated with ensuring that pathogen and chemicals in the feedwater are removed to a level that ensures no acute or chronic health and/or environmental effects. The critical control point (CCP) approach is well established and widely adopted by water utilities to provide an operational and risk management framework for the removal of pathogens in the treatment system. The application of a CCP approach to barriers in a treatment system for the removal of chemicals is presented. The application exemplar is to a small community wastewater treatment system that aims to produce potable quality water from a secondary treated wastewater effluent, however, the concepts presented are generic. The example used seven treatment barriers, five of which were designed and operated as CCP barriers for pathogens. The work demonstrates a method and risk management framework by which three of the seven barriers could also include a CCP approach for the removal of chemicals. Analogous to a CCP approach for pathogens, the potential is to reduce the use of chemical analysis as a routine determinant of performance criteria. The operational deployment of a CCP approach for chemicals was augmented with the development of a decision tree encompassing the classification of chemicals and the total removal credits across the treatment train in terms of the mechanistic removal of chemicals for each barrier. Validation of the approach is shown for an activated sludge, ozone and reverse osmosis barrier. (C) 2019 Elsevier Ltd. All rights reserved.</t>
  </si>
  <si>
    <t>[Scales, Peter J.; Wijekoon, Kaushalya; Knight, Adrian; Allinson, Mayumi] Univ Melbourne, Particulate Fluids Proc Ctr, Dept Chem Engn, Melbourne, Vic 3010, Australia; [Ladwig, Christian] Tech Univ Munich, Dept Chem, Munich, Germany; [Allinson, Graeme] RMIT Univ, Sch Sci, Ctr Environm Sustainabil &amp; Remediat, Melbourne, Vic 3001, Australia; [Zhang, Jianhua; Gray, Stephen] Victoria Univ, Inst Sustainable Ind &amp; Liveable Cities, Werribee, Vic 3030, Australia; [Packer, Michael] Australian Antarctic Div, Kingston, Tas 7050, Australia; [Northcott, Kathy] Water Res Australia, Adelaide, SA 5000, Australia; [Sheehan, David] Coliban Water, Bendigo, Vic 3550, Australia</t>
  </si>
  <si>
    <t>Melbourne Genomics Health Alliance; University of Melbourne; Technical University of Munich; University of Munich; Royal Melbourne Institute of Technology (RMIT); Melbourne Genomics Health Alliance; Victoria University; Australian Antarctic Division</t>
  </si>
  <si>
    <t>Scales, PJ (corresponding author), Univ Melbourne, Particulate Fluids Proc Ctr, Dept Chem Engn, Melbourne, Vic 3010, Australia.</t>
  </si>
  <si>
    <t>peterjs@unimelb.edu.au</t>
  </si>
  <si>
    <t>Scales, Peter j/I-8103-2013; Gray, Stephen/L-9684-2013</t>
  </si>
  <si>
    <t>Scales, Peter j/0000-0002-8033-3686; Zhang, Jianhua/0000-0002-8674-0485; Gray, Stephen/0000-0002-8748-2748</t>
  </si>
  <si>
    <t>Australian Antarctic Division of the Australian Government; Australian Water Recycle Centre of Excellence, Australia</t>
  </si>
  <si>
    <t>Funding from the Australian Antarctic Division of the Australian Government and from the Australian Water Recycle Centre of Excellence, Australia is gratefully acknowledged. NDMA analyses associated with the work were performed by Stuart Khan and James McDonald at the University of New South Wales Water Research Centre. Their input is gratefully acknowledged.</t>
  </si>
  <si>
    <t>0043-1354</t>
  </si>
  <si>
    <t>WATER RES</t>
  </si>
  <si>
    <t>Water Res.</t>
  </si>
  <si>
    <t>10.1016/j.watres.2019.05.035</t>
  </si>
  <si>
    <t>Engineering, Environmental; Environmental Sciences; Water Resources</t>
  </si>
  <si>
    <t>Engineering; Environmental Sciences &amp; Ecology; Water Resources</t>
  </si>
  <si>
    <t>IH2MA</t>
  </si>
  <si>
    <t>WOS:000474327700005</t>
  </si>
  <si>
    <t>Kinzey, D; Watters, GM; Reiss, CS</t>
  </si>
  <si>
    <t>Kinzey, Douglas; Watters, George M.; Reiss, Christian S.</t>
  </si>
  <si>
    <t>Estimating recruitment variability and productivity in Antarctic krill</t>
  </si>
  <si>
    <t>FISHERIES RESEARCH</t>
  </si>
  <si>
    <t>Integrated assessment; Beverton-Holt; Ricker; Random recruitment deviations; Steepness; sigma R</t>
  </si>
  <si>
    <t>MAXIMUM REPRODUCTIVE RATE; EUPHAUSIA-SUPERBA; MANAGEMENT STRATEGIES; SEA-ICE; STOCK; FISH; STEEPNESS; BIOMASS; AGE; DENSITY</t>
  </si>
  <si>
    <t>Three alternative forms of the spawner-recruit relationship - the Beverton-Holt and two expressions of the Ricker function - and a fourth form representing annual recruitment deviations without an explicit relationship to spawning biomass, were applied in an integrated assessment model for Antarctic krill. Model data were from the international krill fishery and U.S. AMLR surveys in the Commission for the Conservation of Antarctic Marine Living Resources (CCAMLR) Subarea 48.1, the area around the Antarctic peninsula where the majority of recent fishing for krill has taken place. Sensitivity tests using pre-specified values for the standard deviation of the logarithm of annual recruitment residuals (sigma(R)) and productivity (steepness, h) for the relationship between spawning biomass and subsequent recruitment indicated that neither the Beverton-Holt nor Ricker functions were superior to configurations of the model that did not assume a spawner-recruit relationship. As the predictive power of the spawner-recruit functions was reduced by increasing the value of sigma(R) the fit to the data improved. All the functions fitted the data best when sigma(R) was large enough so that random recruitment with respect to spawning biomass was produced. The alternative functions produced the same time series of recruitment and spawning biomass estimates when they were determined by the data rather than forced towards an assumed relationship. Although the Beverton-Holt and Ricker models were poor predictors of the data, cross correlations of the recruitment predictions with the spawning biomass predictions from the best models indicated that recruitment was statistically correlated with spawning biomasses in the previous two to four years. The highest correlation (0.58) was with spawning biomass three years previously. Correlations in the reverse direction, with spawning biomass following recruitment were insignificant. These results suggest that recruitment variability does not influence subsequent spawning biomass in krill. They leave open the possibility that krill spawning biomass could influence subsequent recruitment, but not as modeled in the Beverton-Holt or Ricker functions with a one-year lag and the pre-specified von Bertalanffy growth.</t>
  </si>
  <si>
    <t>[Kinzey, Douglas; Watters, George M.; Reiss, Christian S.] NOAA, Antarctic Ecosyst Res Div, Southwest Fisheries Sci Ctr, 8901 La Jolla Shores Dr, La Jolla, CA 92037 USA</t>
  </si>
  <si>
    <t>National Oceanic Atmospheric Admin (NOAA) - USA</t>
  </si>
  <si>
    <t>Kinzey, D (corresponding author), NOAA, Antarctic Ecosyst Res Div, Southwest Fisheries Sci Ctr, 8901 La Jolla Shores Dr, La Jolla, CA 92037 USA.</t>
  </si>
  <si>
    <t>doug.kinzey@noaa.gov</t>
  </si>
  <si>
    <t>Watters, George/HPE-2184-2023</t>
  </si>
  <si>
    <t>Watters, George/0000-0002-6989-1273</t>
  </si>
  <si>
    <t>NOAA U.S. AMLR program</t>
  </si>
  <si>
    <t>We thank the Center for the Advancement of Population Assessment Methodology (CAPAM) organizers of the recruitment workshop. This research was funded by the NOAA U.S. AMLR program. Survey data from 1981 to 1989 and from 1992 to 2015 were provided by Volker Siegel and the U.S. AMLR program, respectively. Marco Espino provided the summer 2014 survey data. David Ramm provided the fishery observer data. Jim Ianelli provided the initial ADMB code (amak.tpl) from which the krill model was developed. The paper was improved following suggestions by Jason Cope, Elizabeth Babcock, and two anonymous reviewers.</t>
  </si>
  <si>
    <t>0165-7836</t>
  </si>
  <si>
    <t>1872-6763</t>
  </si>
  <si>
    <t>FISH RES</t>
  </si>
  <si>
    <t>Fish Res.</t>
  </si>
  <si>
    <t>SI</t>
  </si>
  <si>
    <t>10.1016/j.fishres.2018.09.027</t>
  </si>
  <si>
    <t>Fisheries</t>
  </si>
  <si>
    <t>IG5KG</t>
  </si>
  <si>
    <t>WOS:000473841400010</t>
  </si>
  <si>
    <t>Punt, AE</t>
  </si>
  <si>
    <t>Punt, Andre E.</t>
  </si>
  <si>
    <t>Modelling recruitment in a spatial context: A review of current approaches, simulation evaluation of options, and suggestions for best practices</t>
  </si>
  <si>
    <t>Recruitment; Spatial; Simulation</t>
  </si>
  <si>
    <t>STOCK ASSESSMENT MODEL; AGE-STRUCTURED MODEL; POPULATION-STRUCTURE; ANTARCTIC TOOTHFISH; DYNAMICS MODELS; JASUS-EDWARDSII; ROCK LOBSTER; MANAGEMENT; MOVEMENT; EXPLICIT</t>
  </si>
  <si>
    <t>Many, if not most, stocks of fish and invertebrates subject to commercial, recreational or subsistence harvesting exhibit some degree of spatial heterogeneity. This can be due to a lack of complete movement within a single biological population or due to the assessed region consisting of multiple sub-stocks. In principle, assessments for stocks for which the assumption of homogeneity is violated should be based on population dynamics models that are spatially-explicit. There are, however, relatively few stocks for which multi-stock/multi-area assessments are conducted. However, the number of assessments in which space is explicitly represented in the population dynamics model has been increasing in recent years and such models are available for fish stocks such as New Zealand hoki and canary rockfish off the US west coast, as well as invertebrates such as the rock lobsters off southern Australia and New Zealand. A challenge within such spatially-explicit assessments pertains to how recruitment and movement are modelled. This paper reviews assessments for fish and invertebrate stocks that are based on spatially-explicit models, identifying the challenges associated with modelling recruitment caused by increased model and parameter estimation complexity, and the available solutions. A set of illustrative simulations are undertaken to evaluate the consequences of different assumptions regarding spatial recruitment and movement, and hence develop some recommendations for best practice guidelines.</t>
  </si>
  <si>
    <t>[Punt, Andre E.] Univ Washington, Sch Aquat &amp; Fishery Sci, Box 355072, Seattle, WA 98195 USA</t>
  </si>
  <si>
    <t>University of Washington; University of Washington Seattle</t>
  </si>
  <si>
    <t>Punt, AE (corresponding author), Univ Washington, Sch Aquat &amp; Fishery Sci, Box 355072, Seattle, WA 98195 USA.</t>
  </si>
  <si>
    <t>aepunt@uw.edu</t>
  </si>
  <si>
    <t>Joint Institute for the Study of the Atmosphere and Ocean (JISAO) under NOAA [NA10OAR4320148, NA15OAR4320063, 2017-0101]</t>
  </si>
  <si>
    <t>Joint Institute for the Study of the Atmosphere and Ocean (JISAO) under NOAA</t>
  </si>
  <si>
    <t>This publication is [partially] funded by the Joint Institute for the Study of the Atmosphere and Ocean (JISAO) under NOAA Cooperative agreement No. NA10OAR4320148 (2010-2015) and NA15OAR4320063 (2015-2020), Contribution No. 2017-0101. Mark Maunder (IATTC), Richard McGarvey (SARDI) and an anonymous reviewer are thanked for comments on an earlier draft of this paper.</t>
  </si>
  <si>
    <t>10.1016/j.fishres.2017.08.021</t>
  </si>
  <si>
    <t>WOS:000473841400014</t>
  </si>
  <si>
    <t>Pérez-Tribouillier, H; Noble, TL; Townsend, AT; Bowie, AR; Chase, Z</t>
  </si>
  <si>
    <t>Perez-Tribouillier, Habacuc; Noble, Taryn L.; Townsend, Ashley T.; Bowie, Andrew R.; Chase, Zanna</t>
  </si>
  <si>
    <t>Pre-concentration of thorium and neodymium isotopes using Nobias chelating resin: Method development and application to chromatographic separation</t>
  </si>
  <si>
    <t>TALANTA</t>
  </si>
  <si>
    <t>Nobias (R) resin; Thorium; Neodymium; Seawater; Chromatographic separation; GEOTRACES</t>
  </si>
  <si>
    <t>RARE-EARTH-ELEMENTS; NORTH-ATLANTIC; PACIFIC-OCEAN; TRACE-METALS; SEAWATER; TH-232; WATER; ND; SECTOR; EVOLUTION</t>
  </si>
  <si>
    <t>The isotopes of thorium (Th) and neodymium (Nd) are used as tracers in oceanography, and are key parameters in the international GEOTRACES program. The very low concentrations of Th and Nd as well as the reactive nature of Th isotopes makes the analysis of seawater samples a complex process. Analysis requires time-consuming pre-concentration from over 5 L of seawater. We describe a method to simultaneously pre-concentrate dissolved Th and Nd from acidified seawater samples using the Nobias (R) . PA1L chelating resin. Prior to preconcentration, hydrofluoric acid is added to the sample to stabilise Th, ammonium acetate buffer added (0.05 M), pH adjusted to 4.75, and then finally the prepared sample is pumped through the Nobias resin at a rate of 15 ml min(-1). Up to 6 samples can be processed simultaneously. Following elution in 3 M HNO3, both elements are chromatographically separated and determined using Inductively Coupled Plasma Mass Spectrometry. Oxidation of the sample between all column separation steps, including after the initial Nobias resin, is important for obtaining maximum elemental recoveries. The method has &gt; 90% recovery with blank levels typically &lt; 10 pg for Th-232 and &lt; 70 pg for Nd. Accuracy is excellent, as our reported values generally agree within 1% of the GEOTRACES intercalibration standards. The long-term analysis of these materials also indicates excellent reproducibility. The pre-concentration of Th and Nd using the Nobias resin is a time saving option compared to the widely used iron co-precipitation technique. Sample handling is also reduced, decreasing the risk of sample contamination. The simplicity of our suggested pre-concentration procedure makes it possible to be applied at sea.</t>
  </si>
  <si>
    <t>[Perez-Tribouillier, Habacuc; Noble, Taryn L.; Bowie, Andrew R.; Chase, Zanna] Univ Tasmania, Inst Marine &amp; Antarctic Studies, Hobart, Tas, Australia; [Perez-Tribouillier, Habacuc; Bowie, Andrew R.] Antarctic Climate &amp; Ecosyst Cooperat Res Ctr, Hobart, Tas, Australia; [Perez-Tribouillier, Habacuc; Townsend, Ashley T.] Univ Tasmania, Cent Sci Lab, Hobart, Tas, Australia</t>
  </si>
  <si>
    <t>University of Tasmania; Antarctic Climate &amp; Ecosystems Cooperative Research Centre (ACE CRC); University of Tasmania</t>
  </si>
  <si>
    <t>Pérez-Tribouillier, H (corresponding author), 20 Castray Esplanade, Hobart, Tas 7000, Australia.</t>
  </si>
  <si>
    <t>habacuc.pereztribouillier@utas.edu.au</t>
  </si>
  <si>
    <t>Townsend, Ashley/J-7445-2014; Chase, Zanna/E-9232-2013; Bowie, Andrew/C-8677-2013</t>
  </si>
  <si>
    <t>Townsend, Ashley/0000-0002-2972-2678; Chase, Zanna/0000-0001-5060-779X; Noble, Taryn/0000-0002-5708-751X; Bowie, Andrew/0000-0002-5144-7799</t>
  </si>
  <si>
    <t>Australian Research Council [DP150100345, DP180102357]; Australian Research Council LIEF [LF0989539]; Australian Antarctic Science Program [AAS4338]; Australian Research Council Special Research Initiative for Antarctic Gateway Partnership [SR140300001]; Science and Industry Endowment Fund; Mexican Council for Science and Technology (CONACYT) [409833]; University of Tasmania</t>
  </si>
  <si>
    <t>Australian Research Council(Australian Research Council); Australian Research Council LIEF(Australian Research Council); Australian Antarctic Science Program; Australian Research Council Special Research Initiative for Antarctic Gateway Partnership(Australian Research Council); Science and Industry Endowment Fund; Mexican Council for Science and Technology (CONACYT)(Consejo Nacional de Ciencia y Tecnologia (CONACyT)); University of Tasmania</t>
  </si>
  <si>
    <t>We are grateful for the valuable contribution provided by an anonymous reviewer that helped to significantly improve this work. We want to thank the crew and captain of the RV Investigator for their help during the collection of seawater samples during the HEOBI campaign, as well as the chief scientist Mike Coffin. Funding for this project was obtained through the following grants: Australian Research Council Discovery (DP150100345 and DP180102357), Australian Research Council LIEF (LF0989539), the Australian Antarctic Science Program (AAS4338) and the Australian Research Council Special Research Initiative for Antarctic Gateway Partnership (Project ID SR140300001). This research is supported by the Science and Industry Endowment Fund. The Ph.D. scholarship of H.P-T. was provided by the Mexican Council for Science and Technology (CONACYT, Scholarship No. 409833) in conjunction with the University of Tasmania. We also thank Melanie Gault-Ringold, Kathrin Wuttig and Pam Quayle for their invaluable help and advice during the development of this method, Robert Anderson and Martin Fleischer for providing the BATS2000 and SW2010 materials, and Michael Ellwood for providing the 150Nd spike.</t>
  </si>
  <si>
    <t>0039-9140</t>
  </si>
  <si>
    <t>1873-3573</t>
  </si>
  <si>
    <t>Talanta</t>
  </si>
  <si>
    <t>10.1016/j.talanta.2019.03.086</t>
  </si>
  <si>
    <t>Chemistry, Analytical</t>
  </si>
  <si>
    <t>Chemistry</t>
  </si>
  <si>
    <t>IE9KQ</t>
  </si>
  <si>
    <t>WOS:000472693700075</t>
  </si>
  <si>
    <t>Corsolini, S; Baroni, D; Martellini, T; Pala, N; Cincinelli, A</t>
  </si>
  <si>
    <t>Corsolini, Simonetta; Baroni, Davide; Martellini, Tania; Pala, Nicolas; Cincinelli, Alessandra</t>
  </si>
  <si>
    <t>PBDEs and PCBs in terrestrial ecosystems of the Victoria Land, Antarctica</t>
  </si>
  <si>
    <t>CHEMOSPHERE</t>
  </si>
  <si>
    <t>Article; Proceedings Paper</t>
  </si>
  <si>
    <t>Symposium on Legacy and Emerging Flame Retardants - Occurrence, Human Exposure and Toxicokinetics (DIOXIN)</t>
  </si>
  <si>
    <t>Krakow, POLAND</t>
  </si>
  <si>
    <t>Lake sediments; Vegetation mat; Soil; Brominated flame retardants; Persistent organic pollutants</t>
  </si>
  <si>
    <t>PERSISTENT ORGANIC POLLUTANTS; POLYBROMINATED DIPHENYL ETHERS; KING GEORGE ISLAND; POLYCHLORINATED-BIPHENYLS; FLAME RETARDANTS; ROSS SEA; POLYCHLOROBIPHENYLS; SOILS; POPS; PHOTODEGRADATION</t>
  </si>
  <si>
    <t>The Victoria Land (East Antarctica) is characterized by the presence of lakes and ponds where rare water is found during the Summer months. These freshwater ecosystems are an important resource for migrating seabirds that use them and leave there their droppings and feathers, contributing to enrich the water with organic matter. Persistent organic pollutants (POPs) are long-range transported to polar regions and their detection in the Antarctic ecosystems date back to the 1960s. Most studies have been related to POP concentrations in marine environment, and terrestrial ecosystems have been poorly investigated. This study reports the concentration of PBDEs (23 congeners) and PCBs (21 among non-, mono-, di-, and ortho congeners) in lake sediment, soil and vegetation mat (community of algae, cyanobacteria, bryophites) collected close to six lakes in the Victoria Land (74 degrees 31'S-74 degrees 97'S, 165 degrees 07'E-162 degrees 51'E): Edmonson Point 14 and 15A, Carezza, Enigma, Tarn Flat 20, Inexpressible Island 10B. The Sigma PBDEs averaged 0.09-0.28 ng/g and BDEs 28, 47 and 154 were higher in mat and soils, while BDEs 183 and 47 in sediment samples. PCBs ranged &lt;0.003-0.807 ng/g and congeners nos. 114, 138, and 187 were the most abundant. In addition, TEQs were derived for the non-and mono-ortho PCBs detected and values were very low in each matrix (0.010 pg/g in the soil, 0.012 pg/g in sediment and mat). The long-range atmospheric transport can be confirmed as the most important POP source in Antarctica, although the scientific stations and seabird colonies may be potential local sources and contribute to contaminant release. (C) 2019 Elsevier Ltd. All rights reserved.</t>
  </si>
  <si>
    <t>[Corsolini, Simonetta; Baroni, Davide; Pala, Nicolas] Univ Siena, Dept Phys Earth &amp; Environm Sci, I-53100 Siena, Italy; [Martellini, Tania; Cincinelli, Alessandra] Univ Florence, Dept Chem Ugo Schiff, I-50019 Sesto Fiorentino, FI, Italy</t>
  </si>
  <si>
    <t>University of Siena; University of Florence</t>
  </si>
  <si>
    <t>Corsolini, S (corresponding author), Univ Siena, Dept Phys Earth &amp; Environm Sci, I-53100 Siena, Italy.</t>
  </si>
  <si>
    <t>simonetta.corsolini@unisi.it</t>
  </si>
  <si>
    <t>Corsolini, Simonetta/B-9460-2012; Cincinelli, Alessandra/A-8468-2011; Martellini, Tania/AAD-1095-2020</t>
  </si>
  <si>
    <t>Corsolini, Simonetta/0000-0002-9772-2362; Martellini, Tania/0000-0001-6803-1928; Pala, Nicolas/0000-0002-5641-1023; Baroni, Davide/0000-0002-8852-927X</t>
  </si>
  <si>
    <t>Italian National Program for Research in Antarctica [PNRA2013-AZ2.05]</t>
  </si>
  <si>
    <t>Italian National Program for Research in Antarctica(Ministry of Education, Universities and Research (MIUR))</t>
  </si>
  <si>
    <t>This article is dedicated to the memory of Professor David W.H. Walton (British Antarctic Survey). This study was funded by the Italian National Program for Research in Antarctica (grant PNRA2013-AZ2.05). We thank Andrea Brongo (University of Pisa, Italy) for collecting samples. We thank all Colleagues and Technicians for their help and support during sampling. We thank two anonymous reviewers for their insightful and constructive comments on the manuscript.</t>
  </si>
  <si>
    <t>0045-6535</t>
  </si>
  <si>
    <t>1879-1298</t>
  </si>
  <si>
    <t>Chemosphere</t>
  </si>
  <si>
    <t>10.1016/j.chemosphere.2019.05.126</t>
  </si>
  <si>
    <t>Environmental Sciences</t>
  </si>
  <si>
    <t>Science Citation Index Expanded (SCI-EXPANDED); Conference Proceedings Citation Index - Science (CPCI-S)</t>
  </si>
  <si>
    <t>Environmental Sciences &amp; Ecology</t>
  </si>
  <si>
    <t>IE9KV</t>
  </si>
  <si>
    <t>WOS:000472694200027</t>
  </si>
  <si>
    <t>Lamela, PA; Navoni, JA; Pérez, RD; Pérez, CA; Vodopivez, CL; Curtosi, A; Bongiovanni, GA</t>
  </si>
  <si>
    <t>Lamela, Paula A.; Navoni, Julio A.; Perez, Roberto D.; Perez, Carlos A.; Vodopivez, Cristian L.; Curtosi, Antonio; Bongiovanni, Guillermina A.</t>
  </si>
  <si>
    <t>Analysis of occurrence, bioaccumulation and molecular targets of arsenic and other selected volcanic elements in Argentinean Patagonia and Antarctic ecosystems</t>
  </si>
  <si>
    <t>SCIENCE OF THE TOTAL ENVIRONMENT</t>
  </si>
  <si>
    <t>Arsenic; Environmental chemistry; Biotransference; Metals and metalloids; SRXRF</t>
  </si>
  <si>
    <t>X-RAY-FLUORESCENCE; SOUTH SHETLAND ISLANDS; CHACO-PAMPEAN PLAIN; TRACE-ELEMENTS; LATERNULA-ELLIPTICA; LATIN-AMERICA; HEAVY-METALS; POTTER COVE; WATER; EXPOSURE</t>
  </si>
  <si>
    <t>In Latin America, the high proportion of arsenic (As) in many groundwaters and phreatic aquifers is related to the volcanism of the Andean Range. Nevertheless, there is still very little published research on As and other elements occurrence, and/or transference to biota in Southern regions such as Argentinean Patagonia and the South Shetland Islands in Antarctica, where there are active volcanoes and geothermal processes. Therefore, this study was aimed to describe water quality from the main rivers of Argentinean Northern Patagonia through physicochemical analysis. The Patagonian and Antarctic biota (including samples of animal, plants, algae and bacteria) was characterized through the analysis of their As and other elemental concentrations (P, S, Cl, K, Ca, Ti, V, Cr, Mn. Fe, Co, Ni, Cu, Zn, Ga, Ge, Se, Br, Rb and Sr), by synchrotron radiation x-ray fluorescence spectroscopy (SRXRF). Finally, the analysis of metal and As-proteins associations in As-accumulating organisms was performed by SRXRF after sodium dodecyl sulphate-polyacrylarnide gel electrophoresis (SDS-PAGE). A wide range of metal concentration including As (up to 950 mu g/L As) was found in water samples from Patagonian rivers. A hierarchical cluster analysis revealed that the elemental concentration of analysed biological samples was related to volcanic environments and their place in the trophic chain. Moreover, the results suggest that Se, Co, Cu, Br, and CI are strong predictors of As in biota. On the other hand. As was not detected in proteins from the studied samples, suggesting biotransformation into soluble As-organic compounds. This is the first study to describe environmental pollution as a consequence of active volcanism, and its influence on water quality and elemental composition of biota in Argentinean Northern Patagonia and Antarctica. (C) 2019 Elsevier B.V. All rights reserved.</t>
  </si>
  <si>
    <t>[Lamela, Paula A.; Bongiovanni, Guillermina A.] Natl Univ Comahue, CONICET CCT Northern Patagonia, PROBIEN Inst Res &amp; Dev Proc Engn Biotechnol &amp; Alt, Neuquen, Argentina; [Navoni, Julio A.] Univ Fed Rio Grande do Norte, PRODEMA Postgrad Program Dev &amp; Environm, Biosci Ctr, Natal, RN, Brazil; [Navoni, Julio A.] Fed Inst Rio Grande do Norte, PPgUSRN Postgrad Program Sustainable Use Nat Reso, Natal, RN, Brazil; [Perez, Roberto D.] Natl Univ Cordoba, Sch Math Astron &amp; Phys, CONICET UNC, IFEG Inst Phys Enrique Gaviola, Cordoba, Argentina; [Perez, Carlos A.] Brazilian Ctr Res Energy &amp; Mat CNPEM, Brazilian Synchrotron Light Lab LNLS, Campinas, SP, Brazil; [Vodopivez, Cristian L.; Curtosi, Antonio] IAA Argentinean Antarctic Inst, Buenos Aires, DF, Argentina; [Bongiovanni, Guillermina A.] Natl Univ Comahue, Sch Agr Sci, Neuquen, Rio Negro, Argentina</t>
  </si>
  <si>
    <t>Universidad Nacional del Comahue; Universidade Federal do Rio Grande do Norte; Instituto Federal do Rio Grande do Norte; Consejo Nacional de Investigaciones Cientificas y Tecnicas (CONICET); National University of Cordoba; Laboratorio Nacional de Luz Sincrotron (LNLS); Universidad Nacional del Comahue</t>
  </si>
  <si>
    <t>Bongiovanni, GA (corresponding author), PROBIEN CONICET UNCo, CP 8300, RA-1400 Buenos Aires, Neuquen, Argentina.</t>
  </si>
  <si>
    <t>guillermina.bongiovanni@probien.gob.ar</t>
  </si>
  <si>
    <t>Bongiovanni, Guillermina/AAI-5067-2021; Pérez, Carlos Alberto/F-9949-2013</t>
  </si>
  <si>
    <t>Bongiovanni, Guillermina/0000-0001-7877-2586; Pérez, Carlos Alberto/0000-0003-4284-3148</t>
  </si>
  <si>
    <t>National Agency of Scientific and Technological Promotion (ANPCyT) [PICT97-PRH33, PICT 2013-0458]; National Council for Scientific and Technological Research [PIP0239, PUE0067]; National University of Comahue [PIN04/N025]; Brazilian financing of the Brazilian Synchrotron Light Laboratory [D09B-XAFS1-15253/2013, D09B-15256/2013, D09B-13495/2012, D09B-11784/2011]; Ministry of Education of Argentina [VT12-UNCOMA4094-2017]</t>
  </si>
  <si>
    <t>National Agency of Scientific and Technological Promotion (ANPCyT)(ANPCyT); National Council for Scientific and Technological Research(Consejo Nacional de Investigaciones Cientificas y Tecnicas (CONICET)); National University of Comahue; Brazilian financing of the Brazilian Synchrotron Light Laboratory; Ministry of Education of Argentina</t>
  </si>
  <si>
    <t>This work was supported by the Argentinean financing of the National Agency of Scientific and Technological Promotion (ANPCyT) (PICT97-PRH33 and PICT 2013-0458), the National Council for Scientific and Technological Research (PIP0239 and PUE0067), theMinistry of Education of Argentina (VT12-UNCOMA4094-2017) and the National University of Comahue (PIN04/N025), and the Brazilian financing of the Brazilian Synchrotron Light Laboratory (D09B-XAFS1-15253/2013, D09B-15256/2013, D09B-13495/2012, D09B-11784/2011). The authors thank Professor Luciana di Pascuale for manuscript revision, and Rene Valero, R. Carmen Maturano, Veronica Sotomayor, Daniela Asencio and Jose Soria for their assistance in the sample preparation.</t>
  </si>
  <si>
    <t>0048-9697</t>
  </si>
  <si>
    <t>1879-1026</t>
  </si>
  <si>
    <t>SCI TOTAL ENVIRON</t>
  </si>
  <si>
    <t>Sci. Total Environ.</t>
  </si>
  <si>
    <t>10.1016/j.scitotenv.2019.05.096</t>
  </si>
  <si>
    <t>IA8ZM</t>
  </si>
  <si>
    <t>WOS:000469847200035</t>
  </si>
  <si>
    <t>Mikis, A; Hendry, KR; Pike, J; Schmidt, DN; Edgar, KM; Peck, V; Peeters, FJC; Leng, MJ; Meredith, MP; Jones, CLC; Stammerjohn, S; Ducklow, H</t>
  </si>
  <si>
    <t>Mikis, Anna; Hendry, Katharine R.; Pike, Jennifer; Schmidt, Daniela N.; Edgar, Kirsty M.; Peck, Victoria; Peeters, Frank J. C.; Leng, Melanie J.; Meredith, Michael P.; Jones, Chloe L. C.; Stammerjohn, Sharon; Ducklow, Hugh</t>
  </si>
  <si>
    <t>Temporal variability in foraminiferal morphology and geochemistry at the West Antarctic Peninsula: a sediment trap study</t>
  </si>
  <si>
    <t>BIOGEOSCIENCES</t>
  </si>
  <si>
    <t>STABLE-ISOTOPE COMPOSITION; NEOGLOBOQUADRINA-PACHYDERMA; SEA-ICE; CONTINENTAL-SHELF; CLIMATE-CHANGE; OXYGEN; FLUX; SEASONALITY; EVOLUTION; PATTERNS</t>
  </si>
  <si>
    <t>The West Antarctic Peninsula (WAP) exhibits strong spatial and temporal oceanographic variability, resulting in highly heterogeneous biological productivity. Calcifying organisms that live in the waters off the WAP respond to temporal and spatial variations in ocean temperature and chemistry. These marine calcifiers are potentially threatened by regional climate change with waters already naturally close to carbonate undersaturation. Future projections of carbonate production in the Southern Ocean are challenging due to the lack of historical data collection and complex, decadal climate variability. Here we present a 6-year-long record of the shell fluxes, morphology and stable isotope variability of the polar planktic foraminifera Neogloboquadrina pachyderma (sensu stricto) from near Palmer Station, Antarctica. This species is fundamental to Southern Ocean planktic carbonate production as it is one of the very few planktic foraminifer species adapted to the marine polar environments. We use these new data to obtain insights into its ecology and to derive a robust assessment of the response of this polar species to environmental change. Morphology and stable isotope composition reveal the presence of different growth stages within this tightly defined species. Inter-and intra-annual variability of foraminiferal flux and size is evident and driven by a combination of environmental forcing parameters, most importantly food availability, temperature and sea ice duration and extent. Foraminiferal growth occurs throughout the austral year and is influenced by environmental change, a large portion of which is driven by the Southern Annular Mode and El Nino-Southern Oscillation. A distinct seasonal production is observed, with the highest shell fluxes during the warmest and most productive months of the year. The sensitivity of calcifying foraminifera to environmental variability in this region, from weeks to decades, has implications both for their response to future climatic change and for their use as palaeoclimate indicators. A longer ice-free season could increase carbonate production in this region at least while carbonate saturation is still high enough to allow for thick tests to grow.</t>
  </si>
  <si>
    <t>[Mikis, Anna; Pike, Jennifer] Cardiff Univ, Sch Earth &amp; Ocean Sci, Main Bldg, Cardiff CF10 3AT, S Glam, Wales; [Hendry, Katharine R.; Schmidt, Daniela N.; Edgar, Kirsty M.; Jones, Chloe L. C.] Univ Bristol, Sch Earth Sci, Wills Mem Bldg,Queens Rd, Bristol BS8 1RJ, Avon, England; [Edgar, Kirsty M.] Univ Birmingham, Sch Geog Earth &amp; Environm Sci, Birmingham B15 2TT, W Midlands, England; [Peck, Victoria; Meredith, Michael P.] British Antarctic Survey, Madingley Rd, Cambridge CB3 0ET, England; [Peeters, Frank J. C.] Vrije Univ Amsterdam, Fac Sci, Dept Earth Sci, De Boelelaan 1085, NL-1081 HV Amsterdam, Netherlands; [Leng, Melanie J.] British Geol Survey, NERC Isotope Geosci Facil, Nottingham NG12 5GG, England; [Leng, Melanie J.] Univ Nottingham, Sch Biosci, Ctr Environm Geochem, Sutton Bonington Campus, Loughborough LE12 5RD, Leics, England; [Stammerjohn, Sharon] Univ Colorado Boulder, Inst Arctic &amp; Alpine Res, Boulder, CO 80303 USA; [Ducklow, Hugh] Columbia Univ, Lamont Doherty Earth Observ, 61 Route 9W, Palisades, NY 10964 USA</t>
  </si>
  <si>
    <t>Cardiff University; University of Bristol; University of Birmingham; UK Research &amp; Innovation (UKRI); Natural Environment Research Council (NERC); NERC British Antarctic Survey; Vrije Universiteit Amsterdam; UK Research &amp; Innovation (UKRI); Natural Environment Research Council (NERC); NERC British Geological Survey; University of Nottingham; University of Colorado System; University of Colorado Boulder; Columbia University</t>
  </si>
  <si>
    <t>k.hendry@bristol.ac.uk</t>
  </si>
  <si>
    <t>Edgar, Kirsty/AAR-9052-2021; Pike, Jennifer/D-2589-2009; Jones, Chloe L. C./AAX-2350-2021; Hendry, Katharine/E-4793-2011</t>
  </si>
  <si>
    <t>Edgar, Kirsty/0000-0001-7587-9951; Pike, Jennifer/0000-0001-9415-6003; Jones, Chloe L. C./0000-0003-0684-2404; Mikis, Anna/0000-0002-5166-6211; Leng, Melanie/0000-0003-1115-5166; Schmidt, Daniela/0000-0001-8419-2721; Meredith, Michael/0000-0002-7342-7756; Hendry, Katharine/0000-0002-0790-5895</t>
  </si>
  <si>
    <t>Cardiff University President's Scholarship; US NSF Office of Polar Programs [PLR-1440435]; Royal Society University Research Fellowship [UF120084]; Royal Society Wolfson Merit Award; Leverhulme Trust Early Career Fellowship; Antarctic Science Ltd.; NERC [NE/M013782/1, bas0100030, bas0100033] Funding Source: UKRI; Royal Society [UF120084] Funding Source: Royal Society</t>
  </si>
  <si>
    <t>Cardiff University President's Scholarship; US NSF Office of Polar Programs(National Science Foundation (NSF)); Royal Society University Research Fellowship(Royal Society); Royal Society Wolfson Merit Award(Royal Society); Leverhulme Trust Early Career Fellowship(Leverhulme Trust); Antarctic Science Ltd.; NERC(UK Research &amp; Innovation (UKRI)Natural Environment Research Council (NERC)); Royal Society(Royal Society)</t>
  </si>
  <si>
    <t>Anna Mikis was supported by a Cardiff University President's Scholarship, and the stable isotope analysis was funded by an Antarctic Science Ltd. International Bursary awarded to Anna Mikis. The sediment trap time series has been funded by a series of awards from the US NSF Office of Polar Programs, including award PLR-1440435 to Hugh Ducklow. Katharine R. Hendry is funded by a Royal Society University Research Fellowship (grant no. UF120084), and Daniela N. Schmidt is supported by a Royal Society Wolfson Merit Award. Kirsty M. Edgar was supported by a Leverhulme Trust Early Career Fellowship.</t>
  </si>
  <si>
    <t>COPERNICUS GESELLSCHAFT MBH</t>
  </si>
  <si>
    <t>GOTTINGEN</t>
  </si>
  <si>
    <t>BAHNHOFSALLEE 1E, GOTTINGEN, 37081, GERMANY</t>
  </si>
  <si>
    <t>1726-4170</t>
  </si>
  <si>
    <t>1726-4189</t>
  </si>
  <si>
    <t>Biogeosciences</t>
  </si>
  <si>
    <t>AUG 30</t>
  </si>
  <si>
    <t>10.5194/bg-16-3267-2019</t>
  </si>
  <si>
    <t>Ecology; Geosciences, Multidisciplinary</t>
  </si>
  <si>
    <t>Environmental Sciences &amp; Ecology; Geology</t>
  </si>
  <si>
    <t>IV1QL</t>
  </si>
  <si>
    <t>Green Accepted, Green Submitted, gold</t>
  </si>
  <si>
    <t>WOS:000484052700001</t>
  </si>
  <si>
    <t>Palmer, MD; Durack, PJ; Chidichimo, MP; Church, JA; Cravatte, S; Hill, K; Johannessen, JA; Karstensen, J; Lee, T; Legler, D; Mazloff, M; Oka, E; Purkey, S; Rabe, B; Sallée, JB; Sloyan, BM; Speich, S; von Schuckmann, K; Willis, J; Wijffels, S</t>
  </si>
  <si>
    <t>Palmer, Matthew D.; Durack, Paul J.; Paz Chidichimo, Maria; Church, John A.; Cravatte, Sophie; Hill, Katy; Johannessen, Johnny A.; Karstensen, Johannes; Lee, Tong; Legler, David; Mazloff, Matt; Oka, Eitarou; Purkey, Sarah; Rabe, Ben; Sallee, Jean-Baptiste; Sloyan, Bernadette M.; Speich, Sabrina; von Schuckmann, Karina; Willis, Josh; Wijffels, Susan</t>
  </si>
  <si>
    <t>Adequacy of the Ocean Observation System for Quantifying Regional Heat and Freshwater Storage and Change</t>
  </si>
  <si>
    <t>FRONTIERS IN MARINE SCIENCE</t>
  </si>
  <si>
    <t>heat content; freshwater content; salinity; temperature; ocean observing system; climate change; climate variability; observing system design</t>
  </si>
  <si>
    <t>NORTH-ATLANTIC OCEAN; ANTARCTIC BOTTOM WATER; MERIDIONAL OVERTURNING CIRCULATION; SEA-SURFACE SALINITY; REANALYSES INTERCOMPARISON PROJECT; GLOBAL OCEAN; SOUTHERN-OCEAN; EL-NINO; OBSERVING SYSTEM; LEVEL RISE</t>
  </si>
  <si>
    <t>Considerable advances in the global ocean observing system over the last two decades offers an opportunity to provide more quantitative information on changes in heat and freshwater storage. Variations in these storage terms can arise through internal variability and also the response of the ocean to anthropogenic climate change. Disentangling these competing influences on the regional patterns of change and elucidating their governing processes remains an outstanding scientific challenge. This challenge is compounded by instrumental and sampling uncertainties. The combined use of ocean observations and model simulations is the most viable method to assess the forced signal from noise and ascertain the primary drivers of variability and change. Moreover, this approach offers the potential for improved seasonal-to-decadal predictions and the possibility to develop powerful multi-variate constraints on climate model future projections. Regional heat storage changes dominate the steric contribution to sea level rise over most of the ocean and are vital to understanding both global and regional heat budgets. Variations in regional freshwater storage are particularly relevant to our understanding of changes in the hydrological cycle and can potentially be used to verify local ocean mass addition from terrestrial and cryospheric systems associated with contemporary sea level rise. This White Paper will examine the ability of the current ocean observing system to quantify changes in regional heat and freshwater storage. In particular we will seek to answer the question: What time and space scales are currently resolved in different regions of the global oceans? In light of some of the key scientific questions, we will discuss the requirements for measurement accuracy, sampling, and coverage as well as the synergies that can be leveraged by more comprehensively analyzing the multi-variable arrays provided by the integrated observing system.</t>
  </si>
  <si>
    <t>[Palmer, Matthew D.] Met Off Hadley Ctr, Exeter, Devon, England; [Durack, Paul J.] US DOE, Lawrence Livermore Natl Lab, Livermore, CA USA; [Paz Chidichimo, Maria] Consejo Nacl Invest Cient &amp; Tecn, Natl Sci &amp; Tech Res Council, Buenos Aires, DF, Argentina; [Church, John A.] Univ New South Wales, Climate Change Res Ctr, Sydney, NSW, Australia; [Cravatte, Sophie] Inst Rech Dev, Noumea, New Caledonia; [Hill, Katy] World Meteorol Org, Geneva, Switzerland; [Johannessen, Johnny A.] Nansen Environm &amp; Remote Sensing Ctr, Bergen, Norway; [Karstensen, Johannes] GEOMAR Helmholtz Ctr Ocean Res Kiel, Kiel, Germany; [Lee, Tong; Willis, Josh] CALTECH, NASA, Jet Prop Lab, Pasadena, CA 91125 USA; [Legler, David] NOAA, Ocean Observing &amp; Monitoring Div, Climate Program Off, Silver Spring, MD USA; [Mazloff, Matt; Purkey, Sarah] Univ Calif San Diego, Scripps Inst Oceanog, San Diego, CA 92103 USA; [Oka, Eitarou] Univ Tokyo, Atmosphere &amp; Ocean Res Inst, Kashiwa, Chiba, Japan; [Rabe, Ben] Helmholtz Ctr Polar &amp; Marine Res, Alfred Wegener Inst, Bremerhaven, Germany; [Sallee, Jean-Baptiste] LOCEAN, UMR 7159, Paris, France; [Sloyan, Bernadette M.] CSIRO, Oceans &amp; Atmosphere, Hobart, Tas, Australia; [Speich, Sabrina] Ecole Normale Super, Lab Meteorol Dynam LMD UMR8539, Paris, France; [von Schuckmann, Karina] Mercator Ocean, Ramonville St Agne, France; [Wijffels, Susan] Woods Hole Oceanog Inst, Woods Hole, MA 02543 USA</t>
  </si>
  <si>
    <t>Met Office - UK; Hadley Centre; United States Department of Energy (DOE); Lawrence Livermore National Laboratory; Consejo Nacional de Investigaciones Cientificas y Tecnicas (CONICET); University of New South Wales Sydney; Institut de Recherche pour le Developpement (IRD); Nansen Environmental &amp; Remote Sensing Center (NERSC); Helmholtz Association; GEOMAR Helmholtz Center for Ocean Research Kiel; National Aeronautics &amp; Space Administration (NASA); NASA Jet Propulsion Laboratory (JPL); California Institute of Technology; National Oceanic Atmospheric Admin (NOAA) - USA; University of California System; University of California San Diego; Scripps Institution of Oceanography; University of Tokyo; Helmholtz Association; Alfred Wegener Institute, Helmholtz Centre for Polar &amp; Marine Research; Museum National d'Histoire Naturelle (MNHN); Sorbonne Universite; Centre National de la Recherche Scientifique (CNRS); CNRS - National Institute for Earth Sciences &amp; Astronomy (INSU); Commonwealth Scientific &amp; Industrial Research Organisation (CSIRO); Universite PSL; Ecole Normale Superieure (ENS); Ecole des Ponts ParisTech; Woods Hole Oceanographic Institution</t>
  </si>
  <si>
    <t>Palmer, MD (corresponding author), Met Off Hadley Ctr, Exeter, Devon, England.</t>
  </si>
  <si>
    <t>matthew.palmer@metoffice.gov.uk</t>
  </si>
  <si>
    <t>Durack, Paul James/A-8758-2010; Cravatte, Sophie/AAI-4635-2021; Karstensen, Johannes/A-8534-2013; Lee, Tony/JDM-3564-2023; Wijffels, Susan E/I-8215-2012; Sloyan, Bernadette/N-8989-2014; Rabe, Benjamin/G-2999-2011; Lee, Tong/AAZ-6447-2020; von Schuckmann, Karina/AAZ-8897-2021; SALLEE, Jean baptiste/HDO-5355-2022; Church, John A/A-1541-2012; Purkey, Sarah G/K-1983-2012; Mazloff, Matthew/AAG-6463-2019; Speich, Sabrina/L-3780-2014; Willis, Josh/AGY-7817-2022; Legler, David/AAB-7918-2019; SALLEE, Jean baptiste/A-5837-2010</t>
  </si>
  <si>
    <t>Durack, Paul James/0000-0003-2835-1438; Cravatte, Sophie/0000-0002-2439-8952; Karstensen, Johannes/0000-0001-5044-7079; Sloyan, Bernadette/0000-0003-0250-0167; Rabe, Benjamin/0000-0001-5794-9856; Lee, Tong/0000-0001-9817-2908; von Schuckmann, Karina/0000-0002-9922-8528; Church, John A/0000-0002-7037-8194; Mazloff, Matthew/0000-0002-1650-5850; Speich, Sabrina/0000-0002-5452-8287; Wijffels, Susan/0000-0002-4717-0811; Chidichimo, Maria Paz/0000-0002-4745-9017; SALLEE, Jean baptiste/0000-0002-6109-5176; Palmer, Matthew/0000-0001-7422-198X; Purkey, Sarah/0000-0002-1893-6224</t>
  </si>
  <si>
    <t>Met Office Hadley Centre Climate Programme - BEIS; Defra; European Union's Horizon 2020 Research and Innovation Program [633211]; Lawrence Livermore National Laboratory (LLNL) [DE-AC52-07NA27344]; Centre for Southern Hemisphere Oceans Research; Australian Government Department of the Environment; CSIRO through the National Environmental Science Program; IRD; French national program LEFE/INSU; German Alfred-Wegener-Institut Helmholtz-Zentrum fur Polar-und Meeresforschung (AWI); CNRS/INSU; Horizon 2020 Research and Innovation Program [637770]; French Institution ENS; French Institution LMD; French Institution IPSL; French Institution CNRS/INSU</t>
  </si>
  <si>
    <t>Met Office Hadley Centre Climate Programme - BEIS; Defra(Department for Environment, Food &amp; Rural Affairs (DEFRA)); European Union's Horizon 2020 Research and Innovation Program(Horizon 2020); Lawrence Livermore National Laboratory (LLNL); Centre for Southern Hemisphere Oceans Research(Commonwealth Scientific &amp; Industrial Research Organisation (CSIRO)); Australian Government Department of the Environment(Australian Government); CSIRO through the National Environmental Science Program; IRD; French national program LEFE/INSU; German Alfred-Wegener-Institut Helmholtz-Zentrum fur Polar-und Meeresforschung (AWI); CNRS/INSU(Centre National de la Recherche Scientifique (CNRS)); Horizon 2020 Research and Innovation Program(Horizon 2020); French Institution ENS; French Institution LMD; French Institution IPSL; French Institution CNRS/INSU</t>
  </si>
  <si>
    <t>MP was supported by the Met Office Hadley Centre Climate Programme funded by the BEIS and Defra, and the European Union's Horizon 2020 Research and Innovation Program under grant Agreement No. 633211 (AtlantOS). The work of PD was prepared the by Lawrence Livermore National Laboratory (LLNL) under Contract DE-AC52-07NA27344 and is a contribution to the U.S. Department of Energy, Office of Science, Climate and Environmental Sciences Division, Regional and Global Modeling and Analysis Program. LLNL Release number: LLNL-JRNL-761158. BS and JC was partially supported by the Centre for Southern Hemisphere Oceans Research, a joint research center between the QNLM and the CSIRO. BS was also supported by the Australian Government Department of the Environment and CSIRO through the National Environmental Science Program. SC was supported by the IRD and by the French national program LEFE/INSU. SC thanks W. Kessler for suggestions concerning Figure 6. BR was supported by the German Alfred-Wegener-Institut Helmholtz-Zentrum fur Polar-und Meeresforschung (AWI). J-BS was supported by the CNRS/INSU and the Horizon 2020 Research and Innovation Program under Grant Agreement 637770. SS was supported by the French Institutions ENS, LMD, IPSL, and CNRS/INSU. The work of JW was performed in part at the Jet Propulsion Laboratory, California Institute of Technology, under contract with the National Aeronautics and Space Administration.</t>
  </si>
  <si>
    <t>FRONTIERS MEDIA SA</t>
  </si>
  <si>
    <t>LAUSANNE</t>
  </si>
  <si>
    <t>AVENUE DU TRIBUNAL FEDERAL 34, LAUSANNE, CH-1015, SWITZERLAND</t>
  </si>
  <si>
    <t>2296-7745</t>
  </si>
  <si>
    <t>FRONT MAR SCI</t>
  </si>
  <si>
    <t>Front. Mar. Sci.</t>
  </si>
  <si>
    <t>AUG 29</t>
  </si>
  <si>
    <t>10.3389/fmars.2019.00416</t>
  </si>
  <si>
    <t>Environmental Sciences; Marine &amp; Freshwater Biology</t>
  </si>
  <si>
    <t>Environmental Sciences &amp; Ecology; Marine &amp; Freshwater Biology</t>
  </si>
  <si>
    <t>IT7KV</t>
  </si>
  <si>
    <t>gold, Green Accepted, Green Published, Green Submitted</t>
  </si>
  <si>
    <t>WOS:000483055000001</t>
  </si>
  <si>
    <t>Zampieri, L; Goessling, HF; Jung, T</t>
  </si>
  <si>
    <t>Zampieri, Lorenzo; Goessling, Helge F.; Jung, Thomas</t>
  </si>
  <si>
    <t>Predictability of Antarctic Sea Ice Edge on Subseasonal Time Scales</t>
  </si>
  <si>
    <t>GEOPHYSICAL RESEARCH LETTERS</t>
  </si>
  <si>
    <t>SEASONAL FORECAST; PREDICTION; OCEAN; MODEL</t>
  </si>
  <si>
    <t>Coupled subseasonal forecast systems with dynamical sea ice have the potential of providing important predictive information in polar regions. Here, we evaluate the ability of operational ensemble prediction systems to predict the location of the sea ice edge in Antarctica. Compared to the Arctic, Antarctica shows on average a 30% lower skill, with only one system remaining more skillful than a climatological benchmark up to -30 days ahead. Skill tends to be highest in the west Antarctic sector during the early freezing season. Most of the systems tend to overestimate the sea ice edge extent and fail to capture the onset of the melting season. All the forecast systems exhibit large initial errors. We conclude that subseasonal sea ice predictions could provide marginal support for decision-making only in selected seasons and regions of the Southern Ocean. However, major progress is possible through investments in model development, forecast initialization and calibration. Plain Language Summary Being able to predict the evolution of the ice edge location from weeks to months in advance is crucial to ensure the safety and effectiveness of human activities in polar regions. This study evaluates the ability of six operational forecasting systems in predicting the evolution of the sea ice edge around the Antarctic continent. We find that only one system produces potentially useful forecast up to 1 month ahead. The dynamical forecasts are relatively more skillful in the west Antarctic sector, where the skill of statistical forecasts based on observational records tends to be reduced due to higher variability. Furthermore, our results show that forecasts initialized around the date of minimum sea ice extent exhibit low errors at the beginning of the freezing season. Overall, errors associated with current subseasonal Antarctic sea ice forecasts seem to be too large for the forecasts to be employed operationally for navigation purposes, although they might be useful already in selected seasons and regions around Antarctica. We expect that major progress is possible through future investments from the operational centers into model development, initialization, and calibration.</t>
  </si>
  <si>
    <t>[Zampieri, Lorenzo; Goessling, Helge F.; Jung, Thomas] Helmholtz Zentrum Polar &amp; Meeresforsch, Alfred Wegener Inst, Bremerhaven, Germany; [Jung, Thomas] Univ Bremen, Fac Phys &amp; Elect Engn, Bremen, Germany</t>
  </si>
  <si>
    <t>Helmholtz Association; Alfred Wegener Institute, Helmholtz Centre for Polar &amp; Marine Research; University of Bremen</t>
  </si>
  <si>
    <t>Zampieri, L (corresponding author), Helmholtz Zentrum Polar &amp; Meeresforsch, Alfred Wegener Inst, Bremerhaven, Germany.</t>
  </si>
  <si>
    <t>lorenzo.zampieri@awi.de</t>
  </si>
  <si>
    <t>Zampieri, Lorenzo/AAS-9328-2021; Goessling, Helge/AAE-1597-2020; Jung, Thomas/J-5239-2012</t>
  </si>
  <si>
    <t>Zampieri, Lorenzo/0000-0003-1703-4162; Goessling, Helge/0000-0001-9018-1383; Jung, Thomas/0000-0002-2651-1293</t>
  </si>
  <si>
    <t>Federal Ministry of Education and Research of Germany [01LN1701A]; European Union's Horizon 2020 Research and Innovation program project APPLICATE [727862]</t>
  </si>
  <si>
    <t>Federal Ministry of Education and Research of Germany(Federal Ministry of Education &amp; Research (BMBF)); European Union's Horizon 2020 Research and Innovation program project APPLICATE</t>
  </si>
  <si>
    <t>All data analyzed here are openly available. The S2S forecasts database is hosted at ECMWF and at CMA; the data can be retrieved from the ECMWF data portal at http://apps.ecmwf.int/datasets/data/s2s/levtype=sfc/type=cf/. The OSI-SAF sea ice concentration product can be retrieved from the MET Norway FTP server at ftp://osisaf.met.no/reprocessed/ice/conc/osi-450/. We are very grateful to theWorld Weather Research Program (WWRP) and to the World Climate Research Program (WCRP), to operational forecast centers and individuals that contribute to the S2S database, as we are grateful to all those involved in implementing and maintaining the database. We also acknowledge the OSI-SAF consortium for making their sea ice concentration products available. L.Z. and H.F.G. acknowledge the financial support by the Federal Ministry of Education and Research of Germany in the framework of SSIP (grant 01LN1701A). T.J. acknowledges the funding from the European Union's Horizon 2020 Research and Innovation program project APPLICATE (grant 727862). Finally, we thank two anonymous reviewers for their constructive comments that contributed to improve the manuscript.</t>
  </si>
  <si>
    <t>0094-8276</t>
  </si>
  <si>
    <t>1944-8007</t>
  </si>
  <si>
    <t>GEOPHYS RES LETT</t>
  </si>
  <si>
    <t>Geophys. Res. Lett.</t>
  </si>
  <si>
    <t>AUG 28</t>
  </si>
  <si>
    <t>10.1029/2019GL084096</t>
  </si>
  <si>
    <t>JE8VA</t>
  </si>
  <si>
    <t>WOS:000490966700046</t>
  </si>
  <si>
    <t>Sun, S; Hattermann, T; Pattyn, F; Nicholls, KW; Drews, R; Berger, S</t>
  </si>
  <si>
    <t>Sun, Sainan; Hattermann, Tore; Pattyn, Frank; Nicholls, Keith W.; Drews, Reinhard; Berger, Sophie</t>
  </si>
  <si>
    <t>Topographic Shelf Waves Control Seasonal Melting Near Antarctic Ice Shelf Grounding Lines</t>
  </si>
  <si>
    <t>PHASE-SENSITIVE RADAR; WEDDELL SEA; SHEET; OCEAN; SURFACE; RATES; TIDES; THICKNESS; TRANSPORT; GLACIER</t>
  </si>
  <si>
    <t>The buttressing potential of ice shelves is modulated by changes in subshelf melting, in response to changing ocean conditions. We analyze the temporal variability in subshelf melting using an autonomous phase-sensitive radio-echo sounder near the grounding line of the Roi Baudouin Ice Shelf in East Antarctica. When combined with additional oceanographic evidence of seasonal variations in the stratification and the amplification of diurnal tides around the shelf break topography (Gunnerus Bank), the results suggest an intricate mechanism in which topographic waves control the seasonal melt rate variability near the grounding line. This mechanism has not been considered before and has the potential to enhance local melt rates without advecting different water masses. As topographic waves seem to strengthen in a stratified ocean, the freshening of Antarctic surface water, predicted by observations and models, is likely to increase future basal melting in this area. Plain Language Summary Ice shelves (or the floating parts of the Antarctic ice sheet) lose primarily mass through melting at their bottom in contact with the ocean. This thins them and makes them more vulnerable to potential collapse. To understand the processes governing such thinning, direct and long-time measurements are essential. Here we report on the first high-resolution time series of direct melt measurements on the Roi Baudouin Ice Shelf in Dronning Maud Land during 2016. We find that subshelf melt varies on both seasonal and daily time scales. Temporal variations stem from topographical ocean waves that originate on the continental shelf and transfer ocean properties without time delay within the ice shelf cavity. Therefore, seasonal variations highly depend on the presence/absence of sea ice in front of the ice shelf, which impact the strength of topographical waves. This mechanism is highly efficient at increasing the ice-ocean exchanges and may explain regional differences in ice shelf melt.</t>
  </si>
  <si>
    <t>[Sun, Sainan; Pattyn, Frank] Univ Libre Bruxelles, Brussels, Belgium; [Hattermann, Tore] Norwegian Polar Res Inst, Tromso, Norway; [Nicholls, Keith W.] British Antarctic Survey, Cambridge, England; [Drews, Reinhard] Univ Tubingen, Dept Geosci, Tubingen, Germany; [Berger, Sophie] Hemholtz Ctr Polar &amp; Marine Res, Alfred Wegener Inst, Bremerhaven, Germany</t>
  </si>
  <si>
    <t>Universite Libre de Bruxelles; Norwegian Polar Institute; UK Research &amp; Innovation (UKRI); Natural Environment Research Council (NERC); NERC British Antarctic Survey; Eberhard Karls University of Tubingen; Helmholtz Association; Alfred Wegener Institute, Helmholtz Centre for Polar &amp; Marine Research</t>
  </si>
  <si>
    <t>Sun, S (corresponding author), Univ Libre Bruxelles, Brussels, Belgium.</t>
  </si>
  <si>
    <t>sainsun@ulb.ac.be</t>
  </si>
  <si>
    <t>Drews, reinhard/AAP-4134-2021; Pattyn, Frank/AAA-9640-2019</t>
  </si>
  <si>
    <t>Drews, reinhard/0000-0002-2328-294X; Pattyn, Frank/0000-0003-4805-5636; Berger, Sophie/0000-0003-4095-9323; Sun, Sainan/0000-0002-1614-2658</t>
  </si>
  <si>
    <t>DFG Emmy Noether Grant [DR 822/3-1]; Belgian Federal Science Policy Office [SD/CA/06A]; NERC [bas0100033] Funding Source: UKRI</t>
  </si>
  <si>
    <t>DFG Emmy Noether Grant(German Research Foundation (DFG)); Belgian Federal Science Policy Office(Belgian Federal Science Policy Office); NERC(UK Research &amp; Innovation (UKRI)Natural Environment Research Council (NERC))</t>
  </si>
  <si>
    <t>We thank X. Asay-Davis and the anonymous reviewer for their constructive comments. This paper forms a contribution to the Belgian Research Programme on the Antarctic (Belgian Federal Science Policy Office), project SD/CA/06A (Constraining Ice Mass Change in Antarctica, IceCon) and the FNRS-PDR (Fonds de la Recherche Scientifique) project MEDRISM and the BELSPO MIMO project (Stereo III). We received excellent logistic support by the Belgian Military, AntarctiQ and the International Polar Foundation during the field campaigns. R. Drews was partially supported by the DFG Emmy Noether Grant DR 822/3-1. The time series of melt rates are available via pangaea repository (https://doi.pangaea.de/10.1594/PANGAEA.903182).We would like to thank Laura de Steur (Norwegian Polar Institute) for providing the mean seasonal cycle from the Fimbul Ice Shelf mooring data, which are available via (https://data.npolar.no upon request.</t>
  </si>
  <si>
    <t>10.1029/2019GL083881</t>
  </si>
  <si>
    <t>Green Submitted, Green Accepted</t>
  </si>
  <si>
    <t>WOS:000490966700057</t>
  </si>
  <si>
    <t>Ayres, HC; Screen, JA</t>
  </si>
  <si>
    <t>Ayres, H. C.; Screen, J. A.</t>
  </si>
  <si>
    <t>Multimodel Analysis of the Atmospheric Response to Antarctic Sea Ice Loss at Quadrupled CO2</t>
  </si>
  <si>
    <t>ARCTIC AMPLIFICATION; CIRCULATION RESPONSE; TRENDS; BIASES; EXTENT; OCEAN</t>
  </si>
  <si>
    <t>Antarctic sea ice cover is projected to significantly decrease by the end of the twenty-first century if greenhouse gas concentrations continue to rise, with potential consequences for Southern Hemisphere weather and climate. Here we examine the atmospheric response to projected Antarctic sea ice loss at quadrupled CO2, inferred from 11 Coupled Model Intercomparison Project phase 5 models. Our study is the first multimodel analysis of the atmospheric response to Antarctic sea ice loss. Projected sea ice loss enhances the negative phase of the Southern Annular Mode, which slightly damps the positive Southern Annular Mode response to increased CO2, particularly in spring. The negative Southern Annular Mode response largely reflects a weakening of the eddy-driven jet, and to a lesser extent, an equatorward shift of the jet. Sea ice loss induces near-surface warming over the high-latitude Southern Ocean, but warming does not penetrate over the Antarctic continent. In spring, we find multimodel evidence for a weakened polar stratospheric vortex in response to sea ice loss. Plain Language Summary Increasing greenhouse gases through human activities are predicted to cause a decrease in Antarctic sea ice cover by the end of the century. If this happens, it is unknown what the impacts on Southern Hemisphere weather and climate could be. The aim of this study was to use simulations from 11 climate models to explore the potential consequences of future Antarctic sea ice loss. We analyzed model simulations with CO2 quadrupled from preindustrial levels, which led to large reductions in Antarctic sea ice. We found that sea ice loss led to warmer temperatures in the lowermost atmosphere over the Southern Ocean, but that this warming did not penetrate the Antarctic continent. Sea ice loss also had an impact on the predominantly westerly winds that encircle Antarctica, causing them to weaken. Climate models have some difficulties in representing Antarctic sea ice, and as a result, projections of Antarctic sea ice are highly uncertain. Our results imply that reducing uncertainties in projections of Antarctic sea ice may lead to better forecasts of future changes in Southern Hemisphere weather and climate.</t>
  </si>
  <si>
    <t>[Ayres, H. C.; Screen, J. A.] Univ Exeter, Coll Engn Math &amp; Phys Sci, Exeter, Devon, England</t>
  </si>
  <si>
    <t>University of Exeter</t>
  </si>
  <si>
    <t>Ayres, HC (corresponding author), Univ Exeter, Coll Engn Math &amp; Phys Sci, Exeter, Devon, England.</t>
  </si>
  <si>
    <t>ha392@exeter.ac.uk</t>
  </si>
  <si>
    <t>Screen, James A/D-7588-2013</t>
  </si>
  <si>
    <t>Ayres, Holly/0000-0003-0294-7620; Screen, James/0000-0003-1728-783X</t>
  </si>
  <si>
    <t>University of Exeter [NE/N018486/1]; NERC [NE/N018486/1] Funding Source: UKRI</t>
  </si>
  <si>
    <t>University of Exeter; NERC(UK Research &amp; Innovation (UKRI)Natural Environment Research Council (NERC))</t>
  </si>
  <si>
    <t>We thank Thomas Bracegirdle for the useful discussions and for commenting on an earlier draft of the paper. We acknowledge the World Climate Research Programme Working Group on Coupled Modelling, which is responsible for CMIP, and the modeling groups listed in Table S1 for producing the simulations and making available their output. CMIP data were obtained from the British Atmospheric Data Centre. This study is supported by the Robust Spatial Projections of RealWorld Climate Change (NERC, research grant NE/N018486/1) and the University of Exeter.</t>
  </si>
  <si>
    <t>10.1029/2019GL083653</t>
  </si>
  <si>
    <t>WOS:000490966700061</t>
  </si>
  <si>
    <t>King, ACF; Thomas, ER; Pedro, JB; Markle, B; Potocki, M; Jackson, SL; Wolff, E; Kalberer, M</t>
  </si>
  <si>
    <t>King, A. C. F.; Thomas, E. R.; Pedro, J. B.; Markle, B.; Potocki, M.; Jackson, S. L.; Wolff, E.; Kalberer, M.</t>
  </si>
  <si>
    <t>Organic Compounds in a Sub-Antarctic Ice Core: A Potential Suite of Sea Ice Markers</t>
  </si>
  <si>
    <t>FATTY-ACIDS; METHANESULFONIC-ACID; DICARBOXYLIC-ACIDS; CLIMATE-CHANGE; AEROSOL; DICARBONYLS; BIOMARKERS; RECORD; ALASKA; OCEAN</t>
  </si>
  <si>
    <t>Investigation of organic compounds in ice cores can potentially unlock a wealth of new information in these climate archives. We present results from the first ever ice core drilled on sub-Antarctic island Bouvet, representing a climatologically important but understudied region. We analyze a suite of novel and more familiar organic compounds in the ice core, alongside commonly measured ions. Methanesulfonic acid shows a significant, positive correlation to winter sea ice concentration, as does a fatty acid compound, oleic acid. Both may be sourced from spring phytoplankton blooms, which are larger following greater sea ice extent in the preceding winter. Oxalate, formate, and acetate are positively correlated to sea ice concentration in summer, but sources of these require further investigation. This study demonstrates the potential application of organic compounds from the marine biosphere in generating multiproxy sea ice records, which is critical in improving our understanding of past sea ice changes. Plain Language Summary Ice cores are vertical cylinders of ice drilled from an ice sheet, younger at the top and older at the bottom. Particles emitted from plants and animals on land and in the ocean, containing organic chemical compounds, are carried by atmospheric circulation, deposited on the ice surface, and become trapped inside ice layers. They are a record of environmental conditions at the location and time the particles originally formed. Here, we look for a number of these organic compounds in an ice core from Bouvet Island in the sub-Antarctic. We find the amounts of some are related to amounts of sea ice around the island in the spring. This is because the particles are originally emitted by phytoplankton, for which the amount of sea ice that year controls the amount of phytoplankton (more sea ice in the winter = greater area of sea ice break up in spring = more phytoplankton in spring). We find other organic compounds are related to amounts of sea ice in summer, but their sources are less well known. Combining these records with their relationships to sea ice will be useful in helping us to better understand sea ice changes in the past.</t>
  </si>
  <si>
    <t>[King, A. C. F.; Thomas, E. R.; Jackson, S. L.] British Antarcnc Survey, Cambridge, England; [King, A. C. F.; Kalberer, M.] Univ Cambridge, Dept Chem, Cambridge, England; [Pedro, J. B.] Univ Tasmania, Antarctic Climate &amp; Ecosyst, Hobart, Tas, Australia; [Pedro, J. B.] Univ Copenhagen, Niels Bohr Inst, Phys Ice Climate &amp; Earth, Copenhagen, Denmark; [Markle, B.] CALTECH, Div Geol &amp; Planetary Sci, Pasadena, CA 91125 USA; [Potocki, M.] Univ Maine, Climate Change Inst, Orono, ME USA; [Potocki, M.] Univ Maine, Sch Earth &amp; Climate Sci, Orono, ME USA; [Jackson, S. L.] Australian Natl Univ, Res Sch Earth Sci, Canberra, ACT, Australia; [Wolff, E.] Univ Cambridge, Dept Earth Sci, Cambridge, England; [Kalberer, M.] Univ Base, Dept Environm Sci, Basel, Switzerland</t>
  </si>
  <si>
    <t>University of Cambridge; University of Tasmania; University of Copenhagen; Niels Bohr Institute; California Institute of Technology; University of Maine System; University of Maine Orono; University of Maine System; University of Maine Orono; Australian National University; University of Cambridge</t>
  </si>
  <si>
    <t>King, ACF; Thomas, ER (corresponding author), British Antarcnc Survey, Cambridge, England.;King, ACF (corresponding author), Univ Cambridge, Dept Chem, Cambridge, England.</t>
  </si>
  <si>
    <t>amyking@bas.ac.uk; lith@bas.ac.uk</t>
  </si>
  <si>
    <t>Wolff, Eric W/D-7925-2014; Pedro, Joel Benjamin/L-8918-2019; Thomas, Elizabeth Ruth/ADF-3660-2022</t>
  </si>
  <si>
    <t>Wolff, Eric W/0000-0002-5914-8531; Pedro, Joel Benjamin/0000-0002-0728-2712; Thomas, Elizabeth Ruth/0000-0002-3010-6493; King, Amy/0000-0002-1285-7568; Jackson, Sarah/0000-0003-4829-0687; Markle, Bradley/0000-0002-2282-6546; Kalberer, Markus/0000-0001-8885-6556</t>
  </si>
  <si>
    <t>Natural Environment Research Council, UK Research Innovation; NERC [bas0100034] Funding Source: UKRI</t>
  </si>
  <si>
    <t>Natural Environment Research Council, UK Research Innovation; NERC(UK Research &amp; Innovation (UKRI)Natural Environment Research Council (NERC))</t>
  </si>
  <si>
    <t>The authors would like to acknowledge Emily Ludlow and Shaun Miller for analyses and processing of major ion and isotope data from the Bouvet ice core samples, Scott Hosking for calculation of regional SIE data, and the funders and coordinators of the Antarctic Circumnavigation Expedition for facilitating collection of the Bouvet Island ice core, alongside Julia Schmale and Roger Stilwell who helped to drill the ice core. We are grateful to the Norwegian Polar Institute for granting us permission to visit BouvetOya (permit ref: 2016/115-25). Data used in this study are available through open access on the UK Polar Data Centre via the following citation: King et al. (2019). Records of isotopes, anions, cations, and organic compounds were measured in the Bouvet Island ice core for the time period 2001-2016 (Data set). UK Polar Data Centre, Natural Environment Research Council, UK Research &amp; Innovation (https://doi.org/10.5285/96dc0dd7-b5db-4444-97af8ddfab1e7f78).</t>
  </si>
  <si>
    <t>10.1029/2019GL084249</t>
  </si>
  <si>
    <t>Green Accepted, hybrid, Green Published</t>
  </si>
  <si>
    <t>WOS:000490966700068</t>
  </si>
  <si>
    <t>Paleari, CI; Delmonte, B; Andò, S; Garzanti, E; Petit, JR; Maggi, V</t>
  </si>
  <si>
    <t>Paleari, Chiara Ileana; Delmonte, Barbara; Ando, Sergio; Garzanti, Eduardo; Petit, Jean Robert; Maggi, Valter</t>
  </si>
  <si>
    <t>Aeolian Dust Provenance in Central East Antarctica During the Holocene: Environmental Constraints From Single-Grain Raman Spectroscopy</t>
  </si>
  <si>
    <t>C ICE-CORE; DOME-C; ATMOSPHERIC CIRCULATION; ISOTOPIC COMPOSITIONS; POLAR ICE; LOESS; EPICA; TRANSPORT; VOSTOK; VARIABILITY</t>
  </si>
  <si>
    <t>We analyzed the single-grain mineralogical composition of aeolian dust transported to central East Antarctica for provenance purposes. Comparison with data from the last glacial period shows for the first time disappearance of carbonates during the Holocene related to sea level rise and suppressed deflation from the Argentinean continental shelf, exposed during Marine Isotope Stage 2. Zeolites, related to alteration of volcanic glass in the subglacial/periglacial environment of Patagonia, show a similar behavior. The remaining minerals, remarkably similar between the two climatic periods, are compatible with a Pampean and Patagonian provenance, but Holocene data show a more pronounced volcanic and metamorphic imprint and presence of minerals related to warm climate weathering environments compatible with an additional contribution from subtropical latitudes of South America. These results do not imply a major large-scale reorganization of atmospheric circulation after the last climatic transition. Plain Language Summary: Aeolian mineral dust particles transported through the atmosphere from the austral continents to the Antarctic ice sheet represent a tracer of atmospheric circulation and transport, as well as being a source of information about environmental conditions within dust source regions. Many lines of evidence suggest that central East Antarctic dust is sourced from South America during the last glacial period, whereas there is not a general consensus about dust provenance during the Holocene. A major limitation to this problem is represented by the extremely low dust concentration in Antarctic ice during interglacials. In this study, we analyzed the single-grain mineralogy of more than 2,300 mineral dust particles transported by winds to Dome C during four different time windows within the Holocene, the current interglacial. Comparing results with those obtained from dust deposited during the last glacial period, we observe that some minerals that are typically associated to glacial climate conditions in Patagonia almost disappear during Holocene, while the remaining minerals are compatible with a South American provenance in both climate periods. Data thus suggest that the dominant atmospheric circulation patterns did not experience a significant change with climate. However, data suggest an additional contribution from subtropical South American latitudes during Holocene.</t>
  </si>
  <si>
    <t>[Paleari, Chiara Ileana; Delmonte, Barbara; Ando, Sergio; Garzanti, Eduardo; Maggi, Valter] Univ Milano Bicocca, Dept Earth &amp; Environm Sci, Lab Provenance Studies, Milan, Italy; [Petit, Jean Robert] Univ Grenoble Alpes, IRD, CNRS, Grenoble, France</t>
  </si>
  <si>
    <t>University of Milano-Bicocca; Communaute Universite Grenoble Alpes; Universite Grenoble Alpes (UGA); Institut de Recherche pour le Developpement (IRD); Centre National de la Recherche Scientifique (CNRS)</t>
  </si>
  <si>
    <t>Delmonte, B (corresponding author), Univ Milano Bicocca, Dept Earth &amp; Environm Sci, Lab Provenance Studies, Milan, Italy.</t>
  </si>
  <si>
    <t>barbara.delmonte@unimib.it</t>
  </si>
  <si>
    <t>Maggi, Valter/AAX-5728-2020; Delmonte, Barbara/L-2555-2015</t>
  </si>
  <si>
    <t>Maggi, Valter/0000-0001-6287-1213; Delmonte, Barbara/0000-0002-9074-2061; Garzanti, Eduardo/0000-0002-8638-9322</t>
  </si>
  <si>
    <t>Project MIUR-Dipartimenti di Eccellenza 2018-2022; Department of Earth and Environmental Sciences, University of Milano-Bicocca</t>
  </si>
  <si>
    <t>Funding was provided by Project MIUR-Dipartimenti di Eccellenza 2018-2022 and Department of Earth and Environmental Sciences, University of Milano-Bicocca. We thank F. Parrenin (IGE) for helping in ice core dating. The single-grain mineral data are available in Table S2 of the supporting information. Data are available online (https://doi.pangaea.de/10.1594/PANGAEA.904601).</t>
  </si>
  <si>
    <t>10.1029/2019GL083402</t>
  </si>
  <si>
    <t>WOS:000490966700072</t>
  </si>
  <si>
    <t>Brough, N; Jones, AE; Griffiths, PT</t>
  </si>
  <si>
    <t>Brough, Neil; Jones, Anna E.; Griffiths, Paul T.</t>
  </si>
  <si>
    <t>Influence of Sea Ice-Derived Halogens on Atmospheric HOx as Observed in Springtime Coastal Antarctica</t>
  </si>
  <si>
    <t>CLIMATE-COMPOSITION MODEL; BOUNDARY-LAYER HALOGENS; SOUTH-POLE; PHOTOCHEMICAL NO; PEROXY-RADICALS; OH; CHEMISTRY; SNOW; BRO; GREENLAND</t>
  </si>
  <si>
    <t>We present first observations of OH and (HO2 + RO2) carried out in Antarctica outside the summer season. Measurements were made over 23 days in spring at the coastal Antarctic station Halley. Increases in concentrations were evident during the measurement period due to rapidly increasing solar irradiance, and clear diurnal cycles were present throughout. There were also notable differences in air mass composition depending on wind direction. Air masses that had traversed the sea ice zone had both higher concentrations of OH and a larger OH:(HO2 + RO2) ratio. We use steady state kinetic arguments and a 0-D box model to probe the chemical drivers. We find that differences in bromine chemistry, previously measured at Halley, are sufficient to account for the observed differences in OH concentration as well as the ratio. There is some evidence also that chlorine chemistry is influencing concentrations of RO2. Plain Language Summary The chemistry that goes on in the air is very sensitive to the presence of reactive trace gases, known as OH and the sum of HO2 + RO2. We have made the first measurements of these gases during the Antarctic spring, at the British Antarctic Survey station, Halley, in coastal Antarctica. We show that their concentrations vary regularly over the course of a day but generally increase over the 23 days of measurements as the Sun rises after the Antarctic winter. We also show that the concentrations of OH varied considerably from one day to the next, depending on the prevailing wind direction. At Halley, the wind tends to arrive at the station either after it has traveled over the continental snowpack (to the east of the station) or from over the sea ice zone (to the west/southwest of the station). When air has traveled over the sea ice zone, we know that it carries higher concentrations of halogen gases. We show that the higher concentrations of OH in air that has traversed the sea ice zone can be accounted for by the presence of bromine chemistry.</t>
  </si>
  <si>
    <t>[Brough, Neil; Jones, Anna E.] NERC, British Antarctic Survey, Cambridge, England; [Griffiths, Paul T.] Univ Cambridge, NCAS Climate, Cambridge, England; [Griffiths, Paul T.] Univ Cambridge, Ctr Atmospher Sci, Cambridge, England</t>
  </si>
  <si>
    <t>UK Research &amp; Innovation (UKRI); Natural Environment Research Council (NERC); NERC British Antarctic Survey; University of Cambridge; UK Research &amp; Innovation (UKRI); Natural Environment Research Council (NERC); NERC National Centre for Atmospheric Science; University of Cambridge</t>
  </si>
  <si>
    <t>Jones, AE (corresponding author), NERC, British Antarctic Survey, Cambridge, England.</t>
  </si>
  <si>
    <t>aejo@bas.ac.uk</t>
  </si>
  <si>
    <t>Griffiths, Paul T/E-8592-2010; brough, neil/AAG-8550-2019</t>
  </si>
  <si>
    <t>Griffiths, Paul T/0000-0002-1089-340X; brough, neil/0000-0002-2316-5292; Jones, Anna/0000-0002-2040-4841</t>
  </si>
  <si>
    <t>Natural Environment Research Council; NERC [bas0100032, ncas10014] Funding Source: UKRI</t>
  </si>
  <si>
    <t>Natural Environment Research Council(UK Research &amp; Innovation (UKRI)Natural Environment Research Council (NERC)); NERC(UK Research &amp; Innovation (UKRI)Natural Environment Research Council (NERC))</t>
  </si>
  <si>
    <t>This work was funded by the Natural Environment Research Council as part of British Antarctic Survey's programme Polar Science for Planet Earth (N. B. and A. E. J.). We are grateful to Greg Huey and Dave Tanner for making the CIMS instrument available and to Eric Wolff for his role developing the field project. We thank Steve Colwell for providing the meteorological data. Field observations are available; for surface ozone: http://ebas.nilu.no/Pages/DataSetList.aspx? key=</t>
  </si>
  <si>
    <t>10.1029/2019GL083825</t>
  </si>
  <si>
    <t>hybrid, Green Accepted</t>
  </si>
  <si>
    <t>WOS:000490966700093</t>
  </si>
  <si>
    <t>Milshteyn, D; Cooper, G; Deamer, D</t>
  </si>
  <si>
    <t>Milshteyn, Daniel; Cooper, George; Deamer, David</t>
  </si>
  <si>
    <t>Chemiosmotic energy for primitive cellular life: Proton gradients are generated across lipid membranes by redox reactions coupled to meteoritic quinones</t>
  </si>
  <si>
    <t>SCIENTIFIC REPORTS</t>
  </si>
  <si>
    <t>HYDROCARBONS; IRRADIATION; ICE</t>
  </si>
  <si>
    <t>Transmembrane proton gradients coupled to, and maintained by, electron transport are ubiquitous sources of chemiosmotic energy in all life today, but how this system first emerged is uncertain. Here we report a model liposome system in which internal ferricyanide serves as an oxidant and external ascorbate or dithionite provide a source of electrons to electron carriers embedded in liposome membranes. Quinones linked the donor to the acceptor in a coupled redox reaction that released protons into the vesicle internal volume as electrons were transported across the membranes, thereby producing substantial pH gradients. Using this system, we found that one or more quinones in extracts from carbonaceous meteorites could serve as coupling agents and that substantial pH gradients developed in the acidic interior of liposomes. If amphiphilic compounds present on the prebiotic Earth assembled into membranous compartments that separate reduced solutes in the external medium from an encapsulated acceptor, quinones can mediate electron and proton transport across the membranes, thereby providing a source of chemiosmotic energy for primitive metabolic reactions.</t>
  </si>
  <si>
    <t>[Milshteyn, Daniel; Deamer, David] Univ Calif Santa Cruz, Dept Biomol Engn, Santa Cruz, CA 95064 USA; [Cooper, George] NASA, Ames Res Ctr, Moffett Field, CA 94035 USA</t>
  </si>
  <si>
    <t>University of California System; University of California Santa Cruz; National Aeronautics &amp; Space Administration (NASA); NASA Ames Research Center</t>
  </si>
  <si>
    <t>Deamer, D (corresponding author), Univ Calif Santa Cruz, Dept Biomol Engn, Santa Cruz, CA 95064 USA.</t>
  </si>
  <si>
    <t>deamer@soe.ucsc.edu</t>
  </si>
  <si>
    <t>Milshteyn, Daniel/0000-0002-1883-9897</t>
  </si>
  <si>
    <t>The authors thank Olof Einarsdottir and Roberto Bogomolni for providing the lab space and equipment used in the research reported here.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No other funding source supported the research reported here.</t>
  </si>
  <si>
    <t>NATURE PUBLISHING GROUP</t>
  </si>
  <si>
    <t>MACMILLAN BUILDING, 4 CRINAN ST, LONDON N1 9XW, ENGLAND</t>
  </si>
  <si>
    <t>2045-2322</t>
  </si>
  <si>
    <t>SCI REP-UK</t>
  </si>
  <si>
    <t>Sci Rep</t>
  </si>
  <si>
    <t>10.1038/s41598-019-48328-5</t>
  </si>
  <si>
    <t>Multidisciplinary Sciences</t>
  </si>
  <si>
    <t>Science &amp; Technology - Other Topics</t>
  </si>
  <si>
    <t>IT5FA</t>
  </si>
  <si>
    <t>WOS:000482886700001</t>
  </si>
  <si>
    <t>Rossi, L; Sporta Caputi, S; Calizza, E; Careddu, G; Oliverio, M; Schiaparelli, S; Costantini, ML</t>
  </si>
  <si>
    <t>Rossi, Loreto; Sporta Caputi, Simona; Calizza, Edoardo; Careddu, Giulio; Oliverio, Marco; Schiaparelli, Stefano; Costantini, Maria Letizia</t>
  </si>
  <si>
    <t>Antarctic food web architecture under varying dynamics of sea ice cover</t>
  </si>
  <si>
    <t>TERRA-NOVA BAY; STABLE-ISOTOPE RATIOS; ROSS SEA; PLEURAGRAMMA-ANTARCTICUM; ECOLOGICAL NETWORKS; TROPHIC POSITION; ORGANIC-MATTER; CLIMATE-CHANGE; MCMURDO SOUND; ABUNDANCE</t>
  </si>
  <si>
    <t>In the Ross Sea, biodiversity organisation is strongly influenced by sea-ice cover, which is characterised by marked spatio-temporal variations. Expected changes in seasonal sea-ice dynamics will be reflected in food web architecture, providing a unique opportunity to study effects of climate change. Based on individual stable isotope analyses and the high taxonomic resolution of sampled specimens, we described benthic food webs in contrasting conditions of seasonal sea-ice persistence (early vs. late sea-ice break up) in medium-depth waters in Terra Nova Bay (Ross Sea). The architecture of biodiversity was reshaped by the pulsed input of sympagic food sources following sea-ice break up, with food web simplification, decreased intraguild predation, potential disturbance propagation and increased vulnerability to biodiversity loss. Following our approach, it was possible to describe in unprecedented detail the complex structure of biodiverse communities, emphasising the role of sympagic inputs, regulated by sea-ice dynamics, in structuring Antarctic medium-depth benthic food webs.</t>
  </si>
  <si>
    <t>[Rossi, Loreto; Calizza, Edoardo; Costantini, Maria Letizia] CoNISMa Consorzio Nazl Interuniv Sci Mare, Piazzale Flaminio 9, Rome, Italy; [Rossi, Loreto; Sporta Caputi, Simona; Calizza, Edoardo; Careddu, Giulio; Costantini, Maria Letizia] Sapienza Univ Rome, Dept Environm Biol, Via Sardi 70, Rome, Italy; [Oliverio, Marco] Sapienza Univ Rome, Dept Biol &amp; Biotechnol Charles Darwin, Zool Viale Univ 32, Rome, Italy; [Schiaparelli, Stefano] Univ Genoa, Dept Earth Environm &amp; Life Sci DISTAV, Corso Europa 26, Genoa, Italy; [Schiaparelli, Stefano] Univ Genoa, Sect Genoa, Italian Natl Antarctic Museum, Viale Benedetto XV 5, Genoa, Italy</t>
  </si>
  <si>
    <t>CoNISMa; Sapienza University Rome; Sapienza University Rome; University of Genoa; University of Genoa</t>
  </si>
  <si>
    <t>Calizza, E (corresponding author), CoNISMa Consorzio Nazl Interuniv Sci Mare, Piazzale Flaminio 9, Rome, Italy.;Calizza, E (corresponding author), Sapienza Univ Rome, Dept Environm Biol, Via Sardi 70, Rome, Italy.</t>
  </si>
  <si>
    <t>edoardo.calizza@uniroma1.it</t>
  </si>
  <si>
    <t>OLIVERIO, MARCO/F-2229-2010; Sporta Caputi, Simona/AAL-1803-2021</t>
  </si>
  <si>
    <t>Sporta Caputi, Simona/0000-0003-2878-6175; Careddu, Giulio/0000-0002-7553-9161</t>
  </si>
  <si>
    <t>NATURE PORTFOLIO</t>
  </si>
  <si>
    <t>BERLIN</t>
  </si>
  <si>
    <t>HEIDELBERGER PLATZ 3, BERLIN, 14197, GERMANY</t>
  </si>
  <si>
    <t>10.1038/s41598-019-48245-7</t>
  </si>
  <si>
    <t>WOS:000482886700008</t>
  </si>
  <si>
    <t>Muelbert, JH; Nidzieko, NJ; Acosta, ATR; Beaulieu, SE; Bernardino, AF; Boikova, E; Bornman, TG; Cataletto, B; Deneudt, K; Eliason, E; Kraberg, A; Nakaoka, M; Pugnetti, A; Ragueneau, O; Scharfe, M; Soltwedel, T; Sosik, HM; Stanisci, A; Stefanova, K; Stéphan, P; Stier, A; Wikner, J; Zingone, A</t>
  </si>
  <si>
    <t>Muelbert, Jose H.; Nidzieko, Nicholas J.; Acosta, Alicia T. R.; Beaulieu, Stace E.; Bernardino, Angelo F.; Boikova, Elmira; Bornman, Thomas G.; Cataletto, Bruno; Deneudt, Klaas; Eliason, Erika; Kraberg, Alexandra; Nakaoka, Masahiro; Pugnetti, Alessandra; Ragueneau, Olivier; Scharfe, Mirco; Soltwedel, Thomas; Sosik, Heidi M.; Stanisci, Angela; Stefanova, Kremena; Stephan, Pierre; Stier, Adrian; Wikner, Johan; Zingone, Adriana</t>
  </si>
  <si>
    <t>ILTER - The International Long-Term Ecological Research Network as a Platform for Global Coastal and Ocean Observation</t>
  </si>
  <si>
    <t>climate change; marine ecosystems; ecology; EOVs; SWOT; DEIMS</t>
  </si>
  <si>
    <t>IN-SITU; ECOSYSTEM; SENSOR</t>
  </si>
  <si>
    <t>Understanding the threats to global biodiversity and ecosystem services posed by human impacts on coastal and marine environments requires the establishment and maintenance of ecological observatories that integrate the biological, physical, geological, and biogeochemical aspects of ecosystems. This is crucial to provide scientists and stakeholders with the support and knowledge necessary to quantify environmental change and its impact on the sustainable use of the seas and coasts. In this paper, we explore the potential for the coastal and marine components of the International Long-Term Ecological Research Network (ILTER) to fill this need for integrated global observation, and highlight how ecological observations are necessary to address the challenges posed by climate change and evolving human needs and stressors within the coastal zone. The ILTER is a global network encompassing 44 countries and 700 research sites in a variety of ecosystems across the planet, more than 100 of which are located in coastal and marine environments (ILTER-CMS). While most of the ILTER-CMS were established after the year 2000, in some cases they date back to the early 1900s. At ILTER sites, a broad variety of abiotic and biotic variables are measured, which may feed into other global initiatives. The ILTER community has produced tools to harmonize and compare measurements and methods, allowing for data integration workflows and analyses between and within individual ILTER sites. After a brief historical overview of ILTER, with emphasis on the marine component, we analyze the potential contribution of the ILTER-CMS to global coastal and ocean observation, adopting the Strength, Weakness, Opportunity and Threats (SWOT) approach. We also identify ways in which the in situ parameters collected at ILTER sites currently fit within the Essential Ocean Variables framework (as proposed by the Framework for Ocean Observation recommendations) and provide insights on the use of new technology in long-term studies. Final recommendations point at the need to further develop observational activities at LTER sites and improve coordination among them and with external related initiatives in order to maximize their exploitation and address present and future challenges in ocean observations.</t>
  </si>
  <si>
    <t>[Muelbert, Jose H.] Univ Fed Rio Grande, Inst Oceanog, Rio Grande, Brazil; [Muelbert, Jose H.] Univ Tasmania, Inst Marine Sci &amp; Antarctic Studies, Hobart, Tas, Australia; [Nidzieko, Nicholas J.; Eliason, Erika; Stier, Adrian] Univ Calif Santa Barbara, Dept Geog, Santa Barbara, CA 93106 USA; [Nidzieko, Nicholas J.; Eliason, Erika; Stier, Adrian] Univ Calif Santa Barbara, Inst Marine Sci, Santa Barbara, CA 93106 USA; [Acosta, Alicia T. R.] Roma Tre Univ, Dept Sci, Rome, Italy; [Beaulieu, Stace E.; Sosik, Heidi M.] Woods Hole Oceanog Inst, Dept Biol, Woods Hole, MA 02543 USA; [Bernardino, Angelo F.] Univ Fed Espirito Santo, Dept Oceanog, Grp Ecol Bentica, Vitoria, ES, Brazil; [Boikova, Elmira] Univ Latvia, Inst Biol, Marine Ecol Lab, Riga, Latvia; [Bornman, Thomas G.] South African Environm Observat Network, Elwandle Coastal Node, Port Elizabeth, South Africa; [Bornman, Thomas G.] Nelson Mandela Univ, Coastal &amp; Marine Res Inst, Port Elizabeth, South Africa; [Cataletto, Bruno] Ist Nazl Oceanog &amp; Geofis Sperimentale, Trieste, Italy; [Deneudt, Klaas] Flanders Marine Inst, Oostende, Belgium; [Kraberg, Alexandra; Soltwedel, Thomas] Helmholtz Ctr Polar &amp; Marine Res, Alfred Wegener Inst, Bremerhaven, Germany; [Nakaoka, Masahiro] Hokkaido Univ, Field Sci Ctr Northern Biosphere, Akkeshi Marine Stn, Sapporo, Hokkaido, Japan; [Pugnetti, Alessandra] CNR, Inst Marine Sci, Venice, Italy; [Ragueneau, Olivier] Inst Univ Europ Mer, Lab Sci Environm Marin, LTSER Zone Atelier Brest Iroise, Plouzane, France; [Scharfe, Mirco] Helmholtz Ctr Polar &amp; Marine Res, Alfred Wegener Inst, Biol Anstalt Helgoland, Bremerhaven, Germany; [Stanisci, Angela] Univ Molise, Dipartimento Biosci &amp; Territorio, Termoli, Italy; [Stefanova, Kremena] Bulgarian Acad Sci, Inst Oceanol, Varna, Bulgaria; [Stephan, Pierre] Inst Univ Europ Mer, CNRS, Lab LETG, LTSER Zone Atelier Brest Iroise, Plouzane, France; [Wikner, Johan] Umea Univ, Umea Marine Sci Ctr, Umea, Sweden; [Zingone, Adriana] Staz Zool Anton Dohrn, Naples, Italy</t>
  </si>
  <si>
    <t>Universidade Federal do Rio Grande; University of Tasmania; University of California System; University of California Santa Barbara; University of California System; University of California Santa Barbara; Italfarmaco; Roma Tre University; Woods Hole Oceanographic Institution; Universidade Federal do Espirito Santo; University of Latvia; National Research Foundation - South Africa; South African Environmental Observation Network (SAEON); Nelson Mandela University; Istituto Nazionale di Oceanografia e di Geofisica Sperimentale; Helmholtz Association; Alfred Wegener Institute, Helmholtz Centre for Polar &amp; Marine Research; Hokkaido University; Consiglio Nazionale delle Ricerche (CNR); Istituto di Scienze Marine (ISMAR-CNR); Centre National de la Recherche Scientifique (CNRS); Ifremer; Institut de Recherche pour le Developpement (IRD); Helmholtz Association; Alfred Wegener Institute, Helmholtz Centre for Polar &amp; Marine Research; University of Molise; Bulgarian Academy of Sciences; Universite de Bretagne Occidentale; Centre National de la Recherche Scientifique (CNRS); Umea University; Stazione Zoologica Anton Dohrn di Napoli</t>
  </si>
  <si>
    <t>Muelbert, JH (corresponding author), Univ Fed Rio Grande, Inst Oceanog, Rio Grande, Brazil.;Muelbert, JH (corresponding author), Univ Tasmania, Inst Marine Sci &amp; Antarctic Studies, Hobart, Tas, Australia.</t>
  </si>
  <si>
    <t>jmuelbert@furg.br</t>
  </si>
  <si>
    <t>Muelbert, Jose H/J-5110-2014; Bernardino, Angelo Fraga/C-6921-2012; Wikner, Johan/E-3624-2019; Deneudt, Klaas/ABI-1255-2020; Acosta, Alicia T. R./E-3653-2012; Soltwedel, Thomas/P-1852-2016; Bornman, Thomas George/V-7794-2019; Nidzieko, Nicholas J/G-1442-2013; Stanisci, Angela/F-4725-2012; Pugnetti, Alessandra/AAX-3984-2020; Nakaoka, Masahiro/I-9237-2019; Beaulieu, Stace/C-8526-2013; Zingone, Adriana/E-4518-2010</t>
  </si>
  <si>
    <t>Muelbert, Jose H/0000-0002-2319-2469; Bernardino, Angelo Fraga/0000-0002-1838-4597; Wikner, Johan/0000-0001-6061-8257; Deneudt, Klaas/0000-0002-8559-3508; Acosta, Alicia T. R./0000-0001-6572-3187; Soltwedel, Thomas/0000-0002-8214-5937; Bornman, Thomas George/0000-0003-1868-479X; Nakaoka, Masahiro/0000-0002-5722-3585; Beaulieu, Stace/0000-0002-2609-5453; Zingone, Adriana/0000-0001-5946-6532; Nidzieko, Nicholas/0000-0003-4475-1044; CATALETTO, Bruno/0000-0001-8708-1314; Stanisci, Angela/0000-0002-5302-0932</t>
  </si>
  <si>
    <t>CNPq fellowship [310047/2016-1]; PELD Estuario da Lagoa dos Patos e Costa Adjacente (CNPq/CAPES/FAPERGS); US NSF [CCF-1539256, OCE-1655686]; CAPES/CNPq/FAPES [441243/2016-9]; Simons Foundation [561126]; US NOAA/CINAR [NA14OAR4320158]</t>
  </si>
  <si>
    <t>CNPq fellowship(Conselho Nacional de Desenvolvimento Cientifico e Tecnologico (CNPQ)); PELD Estuario da Lagoa dos Patos e Costa Adjacente (CNPq/CAPES/FAPERGS); US NSF(National Science Foundation (NSF)); CAPES/CNPq/FAPES; Simons Foundation; US NOAA/CINAR</t>
  </si>
  <si>
    <t>JM was supported by a CNPq fellowship (Grant No. 310047/2016-1) and by PELD Estuario da Lagoa dos Patos e Costa Adjacente (CNPq/CAPES/FAPERGS). SB was supported by US NSF (Grant #OCE-1655686). AB was supported by CAPES/CNPq/FAPES grant no. 441243/2016-9 to PELD Coastal Habitats of Espirito Santo as part of the Brazilian LTER program. HS was supported by US NSF (Grant #CCF-1539256 and #OCE-1655686), Simons Foundation (Grant #561126) and US NOAA/CINAR (Cooperative Agreement NA14OAR4320158).</t>
  </si>
  <si>
    <t>10.3389/fmars.2019.00527</t>
  </si>
  <si>
    <t>IT6IW</t>
  </si>
  <si>
    <t>Green Submitted, Green Published, gold</t>
  </si>
  <si>
    <t>WOS:000482977400001</t>
  </si>
  <si>
    <t>Trull, TW; Jansen, P; Schulz, E; Weeding, B; Davies, DM; Bray, SG</t>
  </si>
  <si>
    <t>Trull, Thomas W.; Jansen, Peter; Schulz, Eric; Weeding, Ben; Davies, Diana M.; Bray, Stephen G.</t>
  </si>
  <si>
    <t>Autonomous Multi-Trophic Observations of Productivity and Export at the Australian Southern Ocean Time Series (SOTS) Reveal Sequential Mechanisms of Physical-Biological Coupling</t>
  </si>
  <si>
    <t>Southern Ocean; autonomous observations; time series; seasonality; productivity; export; physical-biological coupling</t>
  </si>
  <si>
    <t>POLAR FRONTAL ZONES; PARTICULATE ORGANIC-CARBON; SEASONAL EVOLUTION; SINKING PARTICLES; SEDIMENT TRAPS; MIXED-LAYER; PHYTOPLANKTON; IRON; CHLOROPHYLL; WATERS</t>
  </si>
  <si>
    <t>The timing of pelagic spring blooms has received attention to understand controls on open ocean productivity and its potential responses to climate change. Many studies have relied on surface chlorophyll (Chl) to define bloom initiation because of its availability from satellite observations, but this has limited utility because it ignores the full water column budget and because biomass represents only the small residual term in the balance between production and loss. Additional important measures include net community production (NCP) which determines maximal energy available to fuel phytoplankton and higher trophic level biomass accumulations, and particulate organic carbon export (POC flux) which determines the distribution of this energy across pelagic, mesopelagic and benthic communities. Here, we present high temporal resolution records for the winter to spring transition (July-December 2012) obtained from moored sensors at SOTS in the Subantarctic Zone (SAZ) south of Australia. Measurements included physical drivers (temperature, salinity, surface mixed layer depth, currents, wind speeds, insolation, and air-sea heat fluxes) and biological responses (Chl from fluorescence and light attenuation, NCP from O-2/N-2 ratios and nutrient concentrations from an autonomous water sampler, POC flux from sediment traps, and zooplankton abundances from four-frequency acoustic backscatter profiles). These observations provide a phenology across the four trophic levels (NPZD) commonly used in ocean biogeochemical models. Chl column inventories began to increase in early winter while mixed layers were still deepening, and were accompanied by increases in NCP. Acoustic metrics for grazing pressure were very low at this time. In contrast, surface Chl did not increase until later when stratification developed. The levels of spring NCP were relatively high and balanced by sinking particle fluxes close to global median values, despite the relatively low surface biomass levels. Overall this phenology suggests that the extent of exchange with SAMW waters via deep mixing is a key driver of the seasonality of production, support of higher trophic levels, and the mediation of pelagic-benthic coupling, and occurs sequentially via trophodynamic (de-coupling of production and grazing) and physical (stratification) mechanisms.</t>
  </si>
  <si>
    <t>[Trull, Thomas W.; Jansen, Peter; Davies, Diana M.; Bray, Stephen G.] CSIRO, Oceans &amp; Atmospheres, Hobart, Tas, Australia; [Trull, Thomas W.; Jansen, Peter; Weeding, Ben; Davies, Diana M.; Bray, Stephen G.] Antarctic Climate &amp; Ecosyst Cooperat Res Ctr, Hobart, Tas, Australia; [Schulz, Eric] Bur Meteorol, Melbourne, Vic, Australia</t>
  </si>
  <si>
    <t>Commonwealth Scientific &amp; Industrial Research Organisation (CSIRO); Antarctic Climate &amp; Ecosystems Cooperative Research Centre (ACE CRC); Bureau of Meteorology - Australia</t>
  </si>
  <si>
    <t>Trull, TW (corresponding author), CSIRO, Oceans &amp; Atmospheres, Hobart, Tas, Australia.;Trull, TW (corresponding author), Antarctic Climate &amp; Ecosyst Cooperat Res Ctr, Hobart, Tas, Australia.</t>
  </si>
  <si>
    <t>Tom.Trull@csiro.au</t>
  </si>
  <si>
    <t>Weeding, Ben/0000-0002-3952-9812</t>
  </si>
  <si>
    <t>10.3389/fmars.2019.00525</t>
  </si>
  <si>
    <t>IT6IT</t>
  </si>
  <si>
    <t>WOS:000482977100001</t>
  </si>
  <si>
    <t>Bach, LT; Taucher, J</t>
  </si>
  <si>
    <t>Bach, Lennart Thomas; Taucher, Jan</t>
  </si>
  <si>
    <t>CO2 effects on diatoms: a synthesis of more than a decade of ocean acidification experiments with natural communities</t>
  </si>
  <si>
    <t>OCEAN SCIENCE</t>
  </si>
  <si>
    <t>CARBON-CONCENTRATING MECHANISMS; PHYTOPLANKTON COMMUNITY; FOOD-WEB; ELEVATED CO2; ARCTIC PHYTOPLANKTON; ORGANIC-MATTER; MARINE DIATOMS; SEAWATER ACIDIFICATION; MICROCOSM EXPERIMENTS; PLANKTON COMMUNITIES</t>
  </si>
  <si>
    <t>Diatoms account for up to 50 % of marine primary production and are considered to be key players in the biological carbon pump. Ocean acidification (OA) is expected to affect diatoms primarily by changing the availability of CO2 as a substrate for photosynthesis or through altered ecological interactions within the marine food web. Yet, there is little consensus how entire diatom communities will respond to increasing CO2. To address this question, we synthesized the literature from over a decade of OA-experiments with natural diatom communities to uncover the following: (1) if and how bulk diatom communities respond to elevated CO2 with respect to abundance or biomass and (2) if shifts within the diatom communities could be expected and how they are expressed with respect to taxonomic affiliation and size structure. We found that bulk diatom communities responded to high CO2 in similar to 60 % of the experiments and in this case more often positively (56 %) than negatively (32 %) (12 % did not report the direction of change). Shifts among different diatom species were observed in 65 % of the experiments. Our synthesis supports the hypothesis that high CO2 particularly favours larger species as 12 out of 13 experiments which investigated cell size found a shift towards larger species. Unravelling winners and losers with respect to taxonomic affiliation was difficult due to a limited database. The OA-induced changes in diatom competitiveness and assemblage structure may alter key ecosystem services due to the pivotal role diatoms play in trophic transfer and biogeo-chemical cycles.</t>
  </si>
  <si>
    <t>[Bach, Lennart Thomas; Taucher, Jan] Helmholtz Ctr Ocean Res Kiel, GEOMAR, Biol Oceanog, Kiel, Germany; [Bach, Lennart Thomas] Univ Tasmania, Inst Marine &amp; Antarctic Studies, Hobart, Tas, Australia</t>
  </si>
  <si>
    <t>Helmholtz Association; GEOMAR Helmholtz Center for Ocean Research Kiel; University of Tasmania</t>
  </si>
  <si>
    <t>Bach, LT (corresponding author), Helmholtz Ctr Ocean Res Kiel, GEOMAR, Biol Oceanog, Kiel, Germany.;Bach, LT (corresponding author), Univ Tasmania, Inst Marine &amp; Antarctic Studies, Hobart, Tas, Australia.</t>
  </si>
  <si>
    <t>lennart.bach@utas.edu.au</t>
  </si>
  <si>
    <t>Taucher, Jan/AAA-9195-2019</t>
  </si>
  <si>
    <t>Bach, Lennart/0000-0003-0202-3671; Taucher, Jan/0000-0001-9944-0775</t>
  </si>
  <si>
    <t>Federal Ministry of Science and Education ( Bundesministerium fur Bildung und Forschung; BMBF) [FKZ 03F0728]; GEOMAR Helmholtz Centre for Ocean Research Kiel; Australian Research Council [FL160100131]; Australian Research Council [FL160100131] Funding Source: Australian Research Council</t>
  </si>
  <si>
    <t>Federal Ministry of Science and Education ( Bundesministerium fur Bildung und Forschung; BMBF)(Federal Ministry of Education &amp; Research (BMBF)); GEOMAR Helmholtz Centre for Ocean Research Kiel(Helmholtz Association); Australian Research Council(Australian Research Council); Australian Research Council</t>
  </si>
  <si>
    <t>We thank Nauzet Hernandez- Hernandez, Ulf Riebesell, and Javier Aristegui for their comments on an earlier version of the data compilation. The research was funded by the Federal Ministry of Science and Education (Bundesministerium fur Bildung und Forschung; BMBF) in the framework of the Biological Impacts of Ocean Acidification project (BIOACID III, FKZ 03F0728) as well as GEOMAR Helmholtz Centre for Ocean Research Kiel and the Australian Research Council within a laureate (FL160100131) granted to Philip Boyd.</t>
  </si>
  <si>
    <t>1812-0784</t>
  </si>
  <si>
    <t>1812-0792</t>
  </si>
  <si>
    <t>OCEAN SCI</t>
  </si>
  <si>
    <t>Ocean Sci.</t>
  </si>
  <si>
    <t>10.5194/os-15-1159-2019</t>
  </si>
  <si>
    <t>Meteorology &amp; Atmospheric Sciences; Oceanography</t>
  </si>
  <si>
    <t>IT7QJ</t>
  </si>
  <si>
    <t>WOS:000483070600001</t>
  </si>
  <si>
    <t>Ebbing, J; Haas, P; Ferraccioli, F; Pappa, F; Szwillus, W; Bouman, J</t>
  </si>
  <si>
    <t>Ebbing, Joerg; Haas, Peter; Ferraccioli, Fausto; Pappa, Folker; Szwillus, Wolfgang; Bouman, Johannes</t>
  </si>
  <si>
    <t>Earth tectonics as seen by GOCE - Enhanced satellite gravity gradient imaging (vol 8, 16356, 2018)</t>
  </si>
  <si>
    <t>Correction</t>
  </si>
  <si>
    <t>[Ebbing, Joerg; Haas, Peter; Pappa, Folker; Szwillus, Wolfgang] Univ Kiel, Inst Geowissensch, Kiel, Germany; [Ferraccioli, Fausto] British Antarctic Survey, Cambridge, England; [Bouman, Johannes] BKG, Frankfurt, Germany</t>
  </si>
  <si>
    <t>University of Kiel; UK Research &amp; Innovation (UKRI); Natural Environment Research Council (NERC); NERC British Antarctic Survey</t>
  </si>
  <si>
    <t>Ebbing, J (corresponding author), Univ Kiel, Inst Geowissensch, Kiel, Germany.</t>
  </si>
  <si>
    <t>joerg.ebbing@ifg.uni-kiel.de</t>
  </si>
  <si>
    <t>Ebbing, Joerg/B-8796-2013</t>
  </si>
  <si>
    <t>Ebbing, Joerg/0000-0001-7492-5338; Ferraccioli, Fausto/0000-0002-9347-4736</t>
  </si>
  <si>
    <t>10.1038/s41598-019-48629-9</t>
  </si>
  <si>
    <t>IT5FD</t>
  </si>
  <si>
    <t>WOS:000482887000001</t>
  </si>
  <si>
    <t>Galbraith, ED; Le Mézo, P; Hernandez, GS; Bianchi, D; Kroodsma, D</t>
  </si>
  <si>
    <t>Galbraith, Eric D.; Le Mezo, Priscilla; Hernandez, Gerard Solanes; Bianchi, Daniele; Kroodsma, David</t>
  </si>
  <si>
    <t>Growth Limitation of Marine Fish by Low Iron Availability in the Open Ocean</t>
  </si>
  <si>
    <t>iron limitation; fish; fishing; Global Fishing Watch; marine ecology; HNLC region; ecosystem stoichiometry; trace metal</t>
  </si>
  <si>
    <t>TRACE-METAL COMPOSITION; ATLANTIC SALMON; PHYTOPLANKTON GROWTH; SEA BREAM; ASSIMILATION; FISHERIES; EVOLUTION; BIOMASS; CARBON; SALAR</t>
  </si>
  <si>
    <t>It is well-established that phytoplankton growth can be limited by the vanishingly low concentrations of dissolved iron found in large areas of the open ocean. However, the availability of iron is not typically considered an important factor in the ecology of marine animals, including fish. Here, we compile observations to show that the iron contents of lower trophic level organisms in iron-limited regions can be an order of magnitude less than the iron contents of most fish. Although this shortfall could theoretically be overcome if iron assimilation rates were very high in fish, observations suggest this is not the case, consistent with the high recommended iron contents for mariculture feed. In addition, we highlight two occurrences among fish living in iron-poor regions that would conceivably be beneficial given iron scarcity: the absence of hemoglobin in Antarctic icefish, and the anadromous life history of salmon. Based on these multiple lines of evidence, we suggest that the iron content of lower trophic level organisms can be insufficient to support many fish species throughout their life cycles in iron-poor oceanic regions. We then use a global satellite-based estimate of fishing effort to show that relatively little fishing activity occurs in high nitrate low chlorophyll (HNLC) regions, the most readily identified iron-poor domains of the ocean, particularly when compared to satellite-based estimates of primary production and the observed mesozooplankton biomass in those waters. The low fishing effort is consistent with a low abundance of epipelagic fish in iron-limited regions, though other factors are likely to contribute as well. Our results imply that the importance of iron nutrition extends well beyond plankton and plays a role in the ecology of large marine animals.</t>
  </si>
  <si>
    <t>[Galbraith, Eric D.] Catalan Inst Res &amp; Adv Studies ICREA, Barcelona, Spain; [Galbraith, Eric D.; Le Mezo, Priscilla; Hernandez, Gerard Solanes] UAB, ICTA, Barcelona, Spain; [Galbraith, Eric D.] McGill Univ, Earth &amp; Planetary Sci, Montreal, PQ, Canada; [Bianchi, Daniele] Univ Calif Los Angeles, Atmospher &amp; Ocean Sci, Los Angeles, CA USA; [Kroodsma, David] Global Fishing Watch, Washington, DC USA</t>
  </si>
  <si>
    <t>ICREA; Autonomous University of Barcelona; McGill University; University of California System; University of California Los Angeles</t>
  </si>
  <si>
    <t>Galbraith, ED (corresponding author), Catalan Inst Res &amp; Adv Studies ICREA, Barcelona, Spain.;Galbraith, ED (corresponding author), UAB, ICTA, Barcelona, Spain.;Galbraith, ED (corresponding author), McGill Univ, Earth &amp; Planetary Sci, Montreal, PQ, Canada.</t>
  </si>
  <si>
    <t>eric.d.galbraith@gmail.com</t>
  </si>
  <si>
    <t>Bianchi, Daniele/0000-0002-6621-0858; Le Mezo, Priscilla K./0000-0002-5695-4845</t>
  </si>
  <si>
    <t>European Research Council (ERC) under the European Union's Horizon 2020 Research and Innovation Program [682602]; Spanish Ministry of Science, Innovation and Universities, through the Maria de Maeztu Program for Units of Excellence [MDM-2015-0552]</t>
  </si>
  <si>
    <t>European Research Council (ERC) under the European Union's Horizon 2020 Research and Innovation Program(European Research Council (ERC)); Spanish Ministry of Science, Innovation and Universities, through the Maria de Maeztu Program for Units of Excellence(Spanish Government)</t>
  </si>
  <si>
    <t>This study was supported by the European Research Council (ERC) under the European Union's Horizon 2020 Research and Innovation Program (Grant Agreement No 682602) and the Spanish Ministry of Science, Innovation and Universities, through the Maria de Maeztu Program for Units of Excellence (MDM-2015-0552).</t>
  </si>
  <si>
    <t>10.3389/fmars.2019.00509</t>
  </si>
  <si>
    <t>IT6IN</t>
  </si>
  <si>
    <t>WOS:000482976300001</t>
  </si>
  <si>
    <t>Mouginot, J; Rignot, E; Scheuchl, B</t>
  </si>
  <si>
    <t>Mouginot, J.; Rignot, E.; Scheuchl, B.</t>
  </si>
  <si>
    <t>Continent-Wide, Interferometric SAR Phase, Mapping of Antarctic Ice Velocity</t>
  </si>
  <si>
    <t>SURFACE MASS-BALANCE; SATELLITE RADAR INTERFEROMETRY; GLACIER SURFACE; WEST ANTARCTICA; FLOW; CLIMATE; VARIABILITY; MOTION; MODEL</t>
  </si>
  <si>
    <t>Surface ice velocity is a fundamental characteristic of glaciers and ice sheets that quantifies the transport of ice. Changes in ice dynamics have a major impact on ice sheet mass balance and its contribution to sea level rise. Prior comprehensive mappings employed speckle and feature tracking techniques, optimized for fast-flow areas, with precision of 2-5 m/year, hence limiting our ability to describe ice flow in the slow interior. We present a vector map of ice velocity using the interferometric phase from multiple satellite synthetic aperture radars resulting in 10 times higher precision in speed (20 cm/year) and direction (5 degrees) over 80% of Antarctica. Precision mapping over areas of slow motion (&lt;1 m/year) improves from 20 to 93%, which helps better constrain drainage boundaries, improve mass balance assessment, evaluate regional atmospheric climate models, reconstruct ice thickness, and inform ice sheet numerical models. Plain Language Summary We present a new map of Antarctic ice velocity that is 10 times more precise than prior maps and reveals ice motion at a high precision over 80% of the continent versus 20% in the past. The ice motion vector map provides novel constrains on interior ice motion and its connection with the glaciers and ice stream that control the stability and mass balance of the Antarctic Ice Sheet.</t>
  </si>
  <si>
    <t>[Mouginot, J.; Rignot, E.; Scheuchl, B.] Univ Calif Irvine, Dept Earth Syst Sci, Irvine, CA 92697 USA; [Mouginot, J.] Univ Grenoble Alpes, CNRS, IRD, Grenoble INP,IGE, Grenoble, France; [Rignot, E.] CALTECH, Jet Prop Lab, Pasadena, CA USA; [Rignot, E.] Univ Calif Irvine, Dept Civil &amp; Environm Engn, Irvine, CA USA</t>
  </si>
  <si>
    <t>University of California System; University of California Irvine; Communaute Universite Grenoble Alpes; Institut National Polytechnique de Grenoble; Universite Grenoble Alpes (UGA); Institut de Recherche pour le Developpement (IRD); Centre National de la Recherche Scientifique (CNRS); California Institute of Technology; National Aeronautics &amp; Space Administration (NASA); NASA Jet Propulsion Laboratory (JPL); University of California System; University of California Irvine</t>
  </si>
  <si>
    <t>Mouginot, J (corresponding author), Univ Calif Irvine, Dept Earth Syst Sci, Irvine, CA 92697 USA.;Mouginot, J (corresponding author), Univ Grenoble Alpes, CNRS, IRD, Grenoble INP,IGE, Grenoble, France.</t>
  </si>
  <si>
    <t>jmougino@uci.edu</t>
  </si>
  <si>
    <t>Rignot, Eric/A-4560-2014; Mouginot, Jeremie/G-7045-2015</t>
  </si>
  <si>
    <t>Rignot, Eric/0000-0002-3366-0481; Mouginot, Jeremie/0000-0001-9155-5455</t>
  </si>
  <si>
    <t>National Aeronautics and Space Administration's Make Earth System Data Records for Use in Research Environments (MEaSUREs) program; Cryosphere Science Program; French Centre National d'Etudes Spatiales (CNES); Canadian Space Agency; European Space Agency; Japanese Space Agency</t>
  </si>
  <si>
    <t>National Aeronautics and Space Administration's Make Earth System Data Records for Use in Research Environments (MEaSUREs) program; Cryosphere Science Program; French Centre National d'Etudes Spatiales (CNES)(Centre National D'etudes Spatiales); Canadian Space Agency(Canadian Space Agency); European Space Agency(European Space Agency); Japanese Space Agency</t>
  </si>
  <si>
    <t>The authors thank K. Cuffey and A. Gardner for valuable feedback on an early draft of this manuscript. This work was performed at the University of California Irvine and at Caltech's Jet Propulsion Laboratory under contracts with the National Aeronautics and Space Administration's Make Earth System Data Records for Use in Research Environments (MEaSUREs) program and with the Cryosphere Science Program. J. M. acknowledges funding from the French Centre National d'Etudes Spatiales (CNES). We thank data grants from the Canadian, European, and Japanese Space Agencies with the help of Henri Laur (ESA), Yves Crevier (CSA), and Masanobu Shimada (JAXA), under the umbrella of the Polar Space Task Group (PSTG) for data acquisition and distribution worldwide. The authors further thank the German Space Agency (DLR) for providing the TanDEM-X DEM. Ice motion products from this study are available as MEaSURES products at the National Snow and Ice Data Center (NSIDC), Boulder, CO, DOI: https://doi.org/10.5067/PZ3NJ5RXRH10.</t>
  </si>
  <si>
    <t>10.1029/2019GL083826</t>
  </si>
  <si>
    <t>Green Published, Bronze</t>
  </si>
  <si>
    <t>WOS:000490966700045</t>
  </si>
  <si>
    <t>Shelamoff, V; Layton, C; Tatsumi, M; Cameron, MJ; Wright, JT; Johnson, CR</t>
  </si>
  <si>
    <t>Shelamoff, Victor; Layton, Cayne; Tatsumi, Masayuki; Cameron, Matthew J.; Wright, Jeffrey T.; Johnson, Craig R.</t>
  </si>
  <si>
    <t>Ecosystem engineering by a canopy-forming kelp facilitates the recruitment of native oysters</t>
  </si>
  <si>
    <t>RESTORATION ECOLOGY</t>
  </si>
  <si>
    <t>facilitation; kelp; Ostrea angasi; recruitment; shellfish reef; turf algae</t>
  </si>
  <si>
    <t>OSTREA-LURIDA CARPENTER; REEF RESTORATION; OLYMPIA OYSTER; HABITAT; COMMUNITY; SURVIVAL; GROWTH; MARINE; ENVIRONMENTS; BIODIVERSITY</t>
  </si>
  <si>
    <t>Ecosystem engineers are species that influence the abiotic and biotic environment around them and may assist the restoration of associated species, including other habitat-forming species. We deployed an array of 28 artificial reefs with transplanted Ecklonia radiata, the dominant canopy-forming kelp species across southern Australia, to investigate how the patch size and density of E. radiata influenced the establishment of the associated communities of plants and animals. Many of the reefs were rapidly colonized by Ostrea angasi, a critically depleted reef-forming oyster. Over the 24-month deployment of the reefs, thick oyster mats formed across the entire surface of many of the reefs with estimated biomass densities exceeding 5 kg of live oysters/m(2); however, oyster density was dependent on E. radiata patch size and density. Increasing patch size and the presence of kelp resulted in significantly higher densities of oysters 5 months after the reefs were deployed and at the end of the experiment, where oysters were approximately three times more numerous on reefs with kelp compared to those without kelp. E. radiata appeared to facilitate the establishment of O. angasi largely through its capacity to reduce benthic light and thus suppress competition from turfing algae. These results may inform the development of novel approaches to tackle recruitment bottlenecks affecting the restoration of O. angasi reefs.</t>
  </si>
  <si>
    <t>[Shelamoff, Victor; Layton, Cayne; Tatsumi, Masayuki; Cameron, Matthew J.; Wright, Jeffrey T.; Johnson, Craig R.] Univ Tasmania, Inst Marine &amp; Antarctic Studies, Hobart, Tas 7004, Australia</t>
  </si>
  <si>
    <t>University of Tasmania</t>
  </si>
  <si>
    <t>Shelamoff, V (corresponding author), Univ Tasmania, Inst Marine &amp; Antarctic Studies, Hobart, Tas 7004, Australia.</t>
  </si>
  <si>
    <t>victor.shelamoff@utas.edu.au</t>
  </si>
  <si>
    <t>Layton, Cayne/J-8443-2013; Wright, Jeffrey/J-7536-2014</t>
  </si>
  <si>
    <t>Layton, Cayne/0000-0002-3390-6437; Wright, Jeffrey/0000-0002-1085-4582</t>
  </si>
  <si>
    <t>WILEY</t>
  </si>
  <si>
    <t>HOBOKEN</t>
  </si>
  <si>
    <t>111 RIVER ST, HOBOKEN 07030-5774, NJ USA</t>
  </si>
  <si>
    <t>1061-2971</t>
  </si>
  <si>
    <t>1526-100X</t>
  </si>
  <si>
    <t>RESTOR ECOL</t>
  </si>
  <si>
    <t>Restor. Ecol.</t>
  </si>
  <si>
    <t>NOV</t>
  </si>
  <si>
    <t>10.1111/rec.13019</t>
  </si>
  <si>
    <t>AUG 2019</t>
  </si>
  <si>
    <t>Ecology</t>
  </si>
  <si>
    <t>JL3FF</t>
  </si>
  <si>
    <t>WOS:000483971200001</t>
  </si>
  <si>
    <t>Chen, HS; Solangi, GS; Zhao, CC; Yang, L; Guo, JY; Wan, FH; Zhou, ZS</t>
  </si>
  <si>
    <t>Chen, Hongsong; Solangi, Ghulam Sarwar; Zhao, Chenchen; Yang, Lang; Guo, Jianying; Wan, Fanghao; Zhou, Zhongshi</t>
  </si>
  <si>
    <t>Physiological Metabolic Responses of Ophraella communa to High Temperature Stress</t>
  </si>
  <si>
    <t>FRONTIERS IN PHYSIOLOGY</t>
  </si>
  <si>
    <t>leaf beetle; heat stress; developmental stage; physiological responses; common ragweed</t>
  </si>
  <si>
    <t>DIFFERENT DEVELOPMENTAL-STAGES; HEAT-SHOCK PROTEINS; AMBROSIA-ARTEMISIIFOLIA; WATER-LOSS; COLEOPTERA-CHRYSOMELIDAE; BIOLOGICAL-CONTROL; THERMAL TOLERANCE; ANTARCTIC MIDGE; UP-REGULATION; SUMMER HEAT</t>
  </si>
  <si>
    <t>Considering the predicted rising temperatures under current climate change and heat wave scenarios, organisms are expected to suffer more intense and frequent thermal stress. Induced heat is accumulated by organisms and can cause a variety of physiological stress responses. Ophraella communa is an effective biological control agent of common ragweed, Ambrosia artemisiifolia, but the responses of this biocontrol agent to heat stress have not been fully elucidated and, therefore, its potential responses to climate change are uncertain. We investigated the physiological metabolism of subsequent O. communa adults after: (1) different developmental stages (egg, larval, pupal, and adult) were exposed to thermal stress for 3 h each day for 3, 5, 5, and 5 days, respectively (by stage); and (2) individuals were exposed to thermal stress throughout the egg-to-adult period for 3 h each day. The high temperatures of 40, 42, and 44 degrees C were used to induce thermal stress. A control group was reared at 28 +/- 2 degrees C. The results showed that short- or long-term exposure to daily phasic high temperatures significantly decreased water and lipid contents and significantly increased glycogen and glycerol contents in all adults (i.e., after exposure of different stages or throughout the egg-to-adult period). However, the total sugar content significantly increased in adults after the eggs and larvae were exposed to brief short-term thermal stress. Compared to the control, the total sugar content was also significantly higher in the adults and pupae exposed to 44 degrees C. Total sugar content in females increased significantly in response to long-term phasic thermal stress at 40 degrees C. However, sugar content of males exposed to 44 degrees C decreased significantly. After long-term phasic thermal stress, water and glycogen contents in males were significantly higher than in females; however, females had higher total sugar and lipid contents. Therefore, our study provides a basic understanding of the metabolic responses of O. communa to thermal stress and offers insights into its potential as a natural biocontrol agent against A. artemisiifolia during the summer season and under predicted climate change scenarios.</t>
  </si>
  <si>
    <t>[Chen, Hongsong; Zhao, Chenchen; Guo, Jianying; Wan, Fanghao; Zhou, Zhongshi] Chinese Acad Agr Sci, Inst Plant Protect, State Key Lab Biol Plant Dis &amp; Insect Pests, Beijing, Peoples R China; [Chen, Hongsong; Yang, Lang] Guangxi Acad Agr Sci, Inst Plant Protect, Guangxi Key Lab Biol Crop Dis &amp; Insect Pests, Nanning, Peoples R China; [Solangi, Ghulam Sarwar] Sindh Agr Univ, Dept Entomol, Sub Campus, Umerkot, Pakistan; [Zhao, Chenchen] Chinese Acad Agr Sci, Inst Cotton Res, State Key Lab Cotton Biol, Zhengzhou, Henan, Peoples R China</t>
  </si>
  <si>
    <t>Chinese Academy of Agricultural Sciences; Institute of Plant Protection, CAAS; Guangxi Academy of Agricultural Sciences; Chinese Academy of Agricultural Sciences; Institute of Cotton Research, CAAS</t>
  </si>
  <si>
    <t>Wan, FH; Zhou, ZS (corresponding author), Chinese Acad Agr Sci, Inst Plant Protect, State Key Lab Biol Plant Dis &amp; Insect Pests, Beijing, Peoples R China.</t>
  </si>
  <si>
    <t>wanfanghao@caas.cn; zhongshizhou@yahoo.com</t>
  </si>
  <si>
    <t>lin, yuan/JXL-9592-2024</t>
  </si>
  <si>
    <t>National Natural Science Foundation of China [31672089]; National Natural Science Foundation of China for Excellent Young Scholars [31322046]</t>
  </si>
  <si>
    <t>National Natural Science Foundation of China(National Natural Science Foundation of China (NSFC)); National Natural Science Foundation of China for Excellent Young Scholars</t>
  </si>
  <si>
    <t>This work was funded by the National Natural Science Foundation of China (No. 31672089) and the National Natural Science Foundation of China for Excellent Young Scholars (No. 31322046).</t>
  </si>
  <si>
    <t>1664-042X</t>
  </si>
  <si>
    <t>FRONT PHYSIOL</t>
  </si>
  <si>
    <t>Front. Physiol.</t>
  </si>
  <si>
    <t>AUG 27</t>
  </si>
  <si>
    <t>10.3389/fphys.2019.01053</t>
  </si>
  <si>
    <t>Physiology</t>
  </si>
  <si>
    <t>IT4MP</t>
  </si>
  <si>
    <t>WOS:000482835300001</t>
  </si>
  <si>
    <t>Massonnet, F; Barthélemy, A; Worou, K; Fichefet, T; Vancoppenolle, M; Rousset, C; Moreno-Chamarro, E</t>
  </si>
  <si>
    <t>Massonnet, Francois; Barthelemy, Antoine; Worou, Koffi; Fichefet, Thierry; Vancoppenolle, Martin; Rousset, Clement; Moreno-Chamarro, Eduardo</t>
  </si>
  <si>
    <t>On the discretization of the ice thickness distribution in the NEMO3.6-LIM3 global ocean-sea ice model</t>
  </si>
  <si>
    <t>GEOSCIENTIFIC MODEL DEVELOPMENT</t>
  </si>
  <si>
    <t>THERMODYNAMIC MODEL; MASS-BALANCE; CLIMATE; IMPACT; SENSITIVITY; SALINITY; RATES; MELT</t>
  </si>
  <si>
    <t>The ice thickness distribution (ITD) is one of the core constituents of modern sea ice models. The ITD accounts for the unresolved spatial variability of sea ice thickness within each model grid cell. While there is a general consensus on the added physical realism brought by the ITD, how to discretize it remains an open question. Here, we use the ocean-sea ice general circulation model, Nucleus for European Modelling of the Ocean (NEMO) version 3.6 and Louvain-la-Neuve sea Ice Model (LIM) version 3 (NEMO3.6-LIM3), forced by atmospheric reanalyses to test how the ITD discretization (number of ice thickness categories, positions of the category boundaries) impacts the simulated mean Arctic and Antarctic sea ice states. We find that winter ice volumes in both hemispheres increase with the number of categories and attribute that increase to a net enhancement of basal ice growth rates. The range of simulated mean winter volumes in the various experiments amounts to similar to 30 % and similar to 10 % of the reference values (run with five categories) in the Arctic and Antarctic, respectively. This suggests that the way the ITD is discretized has a significant influence on the model mean state, all other things being equal. We also find that the existence of a thick category with lower bounds at similar to 4 and similar to 2 m for the Arctic and Antarctic, respectively, is a prerequisite for allowing the storage of deformed ice and therefore for fostering thermodynamic growth in thinner categories. Our analysis finally suggests that increasing the resolution of the ITD without changing the lower limit of the upper category results in small but not negligible variations of ice volume and extent. Our study proposes for the first time a bi-polar process-based explanation of the origin of mean sea ice state changes when the ITD discretization is modified. The sensitivity experiments conducted in this study, based on one model, emphasize that the choice of category positions, especially of thickest categories, has a primary influence on the simulated mean sea ice states while the number of categories and resolution have only a secondary influence. It is also found that the current default discretization of the NEMO3.6-LIM3 model is sufficient for large-scale present-day climate applications. In all cases, the role of the ITD discretization on the simulated mean sea ice state has to be appreciated relative to other influences (parameter uncertainty, forcing uncertainty, internal climate variability).</t>
  </si>
  <si>
    <t>[Massonnet, Francois; Barthelemy, Antoine; Worou, Koffi; Fichefet, Thierry] Catholic Univ Louvain, Earth &amp; Life Inst, Georges Lemaitre Ctr Earth &amp; Climate Res, Louvain La Neuve, Belgium; [Vancoppenolle, Martin; Rousset, Clement] Sorbonne Univ, UPMC Paris 6, LOCEAN, CNRS,IRD,MNHN,IPSL, Paris, France; [Moreno-Chamarro, Eduardo] Barcelona Supercomp Ctr, Ctr Nacl Supercomputac, Nexus 2 Planta 1 C Jordi Girona 29, Barcelona, Spain</t>
  </si>
  <si>
    <t>Universite Catholique Louvain; Universite Paris Cite; Sorbonne Universite; Centre National de la Recherche Scientifique (CNRS); Institut de Recherche pour le Developpement (IRD); Museum National d'Histoire Naturelle (MNHN); Universitat Politecnica de Catalunya; Barcelona Supercomputer Center (BSC-CNS)</t>
  </si>
  <si>
    <t>Massonnet, F (corresponding author), Catholic Univ Louvain, Earth &amp; Life Inst, Georges Lemaitre Ctr Earth &amp; Climate Res, Louvain La Neuve, Belgium.</t>
  </si>
  <si>
    <t>francois.massonnet@uclouvain.be</t>
  </si>
  <si>
    <t>Vancoppenolle, Martin/B-3750-2011; Vancoppenolle, Martin/AAA-7711-2022; Moreno-Chamarro, Eduardo/ABF-9676-2021; Massonnet, Francois/J-5315-2014</t>
  </si>
  <si>
    <t>Vancoppenolle, Martin/0000-0002-7573-8582; Vancoppenolle, Martin/0000-0002-7573-8582; Moreno-Chamarro, Eduardo/0000-0002-7931-5149; Massonnet, Francois/0000-0002-4697-5781; Worou, Koffi/0000-0002-2230-8431</t>
  </si>
  <si>
    <t>European Commission [727862, 641727]</t>
  </si>
  <si>
    <t>European Commission(European Union (EU)European Commission Joint Research Centre)</t>
  </si>
  <si>
    <t>This research has been supported by the European Commission (APPLICATE (grant no. 727862) and PRIMAV-ERA (grant no. 641727)).</t>
  </si>
  <si>
    <t>1991-959X</t>
  </si>
  <si>
    <t>1991-9603</t>
  </si>
  <si>
    <t>GEOSCI MODEL DEV</t>
  </si>
  <si>
    <t>Geosci. Model Dev.</t>
  </si>
  <si>
    <t>10.5194/gmd-12-3745-2019</t>
  </si>
  <si>
    <t>IT7GG</t>
  </si>
  <si>
    <t>Green Published, Green Submitted, gold</t>
  </si>
  <si>
    <t>WOS:000483043100001</t>
  </si>
  <si>
    <t>Ishino, S; Hattori, S; Savarino, J; Legrand, M; Albalat, E; Albarede, F; Preunkert, S; Jourdain, B; Yoshida, N</t>
  </si>
  <si>
    <t>Ishino, Sakiko; Hattori, Shohei; Savarino, Joel; Legrand, Michel; Albalat, Emmanuelle; Albarede, Francis; Preunkert, Susanne; Jourdain, Bruno; Yoshida, Naohiro</t>
  </si>
  <si>
    <t>Homogeneous sulfur isotope signature in East Antarctica and implication for sulfur source shifts through the last glacial-interglacial cycle</t>
  </si>
  <si>
    <t>SIZE-SEGREGATED AEROSOL; SEA-SALT AEROSOL; DUMONT DURVILLE; CONCORDIA SITE; ROUND RECORDS; OCEANIC DMSP; ICE CORES; SULFATE; FRACTIONATION; BULK</t>
  </si>
  <si>
    <t>Sulfate aerosol (SO42-) preserved in Antarctic ice cores is discussed in the light of interactions between marine biological activity and climate since it is mainly sourced from biogenic emissions from the surface ocean and scatters solar radiation during traveling in the atmosphere. However, there has been a paradox between the ice core record and the marine sediment record; the former shows constant nonsea-salt (nss-) SO42- flux throughout the glacial-interglacial changes, and the latter shows a decrease in biogenic productivity during glacial periods compared to interglacial periods. Here, by ensuring the homogeneity of sulfur isotopic compositions of atmospheric nss-SO42-(delta S-34(nss)) over East Antarctica, we established the applicability of the signature as a robust tool for distinguishing marine biogenic and nonmarine biogenic SO42. Our findings, in conjunction with existing records of nss-SO42- flux and (delta S-34(nss)) in Antarctic ice cores, provide an estimate of the relative importance of marine biogenic SO42- during the last glacial period to be 48 +/- 10% of nss-SO42-, slightly lower than 59 +/- 11% during the interglacial periods. Thus, our results tend to reconcile the ice core and sediment records, with both suggesting the decrease in marine productivity around Southern Ocean under the cold climate.</t>
  </si>
  <si>
    <t>[Ishino, Sakiko; Hattori, Shohei; Yoshida, Naohiro] Tokyo Inst Technol, Sch Mat &amp; Chem Technol, Dept Chem Sci &amp; Engn, Yokohama, Kanagawa 2268502, Japan; [Savarino, Joel; Legrand, Michel; Preunkert, Susanne; Jourdain, Bruno] Univ Grenoble Alpes, Inst Geosci Environm, CNRS, G INP,IRD, F-38000 Grenoble, France; [Albalat, Emmanuelle; Albarede, Francis] Ecole Normale Super LGL TPE, F-69364 Lyon, France; [Yoshida, Naohiro] Tokyo Inst Technol, Earth Life Sci Inst, Tokyo 1528551, Japan; [Ishino, Sakiko] Natl Inst Polar Res, Tokyo 1908518, Japan</t>
  </si>
  <si>
    <t>Tokyo Institute of Technology; Communaute Universite Grenoble Alpes; Universite Grenoble Alpes (UGA); Centre National de la Recherche Scientifique (CNRS); Institut de Recherche pour le Developpement (IRD); Tokyo Institute of Technology; Research Organization of Information &amp; Systems (ROIS); National Institute of Polar Research (NIPR) - Japan</t>
  </si>
  <si>
    <t>Ishino, S; Hattori, S (corresponding author), Tokyo Inst Technol, Sch Mat &amp; Chem Technol, Dept Chem Sci &amp; Engn, Yokohama, Kanagawa 2268502, Japan.;Ishino, S (corresponding author), Natl Inst Polar Res, Tokyo 1908518, Japan.</t>
  </si>
  <si>
    <t>ishino.sakiko@nipr.ac.jp; hattori.s.ab@m.titech.ac.jp</t>
  </si>
  <si>
    <t>Hattori, Shohei/KGK-4865-2024; Ishino, Sakiko/HJX-9385-2023; Yoshida, Naohiro/A-8335-2010; Legrand, Michel/AAU-4678-2020; Albarede, Francis/A-8871-2011; savarino, joel/H-9730-2012</t>
  </si>
  <si>
    <t>Hattori, Shohei/0000-0002-4438-5462; Ishino, Sakiko/0000-0002-5897-7063; Yoshida, Naohiro/0000-0003-0454-3849; Albalat, Emmanuelle/0000-0003-0864-5199; Albarede, Francis/0000-0003-1994-1428; savarino, joel/0000-0002-6708-9623</t>
  </si>
  <si>
    <t>Institut Polaire Francais Paul Emile Victor from Program [414, 1011, 1177 (CAPOXI 35-75)]; French Environmental Observation Service CESOA (Etude du cycle atmospherique du Soufre en relation avec le climat aux moyennes et hautes latitudes Sud); National Centre for Scientific Research (CNRS) Institute for Earth Sciences and Astronomy; JSPS KAKENHI [JP17J08978, JP19J00682, JP16H05884, JP18H05050, JP17H06105]; Ministry of Education, Culture, Sports, Science and Technology (MEXT), Japan; Labex OSUG@2020; French Agence Nationale de la Recherche (ANR) FOFAMIFS project [ANR-14-CE33-0009-01, ANR-16-CE01-0011-01]; JSPS; CNRS under the JSPS-CNRS Joint Research Program; CNRS/INSU [207394]; PH-SAKURA program of the French Embassy in Japan [31897PM]; Academy for Co-creative Education of Environment and Energy Science; Agence Nationale de la Recherche (ANR) [ANR-14-CE33-0009] Funding Source: Agence Nationale de la Recherche (ANR)</t>
  </si>
  <si>
    <t>Institut Polaire Francais Paul Emile Victor from Program; French Environmental Observation Service CESOA (Etude du cycle atmospherique du Soufre en relation avec le climat aux moyennes et hautes latitudes Sud); National Centre for Scientific Research (CNRS) Institute for Earth Sciences and Astronomy; JSPS KAKENHI(Ministry of Education, Culture, Sports, Science and Technology, Japan (MEXT)Japan Society for the Promotion of ScienceGrants-in-Aid for Scientific Research (KAKENHI)); Ministry of Education, Culture, Sports, Science and Technology (MEXT), Japan(Ministry of Education, Culture, Sports, Science and Technology, Japan (MEXT)); Labex OSUG@2020; French Agence Nationale de la Recherche (ANR) FOFAMIFS project; JSPS(Ministry of Education, Culture, Sports, Science and Technology, Japan (MEXT)Japan Society for the Promotion of Science); CNRS under the JSPS-CNRS Joint Research Program; CNRS/INSU(Centre National de la Recherche Scientifique (CNRS)); PH-SAKURA program of the French Embassy in Japan; Academy for Co-creative Education of Environment and Energy Science; Agence Nationale de la Recherche (ANR)(Agence Nationale de la Recherche (ANR))</t>
  </si>
  <si>
    <t>We thank Dr. I. Bourgeois and Basile de Fleurian, who conducted winter sampling at Dome C and DDU in 2011, and to Dr. M. Lin for helpful discussions for interpretation of the data. We appreciate financial support and field supplies for winter and summer campaigns at Dome C and DDU by the Institut Polaire Francais Paul Emile Victor from Program 414, program 1011 (SUNITEDC) and program 1177 (CAPOXI 35-75), and the French Environmental Observation Service CESOA (Etude du cycle atmospherique du Soufre en relation avec le climat aux moyennes et hautes latitudes Sud) by the National Centre for Scientific Research (CNRS) Institute for Earth Sciences and Astronomy. This study was supported by JSPS KAKENHI (JP17J08978 (S.I.), JP19J00682 (S.I.), JP16H05884 (S.H.), JP18H05050 (S.H.), and JP17H06105 (N.Y. and S.H.)) from the Ministry of Education, Culture, Sports, Science and Technology (MEXT), Japan, and by a grant from Labex OSUG@2020 (Investissements d'avenir -ANR10 LABX56) and by the French Agence Nationale de la Recherche (ANR) FOFAMIFS project (grant ANR-14-CE33-0009-01) and EAIIST project (grant ANR-16-CE01-0011-01). S.H. appreciates support for this project from JSPS and CNRS under the JSPS-CNRS Joint Research Program. J.S. thanks the CNRS/INSU (PRC program 207394) and the PH-SAKURA program of the French Embassy in Japan (project 31897PM) for financial support. S.I. thanks the Academy for Co-creative Education of Environment and Energy Science for financial support. Meteo France is acknowledged for providing meteorological data. We also acknowledge the Air Resources Laboratory (ARL) for the use of their HYSPLIT transport and dispersion model.</t>
  </si>
  <si>
    <t>10.1038/s41598-019-48801-1</t>
  </si>
  <si>
    <t>IT2UH</t>
  </si>
  <si>
    <t>WOS:000482708500001</t>
  </si>
  <si>
    <t>Ericson, JA; Hellessey, N; Kawaguchi, S; Nichols, PD; Nicol, S; Hoem, N; Virtue, P</t>
  </si>
  <si>
    <t>Ericson, Jessica A.; Hellessey, Nicole; Kawaguchi, So; Nichols, Peter D.; Nicol, Stephen; Hoem, Nils; Virtue, Patti</t>
  </si>
  <si>
    <t>Near-future ocean acidification does not alter the lipid content and fatty acid composition of adult Antarctic krill</t>
  </si>
  <si>
    <t>EUPHAUSIA-SUPERBA; METABOLISM; PROSTAGLANDINS; INVERTEBRATES; TEMPERATURE; EXTRACTION; MEMBRANES; RESPONSES; IMPACT; PCO(2)</t>
  </si>
  <si>
    <t>Euphausia superba (Antarctic krill) is a keystone species in the Southern Ocean, but little is known about how it will respond to climate change. Ocean acidification, caused by sequestration of carbon dioxide into ocean surface waters (pCO(2)), alters the lipid biochemistry of some organisms. This can have cascading effects up the food chain. In a year-long laboratory experiment adult krill were exposed to ambient seawater pCO(2) levels (400 mu atm), elevated pCO(2) levels mimicking near-future ocean acidification (1000, 1500 and 2000 mu atm) and an extreme pCO(3) level (4000 mu atm). Total lipid mass (mg g(-1) DM) of krill was unaffected by near-future pCO(2). Fatty acid composition (%) and fatty acid ratios associated with immune responses and cell membrane fluidity were also unaffected by near-future pCO(2), apart from an increase in 18:3n-3/18:2n-6 ratios in krill in 1500 mu atm pCO(2) in winter and spring. Extreme pCO(2) had no effect on krill lipid biochemistry during summer. During winter and spring, krill in extreme pCO(2) had elevated levels of 18:2n-6 (up to 1.2% increase), 20:4n-6 (up to 0.8% increase), lower 18:3n-3/18:2n-6 and 20:5n-3/20:4n-6 ratios, and showed evidence of increased membrane fluidity (up to three-fold increase in phospholipid/sterol ratios). These results indicate that the lipid biochemistry of adult krill is robust to near-future ocean acidification.</t>
  </si>
  <si>
    <t>[Ericson, Jessica A.; Hellessey, Nicole; Nichols, Peter D.; Nicol, Stephen; Virtue, Patti] Univ Tasmania, Inst Marine &amp; Antarctic Studies, 20 Castray Esplanade, Battery Point, Tas 7004, Australia; [Ericson, Jessica A.; Hellessey, Nicole; Kawaguchi, So; Virtue, Patti] Antarctic Climate &amp; Ecosyst Cooperat Res Ctr, 20 Castray Esplanade, Battery Point, Tas 7004, Australia; [Ericson, Jessica A.; Hellessey, Nicole; Nichols, Peter D.; Virtue, Patti] CSIRO Oceans &amp; Atmosphere, Battery Point, Tas 7004, Australia; [Ericson, Jessica A.] Cawthron Inst, 98 Halifax St East, Nelson 7010, New Zealand; [Kawaguchi, So] Australian Antarctic Div, 203 Channel Highway, Kingston, Tas 7050, Australia; [Hoem, Nils] Aker Biomarine Oksenoyveien, Oksenoyveien 10,POB 496, NO-1327 Lysaker, Norway</t>
  </si>
  <si>
    <t>University of Tasmania; Antarctic Climate &amp; Ecosystems Cooperative Research Centre (ACE CRC); Commonwealth Scientific &amp; Industrial Research Organisation (CSIRO); Australian Antarctic Division</t>
  </si>
  <si>
    <t>Ericson, JA (corresponding author), Univ Tasmania, Inst Marine &amp; Antarctic Studies, 20 Castray Esplanade, Battery Point, Tas 7004, Australia.;Ericson, JA (corresponding author), Antarctic Climate &amp; Ecosyst Cooperat Res Ctr, 20 Castray Esplanade, Battery Point, Tas 7004, Australia.;Ericson, JA (corresponding author), CSIRO Oceans &amp; Atmosphere, Battery Point, Tas 7004, Australia.</t>
  </si>
  <si>
    <t>jessica.ericson@utas.edu.au</t>
  </si>
  <si>
    <t>Kawaguchi, So/N-1795-2017; Ericson, Jessica/AAP-1976-2020; Hellessey, Nicole/B-1695-2016; Nichols, Peter D/C-5128-2011</t>
  </si>
  <si>
    <t>Ericson, Jessica/0000-0001-5220-8493; Hellessey, Nicole/0000-0002-3053-8720; Kawaguchi, So/0000-0002-2042-5095</t>
  </si>
  <si>
    <t>Australian Research Council [LP140100412]; Australian Research Council [LP140100412] Funding Source: Australian Research Council</t>
  </si>
  <si>
    <t>We thank Tasha Waller, Ashley Cooper, Blair Smith and Rob King for their invaluable technical assistance in the krill aquarium, and Guang Yang for assistance with daily experimental monitoring. The helpful comments of two anonymous reviewers and the editor are acknowledged and assisted in improving the manuscript. This research was funded by an Australian Research Council Linkage Grant LP140100412 between the Australian Antarctic Division, Commonwealth Scientific and Industrial Research Organisation, Institute for Marine and Antarctic Studies (University of Tasmania), Aker Biomarine and Griffith University.</t>
  </si>
  <si>
    <t>AUG 26</t>
  </si>
  <si>
    <t>10.1038/s41598-019-48665-5</t>
  </si>
  <si>
    <t>IT0VH</t>
  </si>
  <si>
    <t>WOS:000482564800031</t>
  </si>
  <si>
    <t>Coleine, C; Stajich, JE; Pombubpa, N; Zucconi, L; Onofri, S; Canini, F; Selbmann, L</t>
  </si>
  <si>
    <t>Coleine, Claudia; Stajich, Jason E.; Pombubpa, Nuttapon; Zucconi, Laura; Onofri, Silvano; Canini, Fabiana; Selbmann, Laura</t>
  </si>
  <si>
    <t>Altitude and fungal diversity influence the structure of Antarctic cryptoendolithic Bacteria communities</t>
  </si>
  <si>
    <t>ENVIRONMENTAL MICROBIOLOGY REPORTS</t>
  </si>
  <si>
    <t>MCMURDO DRY VALLEYS; MICROBIAL DIVERSITY; ENDOLITHIC MICROORGANISMS; DEINOCOCCUS-RADIODURANS; DOMINANT BACTERIA; VICTORIA LAND; COLD DESERT; SP-NOV; SOILS; ROCK</t>
  </si>
  <si>
    <t>Endolithic growth within rocks is a critical adaptation of microbes living in harsh environments where exposure to extreme temperature, radiation, and desiccation limits the predominant life forms, such as in the ice-free regions of Continental Antarctica. The microbial diversity of the endolithic communities in these areas has been sparsely examined. In this work, diversity and composition of bacterial assemblages in the cryptoendolithic lichen-dominated communities of Victoria Land (Continental Antarctica) were explored using a high-throughput metabarcoding approach, targeting the V4 region of 16S rDNA. Rocks were collected in 12 different localities (from 14 different sites), along a gradient ranging from 1000 to 3300 m a.s.l. and at a sea distance ranging from 29 to 96 km. The results indicate Actinobacteria and Proteobacteria are the dominant taxa in all samples and defined a 'core' group of bacterial taxa across all sites. The structure of bacteria communities is correlated with the fungal counterpart and among the environmental parameters considered, altitude was found to influence bacterial biodiversity, while distance from sea had no evident influence.</t>
  </si>
  <si>
    <t>[Coleine, Claudia; Zucconi, Laura; Onofri, Silvano; Canini, Fabiana; Selbmann, Laura] Univ Tuscia, Dept Ecol &amp; Biol Sci, Viterbo, Italy; [Stajich, Jason E.; Pombubpa, Nuttapon] Univ Calif Riverside, Dept Microbiol &amp; Plant Pathol, Riverside, CA 92521 USA; [Stajich, Jason E.; Pombubpa, Nuttapon] Univ Calif Riverside, Inst Integrat Genome Biol, Riverside, CA 92521 USA; [Selbmann, Laura] Italian Antarctic Natl Museum MNA, Mycol Sect, Genoa, Italy</t>
  </si>
  <si>
    <t>Tuscia University; University of California System; University of California Riverside; University of California System; University of California Riverside</t>
  </si>
  <si>
    <t>Stajich, JE (corresponding author), Univ Calif Riverside, Dept Microbiol &amp; Plant Pathol, Riverside, CA 92521 USA.;Stajich, JE (corresponding author), Univ Calif Riverside, Inst Integrat Genome Biol, Riverside, CA 92521 USA.</t>
  </si>
  <si>
    <t>jason.stajich@ucr.edu</t>
  </si>
  <si>
    <t>Zucconi, L./U-9781-2018; Selbmann, Laura/L-3056-2013; Coleine, Claudia/AAE-1889-2020; Stajich, Jason Eric/C-7297-2008; Canini, Fabiana/ABE-4243-2020</t>
  </si>
  <si>
    <t>Zucconi, L./0000-0001-9793-2303; Selbmann, Laura/0000-0002-8967-3329; Coleine, Claudia/0000-0002-9289-6179; Stajich, Jason Eric/0000-0002-7591-0020; Canini, Fabiana/0000-0002-9626-6318; ONOFRI, Silvano/0000-0001-8872-1440; Pombubpa, Nuttapon/0000-0003-3385-5331</t>
  </si>
  <si>
    <t>Italian National Program for Antarctic Researches (PNRA); Italian Antarctic National Museum (MNA); United States Department of Agriculture - National Institute of Food and Agriculture Hatch Project [CA-R-PPA-5062-H]; National Science Foundation (NSF) [DBI-1429826]; National Institutes of Health (NIH) [S10-OD016290]; Royal Thai government fellowship</t>
  </si>
  <si>
    <t>Italian National Program for Antarctic Researches (PNRA); Italian Antarctic National Museum (MNA); United States Department of Agriculture - National Institute of Food and Agriculture Hatch Project; National Science Foundation (NSF)(National Science Foundation (NSF)); National Institutes of Health (NIH)(United States Department of Health &amp; Human ServicesNational Institutes of Health (NIH) - USA); Royal Thai government fellowship</t>
  </si>
  <si>
    <t>The Italian National Program for Antarctic Researches (PNRA) is kindly acknowledged for funding sampling campaigns and the research activities in Italy. The Italian Antarctic National Museum (MNA) is acknowledged for financial support to the Mycological Section on the MNA for preserving rock Antarctic samples used in this study and stored in the CCFEE (Culture Collection of Fungi from Extreme Environments). Sequencing was supported by funds through United States Department of Agriculture - National Institute of Food and Agriculture Hatch Project CA-R-PPA-5062-H to J.E.S. The 16S primers were made available through the Alfred P. Sloan Foundation Built Environment Program. Data analyses were performed on the High-Performance Computing Cluster at the University of California-Riverside in the Institute of Integrative Genome Biology supported by National Science Foundation (NSF) DBI-1429826 and National Institutes of Health (NIH) S10-OD016290. N. P. was supported by a Royal Thai government fellowship.</t>
  </si>
  <si>
    <t>1758-2229</t>
  </si>
  <si>
    <t>ENV MICROBIOL REP</t>
  </si>
  <si>
    <t>Environ. Microbiol. Rep.</t>
  </si>
  <si>
    <t>OCT</t>
  </si>
  <si>
    <t>10.1111/1758-2229.12788</t>
  </si>
  <si>
    <t>Environmental Sciences; Microbiology</t>
  </si>
  <si>
    <t>Environmental Sciences &amp; Ecology; Microbiology</t>
  </si>
  <si>
    <t>IY6RH</t>
  </si>
  <si>
    <t>Green Published, Green Accepted, Bronze</t>
  </si>
  <si>
    <t>WOS:000482694700001</t>
  </si>
  <si>
    <t>Daugbjerg, N; Fassel, NMD; Moestrup, O</t>
  </si>
  <si>
    <t>Daugbjerg, Niels; Fassel, Nicolai M. D.; Moestrup, Ojvind</t>
  </si>
  <si>
    <t>Microscopy and phylogeny of Pyramimonas tatianae sp. nov. (Pyramimonadales, Chlorophyta), a scaly quadriflagellate from Golden Horn Bay (eastern Russia) and formal description of Pyramimonadophyceae classis nova</t>
  </si>
  <si>
    <t>EUROPEAN JOURNAL OF PHYCOLOGY</t>
  </si>
  <si>
    <t>Dispersal; nanoflagellate; phylogeny; Pyramimonas; Pyramimonadophyceae; ultrastructure; Vestigifera</t>
  </si>
  <si>
    <t>NORTHERN FOXE BASIN; FINE-STRUCTURE; ARCTIC CANADA; PRASINOPHYCEAE; ULTRASTRUCTURE; ANTARCTICA; MICROALGAE; APPARATUS; EMPHASIS; LIGHT</t>
  </si>
  <si>
    <t>Nearly two decades ago a scaly quadriflagellate culture was established from a sample collected in Golden Horn Bay, eastern Russia. Here we present a comparative analysis of pheno- and genotypic characters and show that the isolate did not match any existing species of Pyramimonas and is therefore described as P. tatianae sp. nov. The species was probably identified as P. aff. cordata in previous studies on material from the same area. Based on an ultrastructural account of the cell and its external body scales it was found to belong to the subgenus Vestigifera. This was supported by a phylogenetic analysis using the chloroplast-encoded rbcL gene. The cell dimensions of P. tatianae were 6-7 mu m long and 5-6 mu m wide and it thus represented one of the smaller species of the genus. The cup-shaped chloroplast was divided into four lobes reaching from the middle to the anterior part of the cell. A single posterior eyespot was observed adjacent to an excentric pyrenoid. The ultrastructure of the body and flagellar scales were illustrated from material prepared for whole mounts and thin sections. The new species was compared with P. cordata and P. mitra, two other vestigiferans with which it shares some morphological features. The sequence divergence between P. tatianae and the most closely related species, P. mitra, was 2.5%. The phylogeny of Vestigifera revealed two lineages, one comprising cold-water species and the cosmopolitan P. orientalis, and the other species from temperate-subtropical waters. The tree topology suggested a southbound dispersal route. This was further supported by all antarctic Pyramimonas species having encystment stages as part of their life cycle. It was therefore probable that their ancestors also were capable of producing cysts allowing transportation over great distances. A formal description of the class Pyramimonadophyceae comprising both extant and extinct species was also provided.</t>
  </si>
  <si>
    <t>[Daugbjerg, Niels; Fassel, Nicolai M. D.; Moestrup, Ojvind] Univ Copenhagen, Dept Biol, Marine Biol Sect, Univ Pk 4, DK-2100 Copenhagen O, Denmark</t>
  </si>
  <si>
    <t>University of Copenhagen</t>
  </si>
  <si>
    <t>Daugbjerg, N (corresponding author), Univ Copenhagen, Dept Biol, Marine Biol Sect, Univ Pk 4, DK-2100 Copenhagen O, Denmark.</t>
  </si>
  <si>
    <t>n.daugbjerg@bio.ku.dk</t>
  </si>
  <si>
    <t>Daugbjerg, Niels/D-3521-2014</t>
  </si>
  <si>
    <t>Daugbjerg, Niels/0000-0002-0397-3073; Moestrup, Ojvind/0000-0003-0965-8645</t>
  </si>
  <si>
    <t>Villum Kann Rasmussen Foundation; Brodrene Hartmann Fonden [R69-A22.920]</t>
  </si>
  <si>
    <t>Villum Kann Rasmussen Foundation(Villum Fonden); Brodrene Hartmann Fonden</t>
  </si>
  <si>
    <t>This study was supported by the Villum Kann Rasmussen Foundation (grant number not available) and Brodrene Hartmann Fonden (R69-A22.920) to ND.</t>
  </si>
  <si>
    <t>TAYLOR &amp; FRANCIS LTD</t>
  </si>
  <si>
    <t>ABINGDON</t>
  </si>
  <si>
    <t>2-4 PARK SQUARE, MILTON PARK, ABINGDON OR14 4RN, OXON, ENGLAND</t>
  </si>
  <si>
    <t>0967-0262</t>
  </si>
  <si>
    <t>1469-4433</t>
  </si>
  <si>
    <t>EUR J PHYCOL</t>
  </si>
  <si>
    <t>Eur. J. Phycol.</t>
  </si>
  <si>
    <t>JAN 2</t>
  </si>
  <si>
    <t>10.1080/09670262.2019.1638524</t>
  </si>
  <si>
    <t>Plant Sciences; Marine &amp; Freshwater Biology</t>
  </si>
  <si>
    <t>KU9XD</t>
  </si>
  <si>
    <t>WOS:000483822700001</t>
  </si>
  <si>
    <t>Sample, M; Aslan, CE; Policelli, N; Sanford, RL; Nielsen, E; Nuñez, MA</t>
  </si>
  <si>
    <t>Sample, Martha; Aslan, Clare E.; Policelli, Nahuel; Sanford, Robert L.; Nielsen, Erik; Nunez, Martin A.</t>
  </si>
  <si>
    <t>Increase in nonnative understorey vegetation cover after nonnative conifer removal and passive restoration</t>
  </si>
  <si>
    <t>AUSTRAL ECOLOGY</t>
  </si>
  <si>
    <t>ecological restoration; Nonnative conifers; nonnative species removal; Patagonia; Scotch broom; vegetation regeneration</t>
  </si>
  <si>
    <t>ECOLOGICAL RESTORATION; SOUTHERN-HEMISPHERE; EXOTIC PLANTATIONS; ECOSYSTEM SERVICES; INVASIVE TREE; FOREST; MANAGEMENT; PATTERNS; REGENERATION; PLANTS</t>
  </si>
  <si>
    <t>Nonnative conifers are widespread in the southern hemisphere, where their use as plantation species has led to adverse ecosystem impacts sometimes intensified by invasion. Mechanical removal is a common strategy used to reduce or eliminate the negative impacts of nonnative conifers, and encourage native regeneration. However, a variety of factors may preclude active ecological restoration following removal. As a result, passive restoration - unassisted natural vegetation regeneration - is common following conifer removal. We asked, 'what is the response of understorey cover to removal of nonnative conifer stands followed by passive restoration?' We sampled understorey cover in three site types: two- to ten-year-old clearcuts, native forest and current plantations. We then grouped understorey species by origin (native/nonnative) and growth form, and compared proportion and per cent cover of these groups as well as of bare ground and litter between the three site types. For clearcuts, we also analysed the effect of time since clearcut on the studied variables. We found that clearcuts had a significantly higher average proportion of nonnative understorey vegetation cover than native forest sites, where nonnative vegetation was nearly absent. The understorey of clearcut sites also averaged more overall vegetation cover and more nonnative vegetation cover (in particular nonnative shrubs and herbaceous species) than either plantation or native forest sites. Notably, 99% of nonnative shrub cover in clearcuts was the invasive nonnative species Scotch broom (Cytisus scoparius). After ten years of passive recovery since clearcutting, the proportion of understorey vegetation cover that is native has not increased and remains far below the proportion observed in native forest sites. Reduced natural regeneration capacity of the native ecosystem, presence of invasive species in the surrounding landscape and land-use legacies from plantation forestry may inhibit native vegetation recovery and benefit opportunistic invasives, limiting the effectiveness of passive restoration in this context. in Spanish is available with online material.</t>
  </si>
  <si>
    <t>[Sample, Martha; Aslan, Clare E.] No Arizona Univ, Landscape Conservat Initiat, Flagstaff, AZ 86011 USA; [Aslan, Clare E.; Sanford, Robert L.; Nielsen, Erik] No Arizona Univ, Sch Earth &amp; Sustainabil, Flagstaff, AZ 86011 USA; [Policelli, Nahuel; Nunez, Martin A.] Univ Natl Comahue, CONICET, INIBIOMA, Grp Ecol Invas, San Carlos De Bariloche, Rio Negro, Argentina</t>
  </si>
  <si>
    <t>Northern Arizona University; Northern Arizona University; Universidad Nacional del Comahue; Consejo Nacional de Investigaciones Cientificas y Tecnicas (CONICET)</t>
  </si>
  <si>
    <t>Sample, M (corresponding author), No Arizona Univ, Landscape Conservat Initiat, Flagstaff, AZ 86011 USA.</t>
  </si>
  <si>
    <t>martha.sample@gmail.com</t>
  </si>
  <si>
    <t>Policelli, Nahuel/J-7182-2019; Nuñez, Martin A./B-2735-2010; Policelli, Nahuel/AEP-2369-2022</t>
  </si>
  <si>
    <t>Policelli, Nahuel/0000-0001-9708-5829; Nuñez, Martin A./0000-0003-0324-5479; Policelli, Nahuel/0000-0001-9708-5829; Sanford, Robert/0000-0003-2391-9231; Nielsen, Erik/0000-0003-3862-5260; Sample, Martha/0000-0001-5942-8181</t>
  </si>
  <si>
    <t>NAU Patagonian Research Experiences in Sustainability Science (PRESS) programme - US National Science Foundation; Omora Sub-Antarctic Research Alliance (OSARA)</t>
  </si>
  <si>
    <t>MS travelled to Argentina to lead this project with support from the NAU Patagonian Research Experiences in Sustainability Science (PRESS) programme, funded by the US National Science Foundation. The Omora Sub-Antarctic Research Alliance (OSARA) also provided generous financial support to enable field data collection. We would like to thank Aime Iglesias for providing invaluable assistance in the field, along with Noelia Barrios-Garcia and Brece Hendrix. This project would not have been possible without the partnership of Argentina's National Parks Administration and especially the help of PNNH managers including Santiago Quiroga, Juan Karlanian and Adolfo Moretti.</t>
  </si>
  <si>
    <t>1442-9985</t>
  </si>
  <si>
    <t>1442-9993</t>
  </si>
  <si>
    <t>AUSTRAL ECOL</t>
  </si>
  <si>
    <t>Austral Ecol.</t>
  </si>
  <si>
    <t>DEC</t>
  </si>
  <si>
    <t>10.1111/aec.12812</t>
  </si>
  <si>
    <t>JM6OQ</t>
  </si>
  <si>
    <t>Bronze</t>
  </si>
  <si>
    <t>WOS:000483259400001</t>
  </si>
  <si>
    <t>Beall, A</t>
  </si>
  <si>
    <t>Beall, Abigail</t>
  </si>
  <si>
    <t>Space Interstellar dust found locked in Antarctic snow</t>
  </si>
  <si>
    <t>NEW SCIENTIST</t>
  </si>
  <si>
    <t>News Item</t>
  </si>
  <si>
    <t>REED BUSINESS INFORMATION LTD</t>
  </si>
  <si>
    <t>SUTTON</t>
  </si>
  <si>
    <t>QUADRANT HOUSE THE QUADRANT, SUTTON SM2 5AS, SURREY, ENGLAND</t>
  </si>
  <si>
    <t>0262-4079</t>
  </si>
  <si>
    <t>NEW SCI</t>
  </si>
  <si>
    <t>New Sci.</t>
  </si>
  <si>
    <t>AUG 24</t>
  </si>
  <si>
    <t>10.1016/S0262-4079(19)31562-3</t>
  </si>
  <si>
    <t>IT0OJ</t>
  </si>
  <si>
    <t>WOS:000482545200015</t>
  </si>
  <si>
    <t>Goodwin, CE; Berman, J; Hendry, KR</t>
  </si>
  <si>
    <t>Goodwin, Claire E.; Berman, Jade; Hendry, Katharine R.</t>
  </si>
  <si>
    <t>Demosponges from the sublittoral and shallow-circalittoral (&lt;24m depth) Antarctic Peninsula with a description of four new species and notes on in situ identification characteristics</t>
  </si>
  <si>
    <t>ZOOTAXA</t>
  </si>
  <si>
    <t>Porifera; Antarctic Peninsula; SCUBA; taxonomy; In situ</t>
  </si>
  <si>
    <t>POECILOSCLERIDA PORIFERA; SPONGES PORIFERA; ISLAND; BIODIVERSITY</t>
  </si>
  <si>
    <t>Specimens were collected by SCUBA diving from 22 sites along the Antarctic Peninsula, spanning latitudes from Diomedea Island (62 degrees 12.185'S) to Jenny Island (67 degrees 43.325'S). The aims of the survey were to record the sponge biodiversity of the sublittoral and shallow-circalittoral and to provide information on in situ identification features. In total 24 sponge species were recorded, ranging from 0 to 12 species per site. The most widespread species were Dendrilla antarctica (10 sites), Sphaerotylus antarcticus (11 sites); and Mycale (Oxymycale) acerata (13 sites). Four species new to science were discovered and are described here: Megaciella cardenasi sp. nov., Crella (Crella) hennequinae sp. nov., Hymedesmia (Hymedesmia) noramaloneae sp. nov., Clathria (Clathria) priestleyae sp. nov. Suberites topsenti (Burton, 1929) is reassigned to Hemimycale topsenti (Burton, 1929) comb. nov. General habitat notes are provided for the survey sites, many of which were previously unsurveyed.</t>
  </si>
  <si>
    <t>[Goodwin, Claire E.] Natl Museums Northern Ireland, 153 Bangor Rd, Holywood BT18 0EU, Co Down, North Ireland; [Goodwin, Claire E.] Queens Univ, Marine Lab, 2-13 Strand, Portaferry BT22 1PF, North Ireland; [Goodwin, Claire E.] Huntsman Marine Sci Ctr, 1 Lower Campus Rd, St Andrews, NB E5B 2L7, Canada; [Goodwin, Claire E.] Univ New Brunswick, 100 Tucker Pk Rd,POB 5050, St John, NB E2L 4L5, Canada; [Berman, Jade] Ulster Wildlife, McClelland House,10 Heron Rd, Belfast BT3 9LE, Co Down, North Ireland; [Hendry, Katharine R.] Univ Bristol, Sch Earth Sci, Wills Mem Bldg,Queens Rd, Bristol BS8 1RJ, Avon, England</t>
  </si>
  <si>
    <t>University of New Brunswick; University of Bristol</t>
  </si>
  <si>
    <t>Goodwin, CE (corresponding author), Huntsman Marine Sci Ctr, 1 Lower Campus Rd, St Andrews, NB E5B 2L7, Canada.;Goodwin, CE (corresponding author), Univ New Brunswick, 100 Tucker Pk Rd,POB 5050, St John, NB E2L 4L5, Canada.</t>
  </si>
  <si>
    <t>Claire.goodwin@huntsmanmarine.ca</t>
  </si>
  <si>
    <t>Hendry, Katharine R/E-4793-2011</t>
  </si>
  <si>
    <t>Leverhulme Trust [RPG-2012-615]; Antarctic Science Bursary; Trans-Antarctic Association; Shackleton Scholarship Fund - Royal Society</t>
  </si>
  <si>
    <t>Leverhulme Trust(Leverhulme Trust); Antarctic Science Bursary; Trans-Antarctic Association; Shackleton Scholarship Fund - Royal Society</t>
  </si>
  <si>
    <t>This work was funded by a research project grant from the Leverhulme Trust (RPG-2012-615). Additional grants from Antarctic Science Bursary, the Trans-Antarctic Association and the Shackleton Scholarship Fund supported Jade Berman's participation in the fieldwork. Kate Hendry is funded by the Royal Society.</t>
  </si>
  <si>
    <t>MAGNOLIA PRESS</t>
  </si>
  <si>
    <t>AUCKLAND</t>
  </si>
  <si>
    <t>PO BOX 41383, AUCKLAND, ST LUKES 1030, NEW ZEALAND</t>
  </si>
  <si>
    <t>1175-5326</t>
  </si>
  <si>
    <t>1175-5334</t>
  </si>
  <si>
    <t>Zootaxa</t>
  </si>
  <si>
    <t>AUG 23</t>
  </si>
  <si>
    <t>10.11646/zootaxa.4658.3.3</t>
  </si>
  <si>
    <t>Zoology</t>
  </si>
  <si>
    <t>IT0QK</t>
  </si>
  <si>
    <t>WOS:000482550800003</t>
  </si>
  <si>
    <t>Menviel, L; Capron, E; Govin, A; Dutton, A; Tarasov, L; Abe-Ouchi, A; Drysdale, RN; Gibbard, PL; Gregoire, L; He, F; Ivanovic, RF; Kageyama, M; Kawamura, K; Landais, A; Otto-Bliesner, BL; Oyabu, I; Tzedakis, PC; Wolff, E; Zhang, X</t>
  </si>
  <si>
    <t>Menviel, Laurie; Capron, Emilie; Govin, Aline; Dutton, Andrea; Tarasov, Lev; Abe-Ouchi, Ayako; Drysdale, Russell N.; Gibbard, Philip L.; Gregoire, Lauren; He, Feng; Ivanovic, Ruza F.; Kageyama, Masa; Kawamura, Kenji; Landais, Amaelle; Otto-Bliesner, Bette L.; Oyabu, Ikumi; Tzedakis, Polychronis C.; Wolff, Eric; Zhang, Xu</t>
  </si>
  <si>
    <t>The penultimate deglaciation: protocol for Paleoclimate Modelling Intercomparison Project (PMIP) phase 4 transient numerical simulations between 140 and 127 ka, version 1.0</t>
  </si>
  <si>
    <t>LAST GLACIAL MAXIMUM; MERIDIONAL OVERTURNING CIRCULATION; NORTH-ATLANTIC OCEAN; MILLENNIAL-SCALE VARIABILITY; SEA-SURFACE TEMPERATURE; LARGE ENSEMBLE ANALYSIS; HEMISPHERE ICE SHEETS; MELTWATER PULSE 1A; ANTARCTIC ICE; CLIMATE VARIABILITY</t>
  </si>
  <si>
    <t>The penultimate deglaciation (PDG, similar to 138-128 thousand years before present, hereafter ka) is the transition from the penultimate glacial maximum (PGM) to the Last Interglacial (LIG, similar to 129-116 ka). The LIG stands out as one of the warmest interglacials of the last 800 000 years (hereafter kyr), with high-latitude temperature warmer than today and global sea level likely higher by at least 6 m. Considering the transient nature of the Earth system, the LIG climate and ice-sheet evolution were certainly influenced by the changes occurring during the penultimate deglaciation. It is thus important to investigate, with coupled atmosphere-ocean general circulation models (AOGCMs), the climate and environmental response to the large changes in boundary conditions (i.e. orbital configuration, atmospheric greenhouse gas concentrations, ice-sheet geometry and associated meltwater fluxes) occurring during the penultimate deglaciation. A deglaciation working group has recently been set up as part of the Paleoclimate Modelling Intercomparison Project (PMIP) phase 4, with a protocol to perform transient simulations of the last deglaciation (19-11 ka; although the protocol covers 26-0 ka). Similar to the last deglaciation, the disintegration of continental ice sheets during the penultimate deglaciation led to significant changes in the oceanic circulation during Heinrich Stadial 11 (similar to 136-129 ka). However, the two deglaciations bear significant differences in magnitude and temporal evolution of climate and environmental changes. Here, as part of the Past Global Changes (PAGES)-PMIP working group on Quaternary interglacials (QUIGS), we propose a protocol to perform transient simulations of the penultimate deglaciation under the auspices of PMIP4. This design includes time-varying changes in orbital forcing, greenhouse gas concentrations, continental ice sheets as well as freshwater input from the disintegration of continental ice sheets. This experiment is designed for AOGCMs to assess the coupled response of the climate system to all forcings. Additional sensitivity experiments are proposed to evaluate the response to each forcing. Finally, a selection of paleo-records representing different parts of the climate system is presented, providing an appropriate benchmark for upcoming model-data comparisons across the penultimate deglaciation.</t>
  </si>
  <si>
    <t>[Menviel, Laurie] Univ New South Wales, Climate Change Res Ctr, PANGEA, Sydney, NSW, Australia; [Capron, Emilie] Univ Copenhagen, Niels Bohr Inst, Phys Ice Climate &amp; Earth, Tagensvej 8, DK-2100 Copenhagen, Denmark; [Capron, Emilie] British Antarctic Survey, Madingley Rd, Cambridge CB3 0ET, England; [Govin, Aline; Kageyama, Masa; Landais, Amaelle] Univ Paris Saclay, IPSL, LSCE, CEA,CNRS,UVSQ, F-91190 Gif Sur Yvette, France; [Dutton, Andrea] Univ Florida, Dept Geol Sci, POB 112120, Gainesville, FL 32611 USA; [Tarasov, Lev] Mem Univ Newfoundland, Dept Phys &amp; Phys Oceanog, St John, NF, Canada; [Abe-Ouchi, Ayako] Univ Tokyo, Atmosphere &amp; Ocean Res Inst, Tokyo, Japan; [Drysdale, Russell N.] Univ Melbourne, Sch Geog, Melbourne, Vic, Australia; [Drysdale, Russell N.] Univ Savoie Mt Blanc, Lab EDYTEM, CNRS, UMR 5204, F-73376 Le Bourget Du Lac, France; [Gibbard, Philip L.] Univ Cambridge, Scott Polar Res Inst, Cambridge CB2 1ER, England; [Gregoire, Lauren; Ivanovic, Ruza F.] Univ Leeds, Sch Earth &amp; Environm, Leeds LS2 9JT, W Yorkshire, England; [He, Feng] Univ Wisconsin Madison, Nelson Inst Environm Studies, Ctr Climat Res, Madison, WI 53706 USA; [Kawamura, Kenji; Oyabu, Ikumi] Res Org Informat &amp; Syst, Natl Inst Polar Res, 10-3 Midori Cho, Tachikawa, Tokyo 1908518, Japan; [Kawamura, Kenji] Grad Univ Adv Studies SOKENDAI, Dept Polar Sci, 10-3 Midori Cho, Tachikawa, Tokyo 1908518, Japan; [Kawamura, Kenji] Japan Agcy Marine Earth Sci &amp; Technol, Inst Biogeosci, 2-15 Natsushima Cho, Yokosuka, Kanagawa 2370061, Japan; [Otto-Bliesner, Bette L.] NCAR, Climate &amp; Global Dynam Lab, Boulder, CO 80305 USA; [Tzedakis, Polychronis C.] UCL, Dept Geog, Environm Change Res Ctr, London, England; [Wolff, Eric] Univ Cambridge, Dept Earth Sci, Cambridge CB2 3EQ, England; [Zhang, Xu] Alfred Wegener Inst, Helmholtz Ctr Polar &amp; Marine Res, D-27570 Bremerhaven, Germany; [Zhang, Xu] Lanzhou Univ, Coll Earth &amp; Environm Sci, Minist Educ, Key Lab Western Chinas Environm Syst, Lanzhou 730000, Gansu, Peoples R China</t>
  </si>
  <si>
    <t>University of New South Wales Sydney; University of Copenhagen; Niels Bohr Institute; UK Research &amp; Innovation (UKRI); Natural Environment Research Council (NERC); NERC British Antarctic Survey; CEA; Centre National de la Recherche Scientifique (CNRS); Universite Paris Saclay; Universite Paris Cite; State University System of Florida; University of Florida; Memorial University Newfoundland; University of Tokyo; University of Melbourne; Melbourne Genomics Health Alliance; Centre National de la Recherche Scientifique (CNRS); CNRS - Institute of Ecology &amp; Environment (INEE); Universite Savoie Mont Blanc; University of Cambridge; University of Leeds; University of Wisconsin System; University of Wisconsin Madison; Research Organization of Information &amp; Systems (ROIS); National Institute of Polar Research (NIPR) - Japan; Graduate University for Advanced Studies - Japan; Japan Agency for Marine-Earth Science &amp; Technology (JAMSTEC); National Center Atmospheric Research (NCAR) - USA; University of London; University College London; University of Cambridge; Helmholtz Association; Alfred Wegener Institute, Helmholtz Centre for Polar &amp; Marine Research; Lanzhou University</t>
  </si>
  <si>
    <t>Menviel, L (corresponding author), Univ New South Wales, Climate Change Res Ctr, PANGEA, Sydney, NSW, Australia.;Capron, E (corresponding author), Univ Copenhagen, Niels Bohr Inst, Phys Ice Climate &amp; Earth, Tagensvej 8, DK-2100 Copenhagen, Denmark.;Capron, E (corresponding author), British Antarctic Survey, Madingley Rd, Cambridge CB3 0ET, England.</t>
  </si>
  <si>
    <t>l.menviel@unsw.edu.au; capron@nbi.ku.dk</t>
  </si>
  <si>
    <t>Oyabu, Ikumi/AGE-1164-2022; he, feng/HOF-1989-2023; Tzedakis, Polychronis C/J-1894-2012; Govin, Aline/E-6354-2013; Zhang, Xu/AFX-8847-2022; KAGEYAMA, Masa/F-2389-2010; Drysdale, Russell/AAH-9376-2019; Capron, Emilie/ITU-2672-2023; IPO, PAGES/JXY-7546-2024; Abe-Ouchi, Ayako A/M-6359-2013; Gregoire, Lauren J/A-7005-2011; Wolff, Eric W/D-7925-2014; Otto-Bliesner, Bette/AAY-7691-2020; Gibbard, Phil/AAU-8014-2021; He, Feng/B-3583-2008; Dutton, Andrea/A-2506-2008; Kawamura, Kenji/C-7660-2011; Menviel, Laurie/D-6902-2013; Ivanovic, Ruza/C-5941-2012</t>
  </si>
  <si>
    <t>Oyabu, Ikumi/0000-0001-8017-1085; Zhang, Xu/0000-0003-1833-9689; Abe-Ouchi, Ayako A/0000-0003-1745-5952; Gregoire, Lauren J/0000-0003-0258-7282; Wolff, Eric W/0000-0002-5914-8531; Dutton, Andrea/0000-0002-3836-119X; Kawamura, Kenji/0000-0003-1163-700X; Menviel, Laurie/0000-0002-5068-1591; Ivanovic, Ruza/0000-0002-7805-6018; Tzedakis, Polychronis/0000-0001-6072-1166; Drysdale, Russell/0000-0001-7867-031X; He, Feng/0000-0002-3355-6406</t>
  </si>
  <si>
    <t>Australian Research Council [DE150100107, DP180100048]; European Union's Seventh Framework Programme for research and innovation under the Marie Sklodowska-Curie grant [600207]; Royal Society professorship; European Research Council (ERC) under the European Union's Horizon 2020 research and innovation programme [742224]; NERC [NE/G00756X/1, NE/K008536/1]; CNRS; U.S. National Science Foundation (NSF) [1559040, 1702740]; National Center for Atmospheric Research - U.S. NSF [1852977]; NSF P2C2 grant [AGS-1401803]; NSF [AGS-1502990]; NOAA Climate and Global Change Postdoctoral Fellowship program; Helmholtz Postdoc Program [PD-301]; Chinese The Thousand Talents Plan Program; JSPS KAKENHI [17H06104, 15KK0027, 26241011, 17K12816, 17J00769]; MEXT KAKENHI [17H06323, 17H06320]; NERC [NE/K008536/1, bas0100034, NE/G00756X/1] Funding Source: UKRI; European Research Council (ERC) [742224] Funding Source: European Research Council (ERC); Grants-in-Aid for Scientific Research [26241011, 15KK0027, 17J00769, 17K12816] Funding Source: KAKEN; Directorate For Geosciences; Division Of Ocean Sciences [1559040, 1702740] Funding Source: National Science Foundation</t>
  </si>
  <si>
    <t>Australian Research Council(Australian Research Council); European Union's Seventh Framework Programme for research and innovation under the Marie Sklodowska-Curie grant(Marie Curie Actions); Royal Society professorship(Royal Society); European Research Council (ERC) under the European Union's Horizon 2020 research and innovation programme(European Research Council (ERC)); NERC(UK Research &amp; Innovation (UKRI)Natural Environment Research Council (NERC)); CNRS(Centre National de la Recherche Scientifique (CNRS)); U.S. National Science Foundation (NSF)(National Science Foundation (NSF)); National Center for Atmospheric Research - U.S. NSF; NSF P2C2 grant(National Science Foundation (NSF)NSF - Directorate for Geosciences (GEO)); NSF(National Science Foundation (NSF)); NOAA Climate and Global Change Postdoctoral Fellowship program(National Oceanic Atmospheric Admin (NOAA) - USA); Helmholtz Postdoc Program; Chinese The Thousand Talents Plan Program; JSPS KAKENHI(Ministry of Education, Culture, Sports, Science and Technology, Japan (MEXT)Japan Society for the Promotion of ScienceGrants-in-Aid for Scientific Research (KAKENHI)); MEXT KAKENHI(Ministry of Education, Culture, Sports, Science and Technology, Japan (MEXT)Japan Society for the Promotion of ScienceGrants-in-Aid for Scientific Research (KAKENHI)); NERC(UK Research &amp; Innovation (UKRI)Natural Environment Research Council (NERC)); European Research Council (ERC)(European Research Council (ERC)Spanish Government); Grants-in-Aid for Scientific Research(Ministry of Education, Culture, Sports, Science and Technology, Japan (MEXT)Japan Society for the Promotion of ScienceGrants-in-Aid for Scientific Research (KAKENHI)); Directorate For Geosciences; Division Of Ocean Sciences(National Science Foundation (NSF)NSF - Directorate for Geosciences (GEO))</t>
  </si>
  <si>
    <t>Laurie Menviel acknowledges funding from the Australian Research Council (grant nos. DE150100107 and DP180100048). Emilie Capron received funding from the European Union's Seventh Framework Programme for research and innovation under the Marie Sklodowska-Curie grant agreement no. 600207. Eric Wolff is supported by a Royal Society professorship. His part in this project has received funding from the European Research Council (ERC) under the European Union's Horizon 2020 research and innovation programme (grant agreement no. 742224). Polychronis C. Tzedakis and Ruza F. Ivanovic acknowledge funding from NERC (grant nos. NE/G00756X/1 to Polychronis C. Tzedakis and NE/K008536/1 to Ruza F. Ivanovic). Masa Kageyama is funded by the CNRS. Andrea Dutton acknowledges U.S. National Science Foundation (NSF) (grant nos. 1559040 and 1702740). Bette Otto-Bliesner's contributions are based upon work supported by the National Center for Atmospheric Research, which is a major facility sponsored by the U.S. NSF under Cooperative Agreement no. 1852977, with additional funding provided by an NSF P2C2 grant (grant no. AGS-1401803). Feng He was supported by the NSF (grant no. AGS-1502990) and by the NOAA Climate and Global Change Postdoctoral Fellowship program, administered by the University Corporation for Atmospheric Research. Xu Zhang is supported by Helmholtz Postdoc Program (PD-301) and the Chinese The Thousand Talents Plan Program. Ayako Abe-Ouchi, Kenji Kawamura and Ikumi Oyabu acknowledge support by JSPS KAKENHI (grant nos. 17H06104 to Ayako Abe-Ouchi, 15KK0027 and 26241011 to Kenji Kawamura, 17K12816 and 17J00769 to Ikumi Oyabu), and MEXT KAKENHI (grant nos. 17H06323 to Ayako Abe-Ouchi and 17H06320 to Kenji Kawamura).</t>
  </si>
  <si>
    <t>AUG 22</t>
  </si>
  <si>
    <t>10.5194/gmd-12-3649-2019</t>
  </si>
  <si>
    <t>IT0EX</t>
  </si>
  <si>
    <t>Green Published, Green Submitted, gold, Green Accepted</t>
  </si>
  <si>
    <t>WOS:000482520600002</t>
  </si>
  <si>
    <t>Hutchinson, DK; Coxall, HK; O'Regan, M; Nilsson, J; Caballero, R; de Boer, AM</t>
  </si>
  <si>
    <t>Hutchinson, David K.; Coxall, Helen K.; O'Regan, Matt; Nilsson, Johan; Caballero, Rodrigo; de Boer, Agatha M.</t>
  </si>
  <si>
    <t>Arctic closure as a trigger for Atlantic overturning at the Eocene-Oligocene Transition</t>
  </si>
  <si>
    <t>NATURE COMMUNICATIONS</t>
  </si>
  <si>
    <t>DEEP-WATER CIRCULATION; ND ISOTOPIC STRUCTURE; NORTH-ATLANTIC; DRAKE PASSAGE; OCEAN CIRCULATION; ATMOSPHERIC CO2; CLIMATE; ONSET; MA; GLACIATION</t>
  </si>
  <si>
    <t>The Eocene-Oligocene Transition (EOT), approximately 34 Ma ago, marks a period of major global cooling and inception of the Antarctic ice sheet. Proxies of deep circulation suggest a contemporaneous onset or strengthening of the Atlantic meridional overturning circulation (AMOC). Proxy evidence of gradual salinification of the North Atlantic and tectonically driven isolation of the Arctic suggest that closing the Arctic-Atlantic gateway could have triggered the AMOC at the EOT. We demonstrate this trigger of the AMOC using a new paleoclimate model with late Eocene boundary conditions. The control simulation reproduces Eocene observations of low Arctic salinities. Subsequent closure of the Arctic-Atlantic gateway triggers the AMOC by blocking freshwater inflow from the Arctic. Salt advection feedbacks then lead to cessation of overturning in the North Pacific. These circulation changes imply major warming of the North Atlantic Ocean, and simultaneous cooling of the North Pacific, but no interhemispheric change in temperatures.</t>
  </si>
  <si>
    <t>[Hutchinson, David K.; Coxall, Helen K.; O'Regan, Matt; de Boer, Agatha M.] Stockholm Univ, Dept Geol Sci, S-10691 Stockholm, Sweden; [Nilsson, Johan; Caballero, Rodrigo] Stockholm Univ, Dept Meteorol, S-10691 Stockholm, Sweden</t>
  </si>
  <si>
    <t>Stockholm University; Stockholm University</t>
  </si>
  <si>
    <t>Hutchinson, DK (corresponding author), Stockholm Univ, Dept Geol Sci, S-10691 Stockholm, Sweden.</t>
  </si>
  <si>
    <t>david.hutchinson@geo.su.se</t>
  </si>
  <si>
    <t>Hutchinson, David/F-4564-2016; De Boer, Agatha M/H-4202-2012; O'Regan, Matt/P-6277-2019; Caballero, Rodrigo/E-4637-2010</t>
  </si>
  <si>
    <t>Hutchinson, David/0000-0001-9385-4782; O'Regan, Matt/0000-0002-6046-1488; Coxall, Helen/0000-0002-2843-2898; Caballero, Rodrigo/0000-0002-5507-9209</t>
  </si>
  <si>
    <t>Swedish Research Council [2016-03912]; FOR-MAS Project [2018-01621]; Bolin Centre for Climate Research; Formas [2018-01621] Funding Source: Formas; Swedish Research Council [2016-03912] Funding Source: Swedish Research Council</t>
  </si>
  <si>
    <t>Swedish Research Council(Swedish Research Council); FOR-MAS Project(Swedish Research Council Formas); Bolin Centre for Climate Research; Formas(Swedish Research Council Formas); Swedish Research Council(Swedish Research Council)</t>
  </si>
  <si>
    <t>This study was supported by the Swedish Research Council Project 2016-03912, FOR-MAS Project 2018-01621 and the Bolin Centre for Climate Research, Research Areas 1 and 6. Numerical simulations were performed using resources provided by the Swedish National Infrastructure for Computing (SNIC) at NSC, Linkoping.</t>
  </si>
  <si>
    <t>2041-1723</t>
  </si>
  <si>
    <t>NAT COMMUN</t>
  </si>
  <si>
    <t>Nat. Commun.</t>
  </si>
  <si>
    <t>10.1038/s41467-019-11828-z</t>
  </si>
  <si>
    <t>IS5HN</t>
  </si>
  <si>
    <t>WOS:000482183400006</t>
  </si>
  <si>
    <t>Bastias, J; Calderón, M; Israel, L; Hervé, F; Spikings, R; Pankhurst, R; Castillo, P; Fanning, M; Ugalde, R</t>
  </si>
  <si>
    <t>Bastias, Joaquin; Calderon, Mauricio; Israel, Lea; Herve, Francisco; Spikings, Richard; Pankhurst, Robert; Castillo, Paula; Fanning, Mark; Ugalde, Raul</t>
  </si>
  <si>
    <t>The Byers Basin: Jurassic-Cretaceous tectonic and depositional evolution of the forearc deposits of the South Shetland Islands and its implications for the northern Antarctic Peninsula</t>
  </si>
  <si>
    <t>INTERNATIONAL GEOLOGY REVIEW</t>
  </si>
  <si>
    <t>Tectono-stratigraphical evolution; Weddell Sea; South Shetland Islands; Antarctic Peninsula; Jurassic; cretaceous; basin evolution</t>
  </si>
  <si>
    <t>CERRO NEGRO FORMATION; LAND SHEAR ZONE; LIVINGSTON ISLAND; ALEXANDER ISLAND; PRESIDENT-HEAD; SNOW-ISLAND; GEOCHRONOLOGY; SEDIMENTATION; DEFORMATION; PATAGONIA</t>
  </si>
  <si>
    <t>This paper addresses the Jurassic-Cretaceous stratigraphic evolution of fore-arc deposits exposed along the west coast of the northern Antarctic Peninsula. In the South Shetland Islands, Upper Jurassic deep-marine sediments are uncomformably overlain by a Lower Cretaceous volcaniclastic sequence that crops out on Livingston, Snow and Low islands. U-Pb zircon ages are presented for the upper Anchorage Formation (153.1 +/- 1.7 Ma) and the Cape Wallace granodiorite of Low Island (137.1 +/- 1.7 Ma) as well as 40Ar/39Ar ages of 136-139 Ma for Low Island andesites. Data are also presented for a U-Pb age of 109.0 +/- 1.4 Ma for the upper volcanic succession of Snow Island. In combination with published stratigraphy, these data provide a refined chrono- and litho-stratigraphic framework for the deposits herein referred to as the Byers Basin. Tentative correlation is explored with previously described deposits on Adelaide and Alexander islands, which could suggest further continuation of the Byers Basin towards the south. We also discuss possible correlation of the Byers Basin with the Larsen Basin, a sequence that shows the evolution of foreland to back-arc deposits more or less contemporaneously with the fore-arc to intra-arc evolution of the Byers Basin.</t>
  </si>
  <si>
    <t>[Bastias, Joaquin; Israel, Lea; Herve, Francisco] Univ Chile, Dept Geol, Plaza Ercilla 803, Santiago, Chile; [Bastias, Joaquin; Spikings, Richard] Univ Geneva, Earth Sci Dept, Geneva, Switzerland; [Calderon, Mauricio; Herve, Francisco] Univ Andres Bello, Carrera Geol, Sazie 2119, Santiago, Chile; [Pankhurst, Robert] British Geol Survey, Keyworth, Notts, England; [Castillo, Paula; Fanning, Mark] Australian Natl Univ, Res Sch Earth Sci, Canberra, ACT, Australia; [Castillo, Paula] Westfalische Wilhelms Univ Munster, Inst Geol &amp; Palaontol, Munster, Germany; [Ugalde, Raul] Univ Mayor, Fac Ciencias, Escuela Geol, Santiago, Chile; [Ugalde, Raul] Univ Republica, Fac Ciencias, PEDECIBA Geociencias, Montevideo, Uruguay</t>
  </si>
  <si>
    <t>Universidad de Chile; University of Geneva; Universidad Andres Bello; UK Research &amp; Innovation (UKRI); Natural Environment Research Council (NERC); NERC British Geological Survey; Australian National University; University of Munster; Universidad Mayor; Universidad de la Republica, Uruguay</t>
  </si>
  <si>
    <t>Bastias, J (corresponding author), Univ Chile, Dept Geol, Plaza Ercilla 803, Santiago, Chile.</t>
  </si>
  <si>
    <t>j.bastias.silva@gmail.com</t>
  </si>
  <si>
    <t>Calderon, Mauricio/AAY-6863-2020; Bastias, Joaquin/A-6995-2016; Ugalde Peralta, Raúl Agustín/HJP-5692-2023; Herve, Francisco/HDO-6628-2022</t>
  </si>
  <si>
    <t>Bastias, Joaquin/0000-0001-6678-3173; Ugalde Peralta, Raúl Agustín/0000-0002-8085-8909;</t>
  </si>
  <si>
    <t>Antarctic Ring Project [ACT-105]; Antarctic Ring Project (Conicyt-Chile); Antarctic Ring Project (INACH); Fondecyt [1161818]; INACH [RT0614]</t>
  </si>
  <si>
    <t>Antarctic Ring Project; Antarctic Ring Project (Conicyt-Chile); Antarctic Ring Project (INACH); Fondecyt(Comision Nacional de Investigacion Cientifica y Tecnologica (CONICYT)CONICYT FONDECYT); INACH</t>
  </si>
  <si>
    <t>The authors are grateful for the extensive logistical support provided by the Chilean Antarctic Institute (INACH) during two field campaigns to the Antarctic Peninsula. The manuscript was greatly improved by the input of the reviewers Dr. Liang Gao and Dr Eduardo Olviero. We are grateful for Dr. Alfonso Rubilar (SERNAGEOMIN) for the review of fossil specimens. Financial support was provided by the Antarctic Ring Project (ACT-105, Conicyt-Chile and INACH), the project RT0614 (INACH) and the Fondecyt Grant 1161818.</t>
  </si>
  <si>
    <t>TAYLOR &amp; FRANCIS INC</t>
  </si>
  <si>
    <t>PHILADELPHIA</t>
  </si>
  <si>
    <t>530 WALNUT STREET, STE 850, PHILADELPHIA, PA 19106 USA</t>
  </si>
  <si>
    <t>0020-6814</t>
  </si>
  <si>
    <t>1938-2839</t>
  </si>
  <si>
    <t>INT GEOL REV</t>
  </si>
  <si>
    <t>Int. Geol. Rev.</t>
  </si>
  <si>
    <t>JUL 23</t>
  </si>
  <si>
    <t>10.1080/00206814.2019.1655669</t>
  </si>
  <si>
    <t>MK7EG</t>
  </si>
  <si>
    <t>Green Submitted, Green Published</t>
  </si>
  <si>
    <t>WOS:000482734800001</t>
  </si>
  <si>
    <t>Hrbácek, F; Uxa, T</t>
  </si>
  <si>
    <t>Hrbacek, Filip; Uxa, Tomas</t>
  </si>
  <si>
    <t>The evolution of a near-surface ground thermal regime and modeled active-layer thickness on James Ross Island, Eastern Antarctic Peninsula, in 2006-2016</t>
  </si>
  <si>
    <t>PERMAFROST AND PERIGLACIAL PROCESSES</t>
  </si>
  <si>
    <t>climate change; ground physical properties; ground temperature; modeling; permafrost; validation</t>
  </si>
  <si>
    <t>KUPARUK RIVER-BASIN; CALM-S SITE; KING GEORGE ISLAND; LIVINGSTON ISLAND; BYERS PENINSULA; TEMPORAL VARIABILITY; CLIMATE-CHANGE; THAW DEPTH; PERMAFROST; TEMPERATURES</t>
  </si>
  <si>
    <t>Thermal regime and thickness of the active layer respond rapidly to climate variations, and thus they are important measures of cryosphere changes in polar environments. We monitored air temperature and ground temperature at a depth of 5 cm and modeled active-layer thickness using the Stefan and Kudryavtsev models at the Abernethy Flats site, James Ross Island, Eastern Antarctic Peninsula, in the period March 2006 to February 2016. The decadal average of air and ground temperature was -7.3 and -6.1 degrees C, respectively, and the average modeled active-layer thickness reached 60 cm. Mean annual air temperature increased by 0.10 degrees C y(-1) over the study period, while mean annual ground temperature showed the opposite tendency of -0.05 degrees C y(-1). The cooling took place mainly in summer and caused thawing season shortening and active-layer thinning of 1.6 cm y(-1). However, these trends need to be taken carefully because all were non-significant at p &lt; 0.05. The Stefan and Kudryavtsev models reproduced the active-layer thickness with mean absolute errors of 2.6 cm (5.0%) and 3.4 cm (5.9%), respectively, which is better than in most previous studies, making them promising tools for active-layer modeling over Antarctica.</t>
  </si>
  <si>
    <t>[Hrbacek, Filip] Masaryk Univ, Fac Sci, Dept Geog, Brno, Czech Republic; [Uxa, Tomas] Czech Acad Sci, Inst Geophys, Dept Geotherm, Prague, Czech Republic; [Uxa, Tomas] Charles Univ Prague, Fac Sci, Dept Phys Geog &amp; Geoecol, Prague, Czech Republic</t>
  </si>
  <si>
    <t>Masaryk University Brno; Czech Academy of Sciences; Institute of Geophysics of the Czech Academy of Sciences; Charles University Prague</t>
  </si>
  <si>
    <t>Hrbácek, F (corresponding author), Masaryk Univ, Fac Sci, Dept Geog, Brno, Czech Republic.</t>
  </si>
  <si>
    <t>hrbacekfilip@gmail.com</t>
  </si>
  <si>
    <t>Uxa, Tomáš/B-8885-2017; Hrbacek, Filip/ABG-4319-2020</t>
  </si>
  <si>
    <t>Uxa, Tomáš/0000-0001-9911-6529; Hrbacek, Filip/0000-0001-5032-9216</t>
  </si>
  <si>
    <t>Ministry of Education, Youth and Sports of the Czech Republic [LM2015078, LM2015079, Z. 02.1.01/0.0/0.0/16_013/0001708]</t>
  </si>
  <si>
    <t>Ministry of Education, Youth and Sports of the Czech Republic(Ministry of Education, Youth &amp; Sports - Czech Republic)</t>
  </si>
  <si>
    <t>Ministry of Education, Youth and Sports of the Czech Republic, Grant/Award Numbers: LM2015078, LM2015079, Z. 02.1.01/0.0/0.0/16_013/0001708</t>
  </si>
  <si>
    <t>1045-6740</t>
  </si>
  <si>
    <t>1099-1530</t>
  </si>
  <si>
    <t>PERMAFROST PERIGLAC</t>
  </si>
  <si>
    <t>Permafrost Periglacial Process.</t>
  </si>
  <si>
    <t>JAN</t>
  </si>
  <si>
    <t>10.1002/ppp.2018</t>
  </si>
  <si>
    <t>Geography, Physical; Geology</t>
  </si>
  <si>
    <t>KN3TU</t>
  </si>
  <si>
    <t>WOS:000482869100001</t>
  </si>
  <si>
    <t>Audzijonyte, A; Pethybridge, H; Porobic, J; Gorton, R; Kaplan, I; Fulton, EA</t>
  </si>
  <si>
    <t>Audzijonyte, Asta; Pethybridge, Heidi; Porobic, Javier; Gorton, Rebecca; Kaplan, Isaac; Fulton, Elizabeth A.</t>
  </si>
  <si>
    <t>Atlantis: A spatially explicit end-to-end marine ecosystem model with dynamically integrated physics, ecology and socio-economic modules</t>
  </si>
  <si>
    <t>METHODS IN ECOLOGY AND EVOLUTION</t>
  </si>
  <si>
    <t>fisheries management; human impacts; marine ecosystem; modelling; oceanographic processes; physiologically structured</t>
  </si>
  <si>
    <t>Marine ecosystem management is increasingly expected to take into account a wide range of ecological and socio-economic factors. Decision-making is helped by end-to-end ecosystem models that allow exploration of alternative management scenarios given a complex range of interacting factors. We present Atlantis - a spatially structured largely deterministic end-to-end marine ecosystem model written in C, available for all major operating systems, based on dynamically interacting physics, biology, fisheries, management, assessment and economics submodels. A detailed installation guide and example application files are also provided. One of the main features of Atlantis is its modularity. At the simplest level Atlantis can have uniform forcing of oceanographic processes, a single primary producer and a consumer. At the most complex level, Atlantis can be used with a range of environmentally driven ecological responses, complex and habitat-dependent food web, dynamic assessment, management and fishing effort driven by market forces and human behaviour. The combination chosen should be guided by the available data and the questions to be answered. Atlantis provides a large and customizable list of output files and summary statistics that can be analysed and plotted using a number of dedicated r packages. When applying the Atlantis package, the users should be aware of the caveats associated with complex models, such as parameter and structural model uncertainty and challenges interpreting interactions of multiple processes.</t>
  </si>
  <si>
    <t>[Audzijonyte, Asta] Univ Tasmania, Inst Marine &amp; Antarctic Studies, Hobart, Tas, Australia; [Audzijonyte, Asta; Pethybridge, Heidi; Porobic, Javier; Gorton, Rebecca; Fulton, Elizabeth A.] CSIRO, Oceans &amp; Atmosphere, Hobart, Tas, Australia; [Audzijonyte, Asta; Fulton, Elizabeth A.] Univ Tasmania, Ctr Marine Socioecol, Hobart, Tas, Australia; [Kaplan, Isaac] NOAA, Conservat Biol Div, NOAA NMFS Northwest Fisheries Sci Ctr, Natl Marine Fisheries Serv, Seattle, WA USA</t>
  </si>
  <si>
    <t>University of Tasmania; Commonwealth Scientific &amp; Industrial Research Organisation (CSIRO); University of Tasmania; National Oceanic Atmospheric Admin (NOAA) - USA</t>
  </si>
  <si>
    <t>Audzijonyte, A (corresponding author), Univ Tasmania, Inst Marine &amp; Antarctic Studies, Hobart, Tas, Australia.</t>
  </si>
  <si>
    <t>asta.audzijonyte@utas.edu.au</t>
  </si>
  <si>
    <t>Audzijonyte, Asta/O-5598-2017; Pethybridge, Heidi/AAI-9824-2021; Pethybridge, Heidi/AEO-8594-2022; Porobic, Javier/ABE-7495-2021; Fulton, Beth/A-2871-2008</t>
  </si>
  <si>
    <t>Pethybridge, Heidi/0000-0002-7291-5766; Porobic, Javier/0000-0001-5642-5372; Audzijonyte, Asta/0000-0002-9919-9376</t>
  </si>
  <si>
    <t>David and Lucile Packard Foundation; Fisheries Research and Development Corporation; Commonwealth Scientific and Industrial Research Organisation; National Oceanic and Atmospheric Administration; Kone Foundation</t>
  </si>
  <si>
    <t>David and Lucile Packard Foundation(The David &amp; Lucile Packard Foundation); Fisheries Research and Development Corporation; Commonwealth Scientific and Industrial Research Organisation(Commonwealth Scientific &amp; Industrial Research Organisation (CSIRO)); National Oceanic and Atmospheric Administration(National Oceanic Atmospheric Admin (NOAA) - USA); Kone Foundation</t>
  </si>
  <si>
    <t>David and Lucile Packard Foundation; Fisheries Research and Development Corporation; Commonwealth Scientific and Industrial Research Organisation; National Oceanic and Atmospheric Administration; The Kone Foundation</t>
  </si>
  <si>
    <t>2041-210X</t>
  </si>
  <si>
    <t>2041-2096</t>
  </si>
  <si>
    <t>METHODS ECOL EVOL</t>
  </si>
  <si>
    <t>Methods Ecol. Evol.</t>
  </si>
  <si>
    <t>10.1111/2041-210X.13272</t>
  </si>
  <si>
    <t>JB0UB</t>
  </si>
  <si>
    <t>Bronze, Green Published</t>
  </si>
  <si>
    <t>WOS:000488346000001</t>
  </si>
  <si>
    <t>Scott, SV; Oriana, LM</t>
  </si>
  <si>
    <t>Scott, Shirley V.; Oriana, Lucia Meilin</t>
  </si>
  <si>
    <t>The history of Australian legal opposition to Japanese Antarctic whaling</t>
  </si>
  <si>
    <t>AUSTRALIAN JOURNAL OF INTERNATIONAL AFFAIRS</t>
  </si>
  <si>
    <t>Whaling; Japan; Antarctic whaling; International Whaling Commission; IWC; Australia</t>
  </si>
  <si>
    <t>COMMISSION; UK</t>
  </si>
  <si>
    <t>Whaling has been a consistent theme in Australia's relations with Japan since the 1930s, Australia having endeavoured to regulate, restrict, or bring to a complete halt Japan's Antarctic whaling virtually since it began. Australia's motivations have been mixed, involving at various points, some combination of protection of Australia's coastal whaling industry, concern for Australia's security, for safeguarding Australia's Antarctic territorial claim, and more recently, concern for Australia's whale-watching industry and/or for the whales. Since environmental consciousness became a primary factor in the 1970s, Australian policy has been aligned with that of anti-whaling non-governmental organizations (NGOs), albeit that certain actions of NGOs have caused difficulties for the Australian Government. Law - inclusive of legal argument in the course of diplomacy, domestic laws, and international litigation - has been a mechanism of influence used by the Australian Government and NGOs. This paper traces Australia's legal opposition from its beginnings until Japan's announcement in December 2018 that it would end Antarctic whaling.</t>
  </si>
  <si>
    <t>[Scott, Shirley V.; Oriana, Lucia Meilin] UNSW Canberra, Canberra, ACT, Australia</t>
  </si>
  <si>
    <t>University of New South Wales Sydney</t>
  </si>
  <si>
    <t>Scott, SV (corresponding author), UNSW Canberra, Canberra, ACT, Australia.</t>
  </si>
  <si>
    <t>S.Scott@unsw.edu.au</t>
  </si>
  <si>
    <t>UNSW Law Workshop Support Scheme; project 'The high seas and the deep oceans: Representations, resources and regulatory governance (3ROceans)'; Norwegian Research Council</t>
  </si>
  <si>
    <t>UNSW Law Workshop Support Scheme; project 'The high seas and the deep oceans: Representations, resources and regulatory governance (3ROceans)'; Norwegian Research Council(Research Council of Norway)</t>
  </si>
  <si>
    <t>This is a revised version of a paper presented at the workshop 'Historicizing the Regulation of Ocean Resources in International Law: from Common Heritage to Sovereignty and Back', hosted by UNSW Sydney Faculty of Law in November 2018. This workshop was funded by the UNSW Law Workshop Support Scheme, and the project 'The high seas and the deep oceans: Representations, resources and regulatory governance (3ROceans)', funded by the .Norwegian Research Council.</t>
  </si>
  <si>
    <t>ROUTLEDGE JOURNALS, TAYLOR &amp; FRANCIS LTD</t>
  </si>
  <si>
    <t>2-4 PARK SQUARE, MILTON PARK, ABINGDON OX14 4RN, OXON, ENGLAND</t>
  </si>
  <si>
    <t>1035-7718</t>
  </si>
  <si>
    <t>1465-332X</t>
  </si>
  <si>
    <t>AUST J INT AFF</t>
  </si>
  <si>
    <t>Aust. J. Int. Aff.</t>
  </si>
  <si>
    <t>SEP 3</t>
  </si>
  <si>
    <t>10.1080/10357718.2019.1639135</t>
  </si>
  <si>
    <t>International Relations</t>
  </si>
  <si>
    <t>Social Science Citation Index (SSCI)</t>
  </si>
  <si>
    <t>JA3TT</t>
  </si>
  <si>
    <t>WOS:000482514700001</t>
  </si>
  <si>
    <t>De Corte, D; Martínez, JM; Cretoiu, MS; Takaki, Y; Nunoura, T; Sintes, E; Herndl, GJ; Yokokawa, T</t>
  </si>
  <si>
    <t>De Corte, Daniele; Martinez, Joaquin Martinez; Cretoiu, Mariana Silvia; Takaki, Yoshihiro; Nunoura, Takuro; Sintes, Eva; Herndl, Gerhard J.; Yokokawa, Taichi</t>
  </si>
  <si>
    <t>Viral Communities in the Global Deep Ocean Conveyor Belt Assessed by Targeted Viromics</t>
  </si>
  <si>
    <t>FRONTIERS IN MICROBIOLOGY</t>
  </si>
  <si>
    <t>targeted viromics; deep ocean circulation; viruses; deep ocean; next generation sequencing</t>
  </si>
  <si>
    <t>DISSOLVED ORGANIC-CARBON; LARGE-SCALE DISTRIBUTION; MARINE VIRUSES; BACTERIOPLANKTON DISTRIBUTION; PACIFIC; WATERS; METAGENOMICS; DIVERSITY; ABUNDANCE; BACTERIA</t>
  </si>
  <si>
    <t>Viruses are an abundant, diverse and dynamic component of marine and terrestrial ecosystems. In the ocean, viruses play a key role in the biogeochemical cycles and controlling microbial abundance, diversity and evolution. Recent metagenomics studies assessed the structure of the viral community in the upper ocean. However, little is known about the compositional changes in viral communities along the deep ocean conveyor belt. To assess potential changes in the viral community in the global deep-water circulation system, water samples were collected in the core of the North Atlantic Deep Water (NADW) (similar to 2,500 m) and Pacific Antarctic Bottom Water (similar to 4,000 m). Microbial and viral abundance were evaluated by flow cytometry. Subsequently, flow cytometry was used to sort virus-like particles and next generation sequencing was applied to build DNA libraries from the sorted virus populations. The viral communities were highly diverse across different oceanic regions with high dissimilarity between samples. Only 18% of the viral protein clusters were shared between the NADW and the Pacific Antarctic Bottom Water. Few viral groups, mainly associated with uncultured environmental and uncultured Mediterranean viruses were ubiquitously distributed along the global deep-water circulation system. Thus, our results point to a few groups of widely distributed abundant viruses in addition to the presence of rare and diverse types of viruses at a local scale.</t>
  </si>
  <si>
    <t>[De Corte, Daniele] Japan Agcy Marine Earth Sci &amp; Technol JAMSTEC, Res &amp; Dev Ctr Marine Biosci, Yokosuka, Kanagawa, Japan; [Martinez, Joaquin Martinez; Cretoiu, Mariana Silvia] Bigelow Lab Ocean Sci, Boothbay, ME USA; [Takaki, Yoshihiro; Yokokawa, Taichi] Japan Agcy Marine Earth Sci &amp; Technol JAMSTEC, Inst Extra Cutting Edge Sci Arid Technol Avant Ga, Yokosuka, Kanagawa, Japan; [Nunoura, Takuro] Japan Agcy Marine Earth Sci &amp; Technol JAMSTEC, Res Ctr Biosci &amp; Nanosci CeBN, Yokosuka, Kanagawa, Japan; [Sintes, Eva; Herndl, Gerhard J.] Univ Vienna, Ctr Funct Ecol, Dept Limnol &amp; Oceanog, Vienna, Austria; [Sintes, Eva] Ctr Oceanog Baleares, Inst Espanol Oceanog, Palma De Mallorca, Spain; [Herndl, Gerhard J.] Univ Utrecht, Dept Marine Microbiol &amp; Biogeochem, Royal Netherlands Inst Sea Res, Utrecht, Netherlands</t>
  </si>
  <si>
    <t>Japan Agency for Marine-Earth Science &amp; Technology (JAMSTEC); Bigelow Laboratory for Ocean Sciences; Japan Agency for Marine-Earth Science &amp; Technology (JAMSTEC); Japan Agency for Marine-Earth Science &amp; Technology (JAMSTEC); University of Vienna; Spanish Institute of Oceanography; Utrecht University; Royal Netherlands Institute for Sea Research (NIOZ)</t>
  </si>
  <si>
    <t>De Corte, D (corresponding author), Japan Agcy Marine Earth Sci &amp; Technol JAMSTEC, Res &amp; Dev Ctr Marine Biosci, Yokosuka, Kanagawa, Japan.</t>
  </si>
  <si>
    <t>daniele.de.corte@jamstec.go.jp</t>
  </si>
  <si>
    <t>Herndl, Gerhard J./B-1513-2013; De Corte, Daniele/AAB-9103-2021; Herndl, Gerhard J./S-3011-2019; Nunoura, Takuro/AAL-6266-2020; Yokokawa, Taichi/C-7063-2008; Sintes, Eva/H-8494-2015</t>
  </si>
  <si>
    <t>De Corte, Daniele/0000-0002-9782-9821; Herndl, Gerhard J./0000-0002-2223-2852; Nunoura, Takuro/0000-0003-2323-0880; Sintes, Eva/0000-0002-7408-5647</t>
  </si>
  <si>
    <t>JSPS KAKENHI [JP15K12189, JP16F16085]; Ministry of Education, Culture, Science, Sports and Technology (MEXT) of Japan [16H06429, 16K21723, 16H06437]; Japan Society for Promotion of Science [P16085]; Austrian Science Fund (FWF) [P27696-B22]; Gordon and Betty Moore Foundation [GBMF5334]; Bigelow Laboratory 442 for Ocean Sciences; European Research Council under the European Community [268595]; [NSF-OPP 1644155]; Austrian Science Fund (FWF) [P27696] Funding Source: Austrian Science Fund (FWF)</t>
  </si>
  <si>
    <t>JSPS KAKENHI(Ministry of Education, Culture, Sports, Science and Technology, Japan (MEXT)Japan Society for the Promotion of ScienceGrants-in-Aid for Scientific Research (KAKENHI)); Ministry of Education, Culture, Science, Sports and Technology (MEXT) of Japan(Ministry of Education, Culture, Sports, Science and Technology, Japan (MEXT)); Japan Society for Promotion of Science(Ministry of Education, Culture, Sports, Science and Technology, Japan (MEXT)Japan Society for the Promotion of Science); Austrian Science Fund (FWF)(Austrian Science Fund (FWF)); Gordon and Betty Moore Foundation(Gordon and Betty Moore Foundation); Bigelow Laboratory 442 for Ocean Sciences; European Research Council under the European Community(European Research Council (ERC)); ; Austrian Science Fund (FWF)(Austrian Science Fund (FWF))</t>
  </si>
  <si>
    <t>Laboratory work was supported by the JSPS KAKENHI (Grant Numbers JP15K12189 and JP16F16085) and grants for Scientific Research on Innovative Areas from the Ministry of Education, Culture, Science, Sports and Technology (MEXT) of Japan (Grant Numbers 16H06429, 16K21723, and 16H06437). DC was supported by an Overseas Researcher Grant under Postdoctoral Fellowship of Japan Society for Promotion of Science (P16085). ES was supported by the Austrian Science Fund (FWF) project P27696-B22. JM was supported by the Gordon and Betty Moore Foundation grant GBMF5334. MC support for this project was provided through Bigelow Laboratory 442 for Ocean Sciences internal funding to JM, and through NSF-OPP 1644155 awarded to JM. The MEDEA-2 cruise was funded by the European Research Council under the European Community's Seventh Framework Program (FP7/2007-2013)/ERC grant agreement No. 268595 (MEDEA project) to GH.</t>
  </si>
  <si>
    <t>1664-302X</t>
  </si>
  <si>
    <t>FRONT MICROBIOL</t>
  </si>
  <si>
    <t>Front. Microbiol.</t>
  </si>
  <si>
    <t>AUG 21</t>
  </si>
  <si>
    <t>10.3389/fmicb.2019.01801</t>
  </si>
  <si>
    <t>Microbiology</t>
  </si>
  <si>
    <t>IS2XT</t>
  </si>
  <si>
    <t>WOS:000482018400001</t>
  </si>
  <si>
    <t>Martinez-Alonso, E; Pena-Perez, S; Serrano, S; Garcia-Lopez, E; Alcazar, A; Cid, C</t>
  </si>
  <si>
    <t>Martinez-Alonso, Emma; Pena-Perez, Sonia; Serrano, Sandra; Garcia-Lopez, Eva; Alcazar, Alberto; Cid, Cristina</t>
  </si>
  <si>
    <t>Taxonomic and functional characterization of a microbial community from a volcanic englacial ecosystem in Deception Island, Antarctica</t>
  </si>
  <si>
    <t>MOLECULAR-IDENTIFICATION; MASS-SPECTROMETRY; GENOME SEQUENCE; CARBON-MONOXIDE; ICE; LIFE; BACTERIA; PROTEIN; DIVERSITY; ECOLOGY</t>
  </si>
  <si>
    <t>Glaciers are populated by a large number of microorganisms including bacteria, archaea and microeukaryotes. Several factors such as solar radiation, nutrient availability and water content greatly determine the diversity and abundance of these microbial populations, the type of metabolism and the biogeochemical cycles. Three ecosystems can be differentiated in glaciers: supraglacial, subglacial and englacial ecosystems. Firstly, the supraglacial ecosystem, sunlit and oxygenated, is predominantly populated by photoautotrophic microorganisms. Secondly, the subglacial ecosystem contains a majority of chemoautotrophs that are fed on the mineral salts of the rocks and basal soil. Lastly, the englacial ecosystem is the least studied and the one that contains the smallest number of microorganisms. However, these unknown englacial microorganisms establish a food web and appear to have an active metabolism. In order to study their metabolic potentials, samples of englacial ice were taken from an Antarctic glacier. Microorganisms were analyzed by a polyphasic approach that combines a set of-omic techniques: 165 rRNA sequencing, culturomics and metaproteomics. This combination provides key information about diversity and functions of microbial populations, especially in rare habitats. Several whole essential proteins and enzymes related to metabolism and energy production, recombination and translation were found that demonstrate the existence of cellular activity at subzero temperatures. In this way it is shown that the englacial microorganisms are not quiescent, but that they maintain an active metabolism and play an important role in the glacial microbial community.</t>
  </si>
  <si>
    <t>[Martinez-Alonso, Emma; Alcazar, Alberto] Hosp Ramon &amp; Cajal, Inst Ramon y Cajal Invest Sanitaria, Dept Invest, Madrid 28034, Spain; [Pena-Perez, Sonia; Serrano, Sandra; Garcia-Lopez, Eva; Cid, Cristina] CSIC, INTA, Ctr Astrobiol, Microbial Evolut Lab, Madrid 28850, Spain</t>
  </si>
  <si>
    <t>Hospital Universitario Ramon y Cajal; Consejo Superior de Investigaciones Cientificas (CSIC); CSIC - Centro de Astrobiologia (INTA)</t>
  </si>
  <si>
    <t>Cid, C (corresponding author), CSIC, INTA, Ctr Astrobiol, Microbial Evolut Lab, Madrid 28850, Spain.</t>
  </si>
  <si>
    <t>cidsc@inta.es</t>
  </si>
  <si>
    <t>Lopez, Eva Garcia/AAC-4057-2021; Cid, Cristina/R-6821-2018</t>
  </si>
  <si>
    <t>Lopez, Eva Garcia/0000-0003-1086-3056; Cid, Cristina/0000-0001-5128-4558</t>
  </si>
  <si>
    <t>Spanish Ministerio de Economia, Industria y Competitividad (MINECO) [CTM 2010-12134-E/ANT/CTM2011-16003-E]; Institute of Health Carlos III [PI14/00705]; MINECO Grant [PTA2016-12325-I]</t>
  </si>
  <si>
    <t>Spanish Ministerio de Economia, Industria y Competitividad (MINECO)(Spanish Government); Institute of Health Carlos III(Instituto de Salud Carlos IIISpanish Government); MINECO Grant(Spanish Government)</t>
  </si>
  <si>
    <t>This research was supported by the Spanish Ministerio de Economia, Industria y Competitividad (MINECO) (Grants CTM 2010-12134-E/ANT/CTM2011-16003-E), and by the Institute of Health Carlos III (PI14/00705). E.G.L. is recipient of a MINECO Grant (PTA2016-12325-I). We are indebted to Marina Postigo and Maria Paz Martin Redondo from the Centro de Astrobiologia. We thank Paula Alcazar for reading this manuscript and for her helpful revisions. We thank also the staff of the Spanish Antarctic Research Station Gabriel de Castilla for their skilful assistance.</t>
  </si>
  <si>
    <t>10.1038/s41598-019-47994-9</t>
  </si>
  <si>
    <t>IS2QQ</t>
  </si>
  <si>
    <t>WOS:000481999500012</t>
  </si>
  <si>
    <t>Pizarro, M; Contreras, RA; Köhler, H; Zúñiga, GE</t>
  </si>
  <si>
    <t>Pizarro, Marisol; Contreras, Rodrigo A.; Kohler, Hans; Zuniga, Gustavo E.</t>
  </si>
  <si>
    <t>Desiccation tolerance in the Antarctic moss Sanionia uncinata</t>
  </si>
  <si>
    <t>BIOLOGICAL RESEARCH</t>
  </si>
  <si>
    <t>Antarctic mosses; ABA; Water stress; Desiccation tolerance; Maritime Antarctic</t>
  </si>
  <si>
    <t>ABSCISIC-ACID; XANTHOPHYLL CYCLE; OXIDATIVE STRESS; SOMATIC EMBRYOS; DEHYDRATION; CHLOROPHYLL; DROUGHT; PLANTS; ABA; BIOSYNTHESIS</t>
  </si>
  <si>
    <t>Background One of the most extreme environments on our planet is the Maritime Antarctic territory, due to its low-water availability, which restricts the development of plants. Sanionia uncinata Hedw. (Amblystegiaceae), the main colonizer of the Maritime Antarctic, has effective mechanisms to tolerate this environment. It has been described that the tolerance to desiccation is mediated by the hormone abscisic acid (ABA), antioxidants systems, accumulation of compatible solutes and proteins of the late embryogenesis abundant (LEA). However, to date, these mechanisms have not been described in S. uncinata. Therefore, in this work, we postulate that the tolerance to desiccation in the Antarctic moss S. uncinata is mediated by the accumulation of ABA, the osmolytes proline and glycine betaine, and dehydrins (an LEA class 11 proteins). To demonstrate our hypothesis, S. uncinata was subjected to desiccation for 24 h (loss in 95% of water content), and the effects on its physiological, photosynthetic, antioxidant and biochemical parameters were determined. Results Our results showed an accumulation of ABA in response to water loss, and the activation of protective responses that involves an increment in levels of proline and glycine betaine, an increment in the activity of antioxidant enzymes such as SOD, CAT, APX and POD, and the accumulation of dehydrins proteins. Conclusion The results showed, suggest that S. uncinata is a desiccation-tolerant moss, property mediated by high cellular plasticity regulated by ABA.</t>
  </si>
  <si>
    <t>[Pizarro, Marisol; Contreras, Rodrigo A.; Kohler, Hans; Zuniga, Gustavo E.] Univ Santiago Chile, Fac Quim &amp; Biol, Dept Biol, Lab Fisiol &amp; Biotecnol Vegetal, Ave Libertador Bernardo OHiggins 3363, Santiago, Chile; [Pizarro, Marisol; Contreras, Rodrigo A.; Kohler, Hans; Zuniga, Gustavo E.] Univ Santiago Chile, CEDENNA, Ave Libertador Bernardo OHiggins 3363, Santiago, Chile</t>
  </si>
  <si>
    <t>Universidad de Santiago de Chile; Universidad de Santiago de Chile</t>
  </si>
  <si>
    <t>Zúñiga, GE (corresponding author), Univ Santiago Chile, Fac Quim &amp; Biol, Dept Biol, Lab Fisiol &amp; Biotecnol Vegetal, Ave Libertador Bernardo OHiggins 3363, Santiago, Chile.;Zúñiga, GE (corresponding author), Univ Santiago Chile, CEDENNA, Ave Libertador Bernardo OHiggins 3363, Santiago, Chile.</t>
  </si>
  <si>
    <t>gustavo.zuniga@usach.cl</t>
  </si>
  <si>
    <t>Contreras, Rodrigo A./I-1871-2013</t>
  </si>
  <si>
    <t>Contreras, Rodrigo A./0000-0001-9970-3125; Zuniga, Gustavo/0000-0002-8286-9468</t>
  </si>
  <si>
    <t>National Commission for Scientific and Technological Research of Chile (CONICYT, Basal Program for Centers of Excellence) [FB0807 CEDENNA]; FONDECYT [1140189]; Chilean Antarctic Institute (INACH) [RT_14-17]</t>
  </si>
  <si>
    <t>National Commission for Scientific and Technological Research of Chile (CONICYT, Basal Program for Centers of Excellence); FONDECYT(Comision Nacional de Investigacion Cientifica y Tecnologica (CONICYT)CONICYT FONDECYT); Chilean Antarctic Institute (INACH)</t>
  </si>
  <si>
    <t>Funding support was provided by National Commission for Scientific and Technological Research of Chile (CONICYT, Basal Program for Centers of Excellence, Grant FB0807 CEDENNA), FONDECYT (1140189 GEZ) and Chilean Antarctic Institute (INACH, RT_14-17 GEZ).</t>
  </si>
  <si>
    <t>SOC BIOLGIA CHILE</t>
  </si>
  <si>
    <t>SANTIAGO</t>
  </si>
  <si>
    <t>CASILLA 16164, SANTIAGO 9, CHILE</t>
  </si>
  <si>
    <t>0716-9760</t>
  </si>
  <si>
    <t>0717-6287</t>
  </si>
  <si>
    <t>BIOL RES</t>
  </si>
  <si>
    <t>Biol. Res.</t>
  </si>
  <si>
    <t>10.1186/s40659-019-0251-6</t>
  </si>
  <si>
    <t>Biology</t>
  </si>
  <si>
    <t>Life Sciences &amp; Biomedicine - Other Topics</t>
  </si>
  <si>
    <t>IT7AR</t>
  </si>
  <si>
    <t>WOS:000483028400001</t>
  </si>
  <si>
    <t>Roscales, JL; Vicente, A; Ryan, PG; González-Solís, J; Jiménez, B</t>
  </si>
  <si>
    <t>Roscales, Jose L.; Vicente, Alba; Ryan, Peter G.; Gonzalez-Solis, Jacob; Jimenez, Begona</t>
  </si>
  <si>
    <t>Spatial and Interspecies Heterogeneity in Concentrations of Perfluoroalkyl Substances (PFASs) in Seabirds of the Southern Ocean</t>
  </si>
  <si>
    <t>ENVIRONMENTAL SCIENCE &amp; TECHNOLOGY</t>
  </si>
  <si>
    <t>PERSISTENT ORGANIC POLLUTANTS; PERFLUORINATED COMPOUNDS; PERFLUOROOCTANE SULFONATE; POLYFLUOROALKYL SUBSTANCES; PERFLUOROCARBOXYLIC ACIDS; POLYFLUORINATED COMPOUNDS; FLUORINATED ALTERNATIVES; TROPHIC MAGNIFICATION; TISSUE DISTRIBUTION; CARBOXYLIC-ACIDS</t>
  </si>
  <si>
    <t>In this study, we evaluate the main factors driving the exposure of Southern Ocean seabirds to perfluoroalkyl substances (PFASs) across a wide geographic range. Five perfluoroalkane sulfonates (PFSAs, C4-12), 10 perfluoroalkyl carboxylic acids (PFCAs, C4-13), and perfluorooctane sulfonamide (FOSA) were analyzed in plasma (n = 128) from eight species, including penguins, giant petrels, skuas, albatrosses, and shearwaters, breeding at four sites in the Antarctic, sub-Antarctic, and adjacent cool-temperate regions. Mean Sigma PFAS concentrations ranged from 0.53 to 53 ng/g wet weight from black-browed albatross to giant petrels, respectively. As expected due to biomagnification, greater concentrations of most PFASs were found in species near the top of marine food webs such as giant petrels. However, our results suggest that other factors, i.e., metabolic capabilities and spatial movements, can mask interspecies differences in PFASs, especially PFCAs, expected from trophic structure. For instance, trans-equatorial migratory seabirds exhibited PFAS levels and profiles that are consistent with northern hemisphere exposure, reflecting their potential biovector role in the global transport of these pollutants. Among resident species, greater concentrations of PFASs, especially long-chain PFCAs, were found in seabirds breeding or foraging north of the Antarctic Circumpolar Current (ACC) than in those restricted to Antarctic/sub-Antarctic distributions. Moreover, composition profiles of PFAS in Antarctic seabirds agree well with those expected from long-range transport. Our results confirm the importance of the ACC in protecting Antarctic food webs from water-phase-transported PFASs.</t>
  </si>
  <si>
    <t>[Roscales, Jose L.; Vicente, Alba; Jimenez, Begona] CSIC, IQOG, Inst Organ Chem, Dept Instrumental Anal &amp; Environm Chem, Juan Cierva 3, Madrid 28006, Spain; [Gonzalez-Solis, Jacob] Univ Barcelona, Inst Recerca Biodiversitat IRBio, Av Diagonal 643, E-08028 Barcelona, Spain; [Gonzalez-Solis, Jacob] Univ Barcelona, Dept Biol Evolut Ecol &amp; Ciencies Ambientals, Av Diagonal 643, E-08028 Barcelona, Spain; [Ryan, Peter G.] Univ Cape Town, DST NRF Ctr Excellence, FitzPatrick Inst African Ornithol, ZA-7701 Rondebosch, South Africa</t>
  </si>
  <si>
    <t>Consejo Superior de Investigaciones Cientificas (CSIC); CSIC - Instituto de Quimica Organica General (IQOG); University of Barcelona; University of Barcelona; National Research Foundation - South Africa; University of Cape Town</t>
  </si>
  <si>
    <t>Roscales, JL (corresponding author), CSIC, IQOG, Inst Organ Chem, Dept Instrumental Anal &amp; Environm Chem, Juan Cierva 3, Madrid 28006, Spain.</t>
  </si>
  <si>
    <t>jlroscales@iqog.csic.es</t>
  </si>
  <si>
    <t>Gonzalez-Solis, Jacob/C-3942-2008; Jiménez, Begoña/C-6324-2012; González-Solís, Jacob/AAB-1161-2019; Roscales, Jose/H-6716-2015</t>
  </si>
  <si>
    <t>Gonzalez-Solis, Jacob/0000-0002-8691-9397; Jiménez, Begoña/0000-0002-2401-4648; Roscales, Jose/0000-0002-0446-6911</t>
  </si>
  <si>
    <t>Spanish Ministry of Economy and Competitiveness (MINECO) [REMARCA-CTM2012-34673, SENTINEL-CTM2015-70535-P]; MAGRAMA [15CAES004, 17CAES004]; CSIC; TERNUA; South African Department of Environment Affairs, through the South African National Antarctic Programme; Ministerio de EducaciOn y Ciencia [CGL2006-0131S/BOS, POL2006-06635, CGL2009-11278/BOS]; Ministerio de Ciencia e Innovacion from the Spanish Governament; Fondos FEDER</t>
  </si>
  <si>
    <t>Spanish Ministry of Economy and Competitiveness (MINECO)(Spanish Government); MAGRAMA; CSIC; TERNUA; South African Department of Environment Affairs, through the South African National Antarctic Programme; Ministerio de EducaciOn y Ciencia(Spanish Government); Ministerio de Ciencia e Innovacion from the Spanish Governament; Fondos FEDER(European Union (EU))</t>
  </si>
  <si>
    <t>The Spanish Ministry of Economy and Competitiveness (MINECO) is acknowledged for the financial support of this study (REMARCA-CTM2012-34673 and SENTINEL-CTM2015-70535-P). This research is part of POLARCSIC activities. J.L.R acknowledges CSIC and MAGRAMA for his contract under Projects 15CAES004 and 17CAES004. Special thanks to TERNUA for sponsoring us with technical eco-friendly clothing and gear equipment and for increasing our project visibility in current Antarctic campaigns. Logistical support and financial funding during field work were provided by the South African Department of Environment Affairs, through the South African National Antarctic Programme, and Projects CGL2006-0131S/BOS, POL2006-06635, and CGL2009-11278/BOS from the Ministerio de EducaciOn y Ciencia and Ministerio de Ciencia e Innovacion from the Spanish Governament and Fondos FEDER. The authors warmly acknowledge all of the people and institutions for their help and support during field work at Gough, Marion, Falkland, and Livingston islands and Sagrario Calvarro for her technical support in the laboratory.</t>
  </si>
  <si>
    <t>AMER CHEMICAL SOC</t>
  </si>
  <si>
    <t>1155 16TH ST, NW, WASHINGTON, DC 20036 USA</t>
  </si>
  <si>
    <t>0013-936X</t>
  </si>
  <si>
    <t>1520-5851</t>
  </si>
  <si>
    <t>ENVIRON SCI TECHNOL</t>
  </si>
  <si>
    <t>Environ. Sci. Technol.</t>
  </si>
  <si>
    <t>AUG 20</t>
  </si>
  <si>
    <t>10.1021/acs.est.9b02677</t>
  </si>
  <si>
    <t>Engineering, Environmental; Environmental Sciences</t>
  </si>
  <si>
    <t>Engineering; Environmental Sciences &amp; Ecology</t>
  </si>
  <si>
    <t>IT0FH</t>
  </si>
  <si>
    <t>WOS:000482521600054</t>
  </si>
  <si>
    <t>López-Cortés, DJ; Vázquez, EJN; Dorantes-Aranda, JJ; Band-Schmidt, CJ; Hernández-Sandoval, FE; Bustillos-Guzmán, JJ; Leyva-Valencia, I; Fernández-Herrera, LJ</t>
  </si>
  <si>
    <t>Lopez-Cortes, David J.; Vazquez, Erick J. Nunez; Dorantes-Aranda, Juan J.; Band-Schmidt, Christine J.; Hernandez-Sandoval, Francisco E.; Bustillos-Guzman, Jose J.; Leyva-Valencia, Ignacio; Fernandez-Herrera, Leyberth J.</t>
  </si>
  <si>
    <t>The State of Knowledge of Harmful Algal Blooms of Margalefidinium polykrikoides (a.k.a. Cochlodinium polykrikoides) in Latin America</t>
  </si>
  <si>
    <t>dinoflagellates; Margalefidinium polykrikoides; Cochlodinium polykrikoides; HAB; Latin America</t>
  </si>
  <si>
    <t>GULF-OF-CALIFORNIA; RED TIDE; DINOFLAGELLATE BLOOMS; PACIFIC COAST; LA-PAZ; GYMNODINIALES; DINOPHYCEAE; NICOYA; MORTALITY; IMPACTS</t>
  </si>
  <si>
    <t>The marine dinoflagellate Margalefidinium polykrikoides is a harmful species that has affected aquaculture, fisheries and tourism activities. It produces reactive oxygen species (ROS) as well as hemolytic and neurotoxic-like substances that have been associated with mass mortalities of marine organisms. It has a tropical and subtropical distribution that has mainly affected Asia and North America. The economic impacts for aquaculture industries have been estimated to be up to US$140M. In Latin America, no economic estimates have been performed. Harmful algal blooms by M. polykrikoides are more frequent in Mexico and Central America. Proliferations of this dinoflagellate are associated with winds, upwelling, convergence areas, local convection of seawater, and eutrophication of coastal areas by nitrogen and phosphorus compounds from rainwater runoff, as well as agricultural and aquaculture activities, into coastal waters. Eco-physiological and toxicological studies have provided detailed descriptions of the growth of algal strains from these regions and the harmful effects on fish and shrimp, as well as the role the production of ROS and polyunsaturated fatty acids in their toxicity. It is also possible that M. polykrikoides has an ecological role in the regulation of blooms of other harmful algae. In this contribution, we review the records of harmful algal blooms of M. polykrikoides in Latin America and the research that has been conducted with this species.</t>
  </si>
  <si>
    <t>[Lopez-Cortes, David J.; Vazquez, Erick J. Nunez; Hernandez-Sandoval, Francisco E.; Bustillos-Guzman, Jose J.] Ctr Invest Biol Noroeste, La Paz, Mexico; [Vazquez, Erick J. Nunez] Invest Conservat &amp; Desarrollo, La Paz, Mexico; [Dorantes-Aranda, Juan J.] Univ Tasmania, Inst Marine &amp; Antarctic Studies, Hobart, Tas, Australia; [Band-Schmidt, Christine J.; Fernandez-Herrera, Leyberth J.] Inst Politecn Nacl, Ctr Interdisciplinario Ciencias Marinas, La Paz, Mexico; [Leyva-Valencia, Ignacio] Inst Politecn Nacl, CONACyT, Ctr Interdisciplinario Ciencias Marinas, La Paz, Mexico</t>
  </si>
  <si>
    <t>CIBNOR - Centro de Investigaciones Biologicas del Noroeste; Telefonica SA; University of Tasmania; Instituto Politecnico Nacional - Mexico; Instituto Politecnico Nacional - Mexico</t>
  </si>
  <si>
    <t>Vázquez, EJN (corresponding author), Ctr Invest Biol Noroeste, La Paz, Mexico.;Vázquez, EJN (corresponding author), Invest Conservat &amp; Desarrollo, La Paz, Mexico.</t>
  </si>
  <si>
    <t>enunez04@cibnor.mx</t>
  </si>
  <si>
    <t>Leyva, Ignacio/AAJ-5978-2020; Dorantes-Aranda, Juan Jose/J-7737-2014</t>
  </si>
  <si>
    <t>leyva valencia, ignacio/0000-0001-9904-1512; HERNANDEZ SANDOVAL, FRANCISCO EDUARDO/0000-0003-2087-5835</t>
  </si>
  <si>
    <t>Instituto Politecnico Nacional (IPN) [SIP 2019-5649]; Consejo Nacional de Ciencia y Tecnologia (FORDECyT) [260040]; RedFAN-CONACyT</t>
  </si>
  <si>
    <t>Instituto Politecnico Nacional (IPN); Consejo Nacional de Ciencia y Tecnologia (FORDECyT); RedFAN-CONACyT</t>
  </si>
  <si>
    <t>We thank the institutional projects PAC (Planeacion Ambiental y Conservacion) of the CIBNOR, to G. Hernandez-Garcia end edition of figures (CIBNOR), Dr. J. L. Pena-Manjarrez (CETMAR-DGECyTM, SEP, Ensenada) for the satellite image HAB of the M. polykrikoides, Instituto Politecnico Nacional (IPN Grant SIP 2019-5649), and Don Johnson, Ph.D. for improving the language part of the manuscript. We are grateful to the Consejo Nacional de Ciencia y Tecnologia (FORDECyT Grant 260040), and RedFAN-CONACyT. CB-S is a COFFA-IPN and EDI fellow. We also thank the reviewers for the suggestions provided during editing of this manuscript.</t>
  </si>
  <si>
    <t>10.3389/fmars.2019.00463</t>
  </si>
  <si>
    <t>IS9PV</t>
  </si>
  <si>
    <t>WOS:000482481300001</t>
  </si>
  <si>
    <t>Tanhua, T; McCurdy, A; Fischer, A; Appeltans, W; Bax, N; Currie, K; DeYoung, B; Dunn, D; Heslop, E; Glover, LK; Gunn, J; Hill, K; Ishii, M; Legler, D; Lindstrom, E; Miloslavich, P; Moltmann, T; Nolan, G; Palacz, A; Simmons, S; Sloyan, B; Smith, LM; Smith, N; Telszewski, M; Visbeck, M; Wilkin, J</t>
  </si>
  <si>
    <t>Tanhua, Toste; McCurdy, Andrea; Fischer, Albert; Appeltans, Ward; Bax, Nicholas; Currie, Kim; DeYoung, Brad; Dunn, Daniel; Heslop, Emma; Glover, Linda K.; Gunn, John; Hill, Katherine; Ishii, Masao; Legler, David; Lindstrom, Eric; Miloslavich, Patricia; Moltmann, Tim; Nolan, Glenn; Palacz, Artur; Simmons, Samantha; Sloyan, Bernadette; Smith, Leslie M.; Smith, Neville; Telszewski, Maciej; Visbeck, Martin; Wilkin, John</t>
  </si>
  <si>
    <t>What We Have Learned From the Framework for Ocean Observing: Evolution of the Global Ocean Observing System</t>
  </si>
  <si>
    <t>ocean observing; governance; framework for ocean observing; sustainable development; multi-disciplinary; international</t>
  </si>
  <si>
    <t>The Global Ocean Observing System (GOOS) and its partners have worked together over the past decade to break down barriers between open-ocean and coastal observing, between scientific disciplines, and between operational and research institutions. Here we discuss some GOOS successes and challenges from the past decade, and present ideas for moving forward, including highlights of the GOOS 2030 Strategy, published in 2019. The OceanObs' 09 meeting in Venice in 2009 resulted in a remarkable consensus on the need for a common set of guidelines for the global ocean observing community. Work following the meeting led to development of the Framework for Ocean Observing (FOO) published in 2012 and adopted by GOOS as a foundational document that same year. The FOO provides guidelines for the setting of requirements, assessing technology readiness, and assessing the usefulness of data and products for users. Here we evaluate successes and challenges in FOO implementation and consider ways to ensure broader use of the FOO principles. The proliferation of ocean observing activities around the world is extremely diverse and not managed, or even overseen by, any one entity. The lack of coherent governance has resulted in duplication and varying degrees of clarity, responsibility, coordination and data sharing. GOOS has had considerable success over the past decade in encouraging voluntary collaboration across much of this broad community, including increased use of the FOO guidelines and partly effective governance, but much remains to be done. Here we outline and discuss several approaches for GOOS to deliver more effective governance to achieve our collective vision of fully meeting society's needs. What would a more effective and well-structured governance arrangement look like? Can the existing system be modified? Do we need to rebuild it from scratch? We consider the case for evolution versus revolution. Community-wide consideration of these governance issues will be timely and important before, during and following the OceanObs' 19 meeting in September 2019.</t>
  </si>
  <si>
    <t>[Tanhua, Toste; Visbeck, Martin] GEOMAR Helmholtz Ctr Ocean Res Kiel, Marine Biogeochem, Kiel, Germany; [McCurdy, Andrea] Univ Corp Atmospher Res, Cooperat Programs Adv Earth Syst Sci, Boulder, CO USA; [Fischer, Albert; Heslop, Emma] Global Ocean Observing Syst, Paris, France; [Appeltans, Ward] UNESCO, Intergovt Oceanog Commiss, Oostende, Belgium; [Bax, Nicholas; Sloyan, Bernadette] CSIRO, Hobart, Tas, Australia; [Bax, Nicholas; Sloyan, Bernadette] Univ Tasmania, Hobart, Tas, Australia; [Bax, Nicholas; Gunn, John; Miloslavich, Patricia; Moltmann, Tim] Univ Tasmania, Inst Marine &amp; Antarctic Studies, Hobart, Tas, Australia; [Currie, Kim] Natl Inst Water &amp; Atmospher Res, Dunedin, New Zealand; [DeYoung, Brad] Mem Univ, Dept Phys &amp; Phys Oceanog, St John, NF, Canada; [Dunn, Daniel] Duke Univ, Nicholas Sch Environm, Beaufort, NC USA; [Dunn, Daniel] Univ Queensland, Sch Earth &amp; Environm Sci, Brisbane, Qld, Australia; [Glover, Linda K.] Glover Works Consulting, Alexandria, VA USA; [Hill, Katherine] World Meteorol Org, Geneva, Switzerland; [Ishii, Masao] Meteorol Res Inst, Ibaraki, Japan; [Legler, David] NOAA, Climate Program Off, Silver Spring, MD USA; [Lindstrom, Eric] NASA, Washington, DC 20546 USA; [Miloslavich, Patricia] Univ Simon Bolivar, Dept Estudios Ambientales, Caracas, Venezuela; [Nolan, Glenn; Telszewski, Maciej] European Global Ocean Observing Syst, Brussels, Belgium; [Palacz, Artur] Polish Acad Sci, Int Ocean Carbon Coordinat Project, Inst Oceanol, Sopot, Poland; [Simmons, Samantha] Marine Mammal Commiss, Bethesda, MD USA; [Smith, Leslie M.] Your Ocean Consulting LLC, Knoxville, TN USA; [Smith, Neville] GODAE Ocean Serv, Melbourne, Vic, Australia; [Wilkin, John] Rutgers State Univ, Dept Marine &amp; Coastal Sci, New Brunswick, NJ USA</t>
  </si>
  <si>
    <t>Helmholtz Association; GEOMAR Helmholtz Center for Ocean Research Kiel; National Center Atmospheric Research (NCAR) - USA; Commonwealth Scientific &amp; Industrial Research Organisation (CSIRO); University of Tasmania; University of Tasmania; National Institute of Water &amp; Atmospheric Research (NIWA) - New Zealand; Memorial University Newfoundland; Duke University; University of Queensland; Meteorological Research Institute - Japan; National Oceanic Atmospheric Admin (NOAA) - USA; National Aeronautics &amp; Space Administration (NASA); Simon Bolivar University; Polish Academy of Sciences; Institute of Oceanology of the Polish Academy of Sciences; Melbourne Genomics Health Alliance; Rutgers University System; Rutgers University New Brunswick</t>
  </si>
  <si>
    <t>Tanhua, T (corresponding author), GEOMAR Helmholtz Ctr Ocean Res Kiel, Marine Biogeochem, Kiel, Germany.</t>
  </si>
  <si>
    <t>ttanhua@geomar.de</t>
  </si>
  <si>
    <t>Visbeck, Martin H/B-6541-2016; Legler, David/AAB-7918-2019; Wilkin, John L/E-5343-2011; Tanhua, Toste/HLX-5402-2023; Sloyan, Bernadette/N-8989-2014; Bax, Nicholas/A-2321-2012</t>
  </si>
  <si>
    <t>Visbeck, Martin H/0000-0002-0844-834X; Sloyan, Bernadette/0000-0003-0250-0167; Dunn, Daniel/0000-0001-8932-0681; Moltmann, Tim/0000-0002-7060-2117; Miloslavich, Patricia/0000-0001-5409-1401; Telszewski, Maciej/0000-0002-9139-226X; Lindstrom, Eric/0000-0002-4393-2276; Simmons, Samantha/0000-0003-0326-6990; Wilkin, John/0000-0002-5444-9466; Bax, Nicholas/0000-0002-9697-4963; Palacz, Artur/0000-0002-1634-7880</t>
  </si>
  <si>
    <t>University Corporation for Atmospheric Research (UCAR) [80NSSC17M0007]; EU's Horizon 2020 Research and Innovation Program [63321]; US National Science Foundation [OCE-1840868]</t>
  </si>
  <si>
    <t>University Corporation for Atmospheric Research (UCAR); EU's Horizon 2020 Research and Innovation Program; US National Science Foundation(National Science Foundation (NSF))</t>
  </si>
  <si>
    <t>Preparation of this manuscript was supported by 80NSSC17M0007 (NASA) University Corporation for Atmospheric Research (UCAR). Some recommendations from this work resulted from PEGASuS 2: Ocean Sustainability, a partnership between Future Earth, the National Center for Ecological Analysis and Synthesis (NCEAS), and Global Biodiversity Center at Colorado State University. TT and AP acknowledges support from EU's Horizon 2020 Research and Innovation Program under grant agreement 63321 (AtlantOS). MT acknowledges support from the US National Science Foundation grant OCE-1840868 to the Scientific Committee on Oceanic Research (SCOR, US).</t>
  </si>
  <si>
    <t>10.3389/fmars.2019.00471</t>
  </si>
  <si>
    <t>IS9QI</t>
  </si>
  <si>
    <t>WOS:000482482600001</t>
  </si>
  <si>
    <t>Telesca, L; Peck, LS; Sanders, T; Thyrring, J; Sejr, MK; Harper, EM</t>
  </si>
  <si>
    <t>Telesca, Luca; Peck, Lloyd S.; Sanders, Trystan; Thyrring, Jakob; Sejr, Mikael K.; Harper, Elizabeth M.</t>
  </si>
  <si>
    <t>Biomineralization plasticity and environmental heterogeneity predict geographical resilience patterns of foundation species to future change</t>
  </si>
  <si>
    <t>GLOBAL CHANGE BIOLOGY</t>
  </si>
  <si>
    <t>biomineralization; calcification; climate change; compensatory mechanisms; multiple stressors; Mytilus; ocean acidification; resistance</t>
  </si>
  <si>
    <t>MYTILUS-EDULIS; OCEAN ACIDIFICATION; CARBONATE CHEMISTRY; SATURATION STATE; INDUCED DEFENSES; SEA POPULATIONS; SEAWATER; CALCIFICATION; ADAPTATION; IMPACTS</t>
  </si>
  <si>
    <t>Although geographical patterns of species' sensitivity to environmental changes are defined by interacting multiple stressors, little is known about compensatory processes shaping regional differences in organismal vulnerability. Here, we examine large-scale spatial variations in biomineralization under heterogeneous environmental gradients of temperature, salinity and food availability across a 30 degrees latitudinal range (3,334 km), to test whether plasticity in calcareous shell production and composition, from juveniles to large adults, mediates geographical patterns of resilience to climate change in critical foundation species, the mussels Mytilus edulis and M. trossulus. We find shell calcification decreased towards high latitude, with mussels producing thinner shells with a higher organic content in polar than temperate regions. Salinity was the best predictor of within-region differences in mussel shell deposition, mineral and organic composition. In polar, subpolar, and Baltic low-salinity environments, mussels produced thin shells with a thicker external organic layer (periostracum), and an increased proportion of calcite (prismatic layer, as opposed to aragonite) and organic matrix, providing potentially higher resistance against dissolution in more corrosive waters. Conversely, in temperate, higher salinity regimes, thicker, more calcified shells with a higher aragonite (nacreous layer) proportion were deposited, which suggests enhanced protection under increased predation pressure. Interacting effects of salinity and food availability on mussel shell composition predict the deposition of a thicker periostracum and organic-enriched prismatic layer under forecasted future environmental conditions, suggesting a capacity for increased protection of high-latitude populations from ocean acidification. These findings support biomineralization plasticity as a potentially advantageous compensatory mechanism conferring Mytilus species a protective capacity for quantitative and qualitative trade-offs in shell deposition as a response to regional alterations of abiotic and biotic conditions in future environments. Our work illustrates that compensatory mechanisms, driving plastic responses to the spatial structure of multiple stressors, can define geographical patterns of unanticipated species resilience to global environmental change.</t>
  </si>
  <si>
    <t>[Telesca, Luca; Harper, Elizabeth M.] Univ Cambridge, Dept Earth Sci, Cambridge CB2 3EQ, England; [Telesca, Luca; Peck, Lloyd S.; Thyrring, Jakob] British Antarctic Survey, Cambridge, England; [Sanders, Trystan] GEOMAR Helmholtz Ctr Ocean Res, Kiel, Germany; [Thyrring, Jakob] Univ British Columbia, Dept Zool, Vancouver, BC, Canada; [Sejr, Mikael K.] Aarhus Univ, Arctic Res Ctr, Dept Biosci, Aarhus C, Denmark; [Sejr, Mikael K.] Aarhus Univ, Dept Biosci Marine Ecol, Silkeborg, Denmark</t>
  </si>
  <si>
    <t>University of Cambridge; UK Research &amp; Innovation (UKRI); Natural Environment Research Council (NERC); NERC British Antarctic Survey; Helmholtz Association; GEOMAR Helmholtz Center for Ocean Research Kiel; University of British Columbia; Aarhus University; Aarhus University</t>
  </si>
  <si>
    <t>Telesca, L; Harper, EM (corresponding author), Univ Cambridge, Dept Earth Sci, Cambridge CB2 3EQ, England.</t>
  </si>
  <si>
    <t>lt401@cam.ac.uk; emh21@cam.ac.uk</t>
  </si>
  <si>
    <t>Harper, Elizabeth M/B-3890-2008; Sejr, Mikael K./J-5459-2013; Thyrring, Jakob/M-9479-2015</t>
  </si>
  <si>
    <t>Sejr, Mikael K./0000-0001-8370-5791; Sanders, Trystan/0000-0002-7605-0747; Thyrring, Jakob/0000-0002-1029-3105; Telesca, Luca/0000-0002-9060-2261</t>
  </si>
  <si>
    <t>Independent Research Fund Denmark [7027-00060B]; Seventh Framework Programme [605051]; NERC [bas0100036] Funding Source: UKRI</t>
  </si>
  <si>
    <t>Independent Research Fund Denmark(Det Frie Forskningsrad (DFF)); Seventh Framework Programme(European Union (EU)); NERC(UK Research &amp; Innovation (UKRI)Natural Environment Research Council (NERC))</t>
  </si>
  <si>
    <t>Independent Research Fund Denmark, Grant/Award Number: 7027-00060B; Seventh Framework Programme, Grant/Award Number: 605051</t>
  </si>
  <si>
    <t>1354-1013</t>
  </si>
  <si>
    <t>1365-2486</t>
  </si>
  <si>
    <t>GLOBAL CHANGE BIOL</t>
  </si>
  <si>
    <t>Glob. Change Biol.</t>
  </si>
  <si>
    <t>10.1111/gcb.14758</t>
  </si>
  <si>
    <t>Biodiversity Conservation; Ecology; Environmental Sciences</t>
  </si>
  <si>
    <t>Biodiversity &amp; Conservation; Environmental Sciences &amp; Ecology</t>
  </si>
  <si>
    <t>JK2QO</t>
  </si>
  <si>
    <t>Green Submitted</t>
  </si>
  <si>
    <t>WOS:000482366300001</t>
  </si>
  <si>
    <t>de Castro, PL; Patil, JG</t>
  </si>
  <si>
    <t>de Castro, Pedro Luiz; Patil, Jawahar G.</t>
  </si>
  <si>
    <t>Comparative gonad histology and semen quality of normal (XY) and neo-males (XX) of Atlantic salmon (Salmo salar)</t>
  </si>
  <si>
    <t>AQUACULTURE RESEARCH</t>
  </si>
  <si>
    <t>computer-assisted semen analysis; fish reproduction; gonadal development; gonadal histology of fish; monosex in aquaculture</t>
  </si>
  <si>
    <t>FEMALE RAINBOW-TROUT; SPERM MOTILITY; FERTILIZATION SUCCESS; ONCORHYNCHUS-MYKISS; SEMINAL PLASMA; SERTOLI-CELL; FISH; TEMPERATURE; MATURATION; PARAMETERS</t>
  </si>
  <si>
    <t>With an overarching objective of improving the hatchery production of Atlantic salmon (Salmo salar) all-female progeny, this study comparatively evaluated the reproductive parameters between normal (genotype XY) and neo-males (genotype XX). Four normal (XY) and seven neo- (XX) males, from the same brood stock, distinguished by their ability to or lack of expressing semen, respectively, were comparatively evaluated. The left testicular lobe was used for histomorphometric analyses, while the right for semen collection and sperm quality analyses. Histomorphometric observations revealed that neo-male testes are irregularly shaped, and have poorly formed seminiferous ducts, higher proportions of interstitial tissue and lower gonadosomatic index (p &lt; .05). In addition, hypertrophied and cyst forming Sertoli cells were found in these individuals which collectively appear to form a physical barrier, precluding the semen collection by standard stripping techniques and reducing sperm quality. Particularly, semen motility (80.69 +/- 2.4% and 57.2 +/- 36.5% for XY and XX respectively) and duration of motility (99.31 +/- 28.03 s and 66.84 +/- 23.83 s for XY and XX respectively) of neo-males were most compromised (p &lt; .05). Interestingly, the TUNEL assay indicated no signs of apoptotic tissue suggesting that the histological differences may relate to delayed physiological/sexual maturity of neo-males.</t>
  </si>
  <si>
    <t>[de Castro, Pedro Luiz] Univ Estadual Maringa, Maringa, Parana, Brazil; [Patil, Jawahar G.] Univ Tasmania, Fisheries &amp; Aquaculture Ctr, Inst Marine &amp; Antarctic Studies, Hobart, Tas, Australia</t>
  </si>
  <si>
    <t>Universidade Estadual de Maringa; University of Tasmania</t>
  </si>
  <si>
    <t>Patil, JG (corresponding author), Univ Tasmania, Fisheries &amp; Aquaculture Ctr, Inst Marine &amp; Antarctic Studies, IMAS Taroona, Private Bag 49, Hobart, Tas 7001, Australia.</t>
  </si>
  <si>
    <t>Jawahar.Patil@utas.edu.au</t>
  </si>
  <si>
    <t>de Castro, Pedro Luiz/AAM-2517-2020</t>
  </si>
  <si>
    <t>de Castro, Pedro Luiz/0000-0001-7351-6938; Patil, Jawahar G/0000-0002-2154-4627</t>
  </si>
  <si>
    <t>CAPES - Coordenacao de Aperfeicoamento de Pessoal de Nivel Superior, Brazil</t>
  </si>
  <si>
    <t>CAPES - Coordenacao de Aperfeicoamento de Pessoal de Nivel Superior, Brazil(Coordenacao de Aperfeicoamento de Pessoal de Nivel Superior (CAPES))</t>
  </si>
  <si>
    <t>1355-557X</t>
  </si>
  <si>
    <t>1365-2109</t>
  </si>
  <si>
    <t>AQUAC RES</t>
  </si>
  <si>
    <t>Aquac. Res.</t>
  </si>
  <si>
    <t>10.1111/are.14271</t>
  </si>
  <si>
    <t>JC1ML</t>
  </si>
  <si>
    <t>WOS:000481968800001</t>
  </si>
  <si>
    <t>Yao, ST; Shi, QQ; Yao, ZH; Guo, RL; Zong, QG; Wang, XG; Degeling, AW; Rae, IJ; Russell, CT; Tian, AM; Zhang, H; Hu, HQ; Liu, J; Liu, H; Li, B; Giles, BL</t>
  </si>
  <si>
    <t>Yao, S. T.; Shi, Q. Q.; Yao, Z. H.; Guo, R. L.; Zong, Q. G.; Wang, X. G.; Degeling, A. W.; Rae, I. J.; Russell, C. T.; Tian, A. M.; Zhang, H.; Hu, H. Q.; Liu, J.; Liu, H.; Li, B.; Giles, B. L.</t>
  </si>
  <si>
    <t>Electron Mirror-mode Structure: Magnetospheric Multiscale Observations</t>
  </si>
  <si>
    <t>ASTROPHYSICAL JOURNAL LETTERS</t>
  </si>
  <si>
    <t>FIELD-SWELLING INSTABILITY; SCALE MAGNETIC HOLES; MMS OBSERVATIONS; PLASMA; MAGNETOSHEATH; DYNAMICS; WAVES; MECHANISM; CLUSTER</t>
  </si>
  <si>
    <t>The small-scale mirror mode excited by electron dynamics is a fundamental physical process, attracting research interest in space, laboratory, and astrophysical plasma physics over the past half century. However, the investigations of this process were mostly limited to theories and numerical simulations, with no direct observational evidence for their existence. In this study we present clear observations of electron mirror-mode using Magnetospheric Multiscale data at unprecedented high temporal cadence. These structures are train-like, compressible, nonpropagating, and satisfy the theoretical excitation and electron trapping conditions. They were observed near the Earth's foreshock and its downstream turbulence during the corotating interaction region events, which could be involved with the interaction between solar wind and Earth.</t>
  </si>
  <si>
    <t>[Yao, S. T.; Shi, Q. Q.; Degeling, A. W.; Tian, A. M.] Shandong Univ, Shandong Prov Key Lab Opt Astron &amp; Solar Terr Env, Inst Space Sci, Weihai 264209, Peoples R China; [Yao, S. T.; Yao, Z. H.; Liu, J.] Chinese Acad Sci, State Key Lab Space Weather, Natl Space Sci Ctr, Beijing 100190, Peoples R China; [Rae, I. J.] Univ Liege, STAR Inst, Lab Phys Atmospher &amp; Planetaire, Liege, Belgium; [Guo, R. L.] Chinese Acad Sci, Inst Geol &amp; Geophys, Key Lab Earth &amp; Planetary Phys, Beijing 100029, Peoples R China; [Zong, Q. G.; Liu, H.] Peking Univ, Sch Earth &amp; Space Sci, Beijing 100871, Peoples R China; [Wang, X. G.] Harbin Inst Technol, Dept Phys, Harbin 150001, Heilongjiang, Peoples R China; [Russell, C. T.] Univ Calif Los Angeles, Dept Earth Planetary &amp; Space Sci, Los Angeles, CA USA; [Zhang, H.] Univ Alaska Fairbanks, Phys Dept, Fairbanks, AK USA; [Zhang, H.] Univ Alaska Fairbanks, Inst Geophys, Fairbanks, AK 99775 USA; [Hu, H. Q.] Polar Res Inst China, SOA Key Lab Polar Sci, Shanghai, Peoples R China; [Li, B.] Wuhan Univ, Chinese Antarctic Ctr Surveying &amp; Mapping, Wuhan 430079, Hubei, Peoples R China; [Giles, B. L.] NASA, Goddard Space Flight Ctr, Greenbelt, MD USA</t>
  </si>
  <si>
    <t>Shandong University; Chinese Academy of Sciences; National Space Science Center, CAS; University of Liege; Chinese Academy of Sciences; Institute of Geology &amp; Geophysics, CAS; Peking University; Harbin Institute of Technology; University of California System; University of California Los Angeles; University of Alaska System; University of Alaska Fairbanks; University of Alaska System; University of Alaska Fairbanks; Polar Research Institute of China; Wuhan University; National Aeronautics &amp; Space Administration (NASA); NASA Goddard Space Flight Center</t>
  </si>
  <si>
    <t>Shi, QQ (corresponding author), Shandong Univ, Shandong Prov Key Lab Opt Astron &amp; Solar Terr Env, Inst Space Sci, Weihai 264209, Peoples R China.</t>
  </si>
  <si>
    <t>sqq@sdu.edu.cn</t>
  </si>
  <si>
    <t>Degeling, Alexander/AAR-1294-2020; Rae, Jonathan/D-8132-2013; Yao, Shutao/ABG-7012-2021; MMS, Science Team NASA/J-5393-2013; Zong, Qiugang/L-1920-2018; Degeling, Alexander/F-1091-2016; yao, shutao/IUP-1079-2023; SHI, QUANQI/M-6959-2015; Zhang, Hui/AAO-7452-2020; Guo, Ruiliang/AAC-7184-2019; Shi, Quanqi/AAE-4297-2020; Giles, Barbara L/J-7393-2017; Russell, Christopher/E-7745-2012; Yao, Zhonghua/H-8537-2017</t>
  </si>
  <si>
    <t>Degeling, Alexander/0000-0001-7338-9270; Rae, Jonathan/0000-0002-2637-4786; Zong, Qiugang/0000-0002-6414-3794; yao, shutao/0000-0002-6059-2963; SHI, QUANQI/0000-0001-6835-4751; Zhang, Hui/0000-0001-5346-7112; Guo, Ruiliang/0000-0002-5339-4571; Russell, Christopher/0000-0003-1639-8298; Yao, Zhonghua/0000-0001-6826-2486</t>
  </si>
  <si>
    <t>National Natural Science Foundation of China [41774153, 41574157, 41674165, 41431072]; Specialized Research Fund for State Key Laboratories; International Space Science Institute (ISSI); NSF [AGS-1352669]; PRODEX program; Belgian Federal Science Policy Office</t>
  </si>
  <si>
    <t>National Natural Science Foundation of China(National Natural Science Foundation of China (NSFC)); Specialized Research Fund for State Key Laboratories; International Space Science Institute (ISSI); NSF(National Science Foundation (NSF)); PRODEX program; Belgian Federal Science Policy Office(Belgian Federal Science Policy Office)</t>
  </si>
  <si>
    <t>We acknowledge the use of the magnetic field and plasma data of ACE from the CDPP-AMDA team and the MMS instrumental teams. All the data are available from MMS Science Data Center (https://lasp.colorado.edu/mms/sdc/public/).This work was supported by the National Natural Science Foundation of China (grants 41774153, 41574157, 41674165, and 41431072), project supported by the Specialized Research Fund for State Key Laboratories, the International Space Science Institute (ISSI). H.Z. is partially supported by NSF AGS-1352669. Z.H.Y. is supported by the PRODEX program managed by ESA in collaboration with the Belgian Federal Science Policy Office.</t>
  </si>
  <si>
    <t>IOP PUBLISHING LTD</t>
  </si>
  <si>
    <t>BRISTOL</t>
  </si>
  <si>
    <t>TEMPLE CIRCUS, TEMPLE WAY, BRISTOL BS1 6BE, ENGLAND</t>
  </si>
  <si>
    <t>2041-8205</t>
  </si>
  <si>
    <t>2041-8213</t>
  </si>
  <si>
    <t>ASTROPHYS J LETT</t>
  </si>
  <si>
    <t>Astrophys. J. Lett.</t>
  </si>
  <si>
    <t>L31</t>
  </si>
  <si>
    <t>10.3847/2041-8213/ab3398</t>
  </si>
  <si>
    <t>Astronomy &amp; Astrophysics</t>
  </si>
  <si>
    <t>IS2PE</t>
  </si>
  <si>
    <t>WOS:000481995700005</t>
  </si>
  <si>
    <t>Vega, GC; Convey, P; Hughes, KA; Olalla-Tárraga, MA</t>
  </si>
  <si>
    <t>Vega, Greta C.; Convey, Peter; Hughes, Kevin A.; Angel Olalla-Tarraga, Miguel</t>
  </si>
  <si>
    <t>Humans and wind, shaping Antarctic soil arthropod biodiversity</t>
  </si>
  <si>
    <t>INSECT CONSERVATION AND DIVERSITY</t>
  </si>
  <si>
    <t>Antarctic Peninsula; Collembola; conservation biogeography; Cryptopygus antarcticus; Folsomotoma octooculata; range expansion</t>
  </si>
  <si>
    <t>LONG-DISTANCE DISPERSAL; BIOLOGICAL INVASIONS; BIOTIC INTERACTIONS; KELP GULL; TERRESTRIAL; MICROARTHROPODS; SPRINGTAILS; POPULATION; COLLEMBOLA; PENINSULA</t>
  </si>
  <si>
    <t>Biodiversity loss has increased globally in recent years. The major threat to Antarctica's unique terrestrial biodiversity is the establishment of non-native species. Nonetheless, while preventing the introduction of non-native species from outside, Antarctica has received increasing research attention, the movement of species within and between Antarctic biogeographic regions remains largely unexplored. Within a biogeographical framework, we attempt to disentangle the role of abiotic and movement factors leading to potential range expansion in the Antarctic Peninsula of two native Collembola: Cryptopygus antarcticus and Folsomotoma octooculata. We found that, although locations exist with similar abiotic conditions to those already occupied by both species in non-colonised areas of the Antarctic Peninsula, connectivity via wind to these currently unoccupied areas is smaller than that between present occurrences. Thus, wind transport might result in range expansion very sporadically. Meanwhile, we found that human-influenced sites at the north-eastern tip of the Antarctic Peninsula had similar climates to locations where both species are currently found. Thus, range expansion could occur to these areas if these invertebrates are inadvertently transported through human activities. This article provides a proof of principle for combining Antarctic biogeographical and meteorological data to deliver practical recommendations to environmental managers.</t>
  </si>
  <si>
    <t>[Vega, Greta C.; Angel Olalla-Tarraga, Miguel] Rey Juan Carlos Univ, Dept Biol &amp; Geol, Phys &amp; Inorgan Chem, Calle Tulipan S-N, Madrid 28933, Spain; [Convey, Peter; Hughes, Kevin A.] British Antarctic Survey, Nat Environm Res Council, Cambridge, England</t>
  </si>
  <si>
    <t>Universidad Rey Juan Carlos; UK Research &amp; Innovation (UKRI); Natural Environment Research Council (NERC); NERC British Antarctic Survey</t>
  </si>
  <si>
    <t>Vega, GC (corresponding author), Rey Juan Carlos Univ, Dept Biol &amp; Geol, Phys &amp; Inorgan Chem, Calle Tulipan S-N, Madrid 28933, Spain.</t>
  </si>
  <si>
    <t>gretacvega@gmail.com</t>
  </si>
  <si>
    <t>Olalla-Tárraga, Miguel Ángel/ABE-7880-2020; Convey, Peter/AAV-5728-2020; Hughes, Kevin/JVZ-0793-2024; , Greta/AAA-1122-2022</t>
  </si>
  <si>
    <t>Olalla-Tárraga, Miguel Ángel/0000-0001-5346-4528; Convey, Peter/0000-0001-8497-9903; , Greta/0000-0001-5115-0146</t>
  </si>
  <si>
    <t>Spanish MINECO [CTM2013-47381-P, EEBB-I-2018-12779]; Natural Environment Research Council; NERC [bas0100036, bas010011] Funding Source: UKRI</t>
  </si>
  <si>
    <t>Spanish MINECO(Spanish Government); Natural Environment Research Council(UK Research &amp; Innovation (UKRI)Natural Environment Research Council (NERC)); NERC(UK Research &amp; Innovation (UKRI)Natural Environment Research Council (NERC))</t>
  </si>
  <si>
    <t>This research was funded by Spanish MINECO grants CTM2013-47381-P to MAO-T and EEBB-I-2018-12779 to GCV. Antonio Carapelli and Paul Geissler assisted in the recovery of occurrence records. Steve Colwell, Javier Fernandez Lopez and Jesus Munoz provided assistance with collating the wind data and performing the analyses. The authors are also grateful to two anonymous reviewers for their constructive comments, which improved themanuscript. GCVis thankful to Anna Belcher for comments on early stages of the research and Pilar Hurtado for figure design. PC and KAH are supported by Natural Environment Research Council core funding to the British Antarctic Survey (BAS) 'Biodiversity, Evolution and Adaptation'Team, and the BAS Environment Office Long Term Monitoring and Survey project (EO-LTMS), respectively, and the paper also contributes to the 'State of the Antarctic Ecosystem' research programme (AntEco) of the Scientific Committee on Antarctic Research (SCAR).</t>
  </si>
  <si>
    <t>1752-458X</t>
  </si>
  <si>
    <t>1752-4598</t>
  </si>
  <si>
    <t>INSECT CONSERV DIVER</t>
  </si>
  <si>
    <t>Insect. Conserv. Divers.</t>
  </si>
  <si>
    <t>10.1111/icad.12375</t>
  </si>
  <si>
    <t>Biodiversity Conservation; Entomology</t>
  </si>
  <si>
    <t>Biodiversity &amp; Conservation; Entomology</t>
  </si>
  <si>
    <t>JZ7HC</t>
  </si>
  <si>
    <t>WOS:000481968900001</t>
  </si>
  <si>
    <t>Hooper, D; Wegsman, S; Deaconu, C; Vieregg, A</t>
  </si>
  <si>
    <t>Hooper, Dan; Wegsman, Shalma; Deaconu, Cosmin; Vieregg, Abigail</t>
  </si>
  <si>
    <t>Superheavy dark matter and ANITA's anomalous events</t>
  </si>
  <si>
    <t>PHYSICAL REVIEW D</t>
  </si>
  <si>
    <t>ENERGY COSMIC-RAYS; NEUTRALINOS; DECAY</t>
  </si>
  <si>
    <t>The ANITA experiment, which is designed to detect ultrahigh-energy neutrinos, has reported the observation of two anomalous events, directed at angles of 27 degrees and 35 degrees with respect to the horizontal. At these angles, the Earth is expected to efficiently absorb ultrahigh-energy neutrinos, making the origin of these events unclear and motivating explanations involving physics beyond the Standard Model. In this study, we consider the possibility that ANITA's anomalous events are the result of Askaryan emission produced by exotic weakly interacting particles scattering elastically with nuclei in the Antarctic ice sheet. Such particles could be produced by superheavy (approximately 10(10)-10(13) GeV) dark matter particles decaying in the halo of the Milky Way. Such scenarios can be constrained by existing measurements of the high-latitude gamma-ray background and the ultrahigh-energy cosmic-ray spectrum, along with searches for ultrahigh-energy neutrinos by IceCube and other neutrino telescopes.</t>
  </si>
  <si>
    <t>[Hooper, Dan] Fermilab Natl Accelerator Lab, Theoret Astrophys Grp, POB 500, Batavia, IL 60510 USA; [Hooper, Dan; Deaconu, Cosmin; Vieregg, Abigail] Univ Chicago, Kavli Inst Cosmol Phys, Chicago, IL 60637 USA; [Hooper, Dan] Univ Chicago, Dept Astron &amp; Astrophys, Chicago, IL 60637 USA; [Wegsman, Shalma; Vieregg, Abigail] Univ Chicago, Dept Phys, Chicago, IL 60637 USA; [Vieregg, Abigail] Univ Chicago, Enrico Fermi Inst, 5640 S Ellis Ave, Chicago, IL 60637 USA</t>
  </si>
  <si>
    <t>United States Department of Energy (DOE); University of Chicago; Fermi National Accelerator Laboratory; University of Chicago; University of Chicago; University of Chicago; University of Chicago</t>
  </si>
  <si>
    <t>Hooper, D (corresponding author), Fermilab Natl Accelerator Lab, Theoret Astrophys Grp, POB 500, Batavia, IL 60510 USA.;Hooper, D (corresponding author), Univ Chicago, Kavli Inst Cosmol Phys, Chicago, IL 60637 USA.;Hooper, D (corresponding author), Univ Chicago, Dept Astron &amp; Astrophys, Chicago, IL 60637 USA.</t>
  </si>
  <si>
    <t>Deaconu, Cosmin/0000-0002-4953-6397; Wegsman, Shalma/0000-0002-4378-842X</t>
  </si>
  <si>
    <t>U.S. Department of Energy, Office of High Energy Physics [DE-AC02-07CH11359]</t>
  </si>
  <si>
    <t>U.S. Department of Energy, Office of High Energy Physics(United States Department of Energy (DOE))</t>
  </si>
  <si>
    <t>Computing resources for this project were provided by the University of Chicago Research Computing Center. This manuscript has been authored by Fermi Research Alliance, LLC, under Contract No. DE-AC02-07CH11359 with the U.S. Department of Energy, Office of High Energy Physics.</t>
  </si>
  <si>
    <t>AMER PHYSICAL SOC</t>
  </si>
  <si>
    <t>COLLEGE PK</t>
  </si>
  <si>
    <t>ONE PHYSICS ELLIPSE, COLLEGE PK, MD 20740-3844 USA</t>
  </si>
  <si>
    <t>2470-0010</t>
  </si>
  <si>
    <t>2470-0029</t>
  </si>
  <si>
    <t>PHYS REV D</t>
  </si>
  <si>
    <t>Phys. Rev. D</t>
  </si>
  <si>
    <t>10.1103/PhysRevD.100.043019</t>
  </si>
  <si>
    <t>Astronomy &amp; Astrophysics; Physics, Particles &amp; Fields</t>
  </si>
  <si>
    <t>Astronomy &amp; Astrophysics; Physics</t>
  </si>
  <si>
    <t>IS0EP</t>
  </si>
  <si>
    <t>WOS:000481821000003</t>
  </si>
  <si>
    <t>Koch, F; Trimborn, S</t>
  </si>
  <si>
    <t>Koch, Florian; Trimborn, Scarlett</t>
  </si>
  <si>
    <t>Limitation by Fe, Zn, Co, and B12 Results in Similar Physiological Responses in Two Antarctic Phytoplankton Species</t>
  </si>
  <si>
    <t>Southern Ocean; trace metals; phytoplankton; vitamins; B-12; iron; zinc; cobalt</t>
  </si>
  <si>
    <t>PHOTOSYNTHETIC ELECTRON-TRANSPORT; SOUTHERN-OCEAN PHYTOPLANKTON; SILICIC-ACID UPTAKE; IRON LIMITATION; TRACE-METALS; CELL-CYCLE; SUPEROXIDE DISMUTASES; ELEMENTAL COMPOSITION; MARINE-PHYTOPLANKTON; COMMUNITY STRUCTURE</t>
  </si>
  <si>
    <t>In many areas of the world's ocean such as the Southern Ocean (SO), primary production is low despite an abundance of macronutrients. In these high nutrient low chlorophyll (HNLC) regions the trace metal (TM) iron (Fe) limits phytoplankton biomass and subsequently the biological carbon pump. Besides Fe, the TMs zinc (Zn), cobalt (Co), and the vitamin cobalamin (B-12) have also been shown to limit biomass and/or influence plankton species composition. While the impacts of Fe limitation and, to a lesser degree of Zn and Co, on the cellular physiology of Antarctic phytoplankton have been investigated, studies focusing simultaneously on several TMs and vitamins are still lacking. This study measured the impacts of Fe, Zn, Co, and B-12 limitation on the Antarctic diatom Chaetoceros simplex and Fe and Zn limitation on the Antarctic cryptophyte Geminigera cryophila. Both species responded to all limitation scenarios by reducing their growth and particulate organic carbon (POC) production rates. For both algae limitation by Fe and Zn resulted in a reduction of light harvesting pigments, a significant reduction in the photosynthetic yield (F-v/F-m) and increase in the C:N ratio. Most interestingly, with a few exceptions, limitation by one TM also resulted in a significant decrease of the cellular quotas of other TMs measured. These observations suggest that one consequence of limitation by one TM may be a secondary and perhaps more fatal limitation by another.</t>
  </si>
  <si>
    <t>[Koch, Florian; Trimborn, Scarlett] Helmholtz Zentrum Polar &amp; Meeresforsch, Alfred Wegener Inst, Bremerhaven, Germany; [Koch, Florian] Univ Appl Sci, Fachbereich 1, Bremerhaven, Germany; [Trimborn, Scarlett] Univ Bremen, Marine Bot, Bremen, Germany</t>
  </si>
  <si>
    <t>Koch, F (corresponding author), Helmholtz Zentrum Polar &amp; Meeresforsch, Alfred Wegener Inst, Bremerhaven, Germany.;Koch, F (corresponding author), Univ Appl Sci, Fachbereich 1, Bremerhaven, Germany.</t>
  </si>
  <si>
    <t>floriankoch@gmail.com</t>
  </si>
  <si>
    <t>Trimborn, Scarlett/AAM-1061-2021</t>
  </si>
  <si>
    <t>Trimborn, Scarlett/0000-0003-1434-9927; Koch, Florian/0000-0001-7107-4160</t>
  </si>
  <si>
    <t>Helmholtz Association (HGF Young Investigators Group EcoTrace) [VH-NG-901]; Deutsche Forschungsgemeinschaft (SPP1158) [KO5563/1-1'ViTMeD']</t>
  </si>
  <si>
    <t>Helmholtz Association (HGF Young Investigators Group EcoTrace); Deutsche Forschungsgemeinschaft (SPP1158)(German Research Foundation (DFG))</t>
  </si>
  <si>
    <t>ST and FK were funded by the Helmholtz Association (HGF Young Investigators Group EcoTrace, VH-NG-901). FK was also supported by the Deutsche Forschungsgemeinschaft (SPP1158, KO5563/1-1'ViTMeD').</t>
  </si>
  <si>
    <t>10.3389/fmars.2019.00514</t>
  </si>
  <si>
    <t>IS9QW</t>
  </si>
  <si>
    <t>WOS:000482484000001</t>
  </si>
  <si>
    <t>Meyssignac, B; Boyer, T; Zhao, ZX; Hakuba, MZ; Landerer, FW; Stammer, D; Kohl, A; Kato, S; L'Ecuyer, T; Ablain, M; Abraham, JP; Blazquez, A; Cazenave, A; Church, JA; Cowley, R; Cheng, LJ; Domingues, CM; Giglio, D; Gouretski, V; Ishii, M; Johnson, GC; Killick, RE; Legler, D; Llovel, W; Lyman, J; Palmer, MD; Piotrowicz, S; Purkey, SG; Roemmich, D; Roca, R; Savita, A; von Schuckmann, K; Speich, S; Stephens, G; Wang, GJ; Wijffels, SE; Zilberman, N</t>
  </si>
  <si>
    <t>Meyssignac, Benoit; Boyer, Tim; Zhao, Zhongxiang; Hakuba, Maria Z.; Landerer, Felix W.; Stammer, Detlef; Koehl, Armin; Kato, Seiji; L'Ecuyer, Tristan; Ablain, Michael; Abraham, John Patrick; Blazquez, Alejandro; Cazenave, Anny; Church, John A.; Cowley, Rebecca; Cheng, Lijing; Domingues, Catia M.; Giglio, Donata; Gouretski, Viktor; Ishii, Masayoshi; Johnson, Gregory C.; Killick, Rachel E.; Legler, David; Llovel, William; Lyman, John; Palmer, Matthew Dudley; Piotrowicz, Steve; Purkey, Sarah G.; Roemmich, Dean; Roca, Rmy; Savita, Abhishek; von Schuckmann, Karina; Speich, Sabrina; Stephens, Graeme; Wang, Gongjie; Wijffels, Susan Elisabeth; Zilberman, Nathalie</t>
  </si>
  <si>
    <t>Measuring Global Ocean Heat Content to Estimate the Earth Energy Imbalance</t>
  </si>
  <si>
    <t>ocean heat content; sea level; ocean mass; ocean surface fluxes; ARGO; altimetry; GRACE; Earth Energy Imbalance</t>
  </si>
  <si>
    <t>MEAN SEA-LEVEL; SATELLITE ALTIMETRY; BULK PARAMETERIZATION; ATMOSPHERE RADIATION; DATA ASSIMILATION; PROFILING FLOATS; ARCTIC-OCEAN; WATER-VAPOR; PATH DELAYS; SURFACE</t>
  </si>
  <si>
    <t>The energy radiated by the Earth toward space does not compensate the incoming radiation from the Sun leading to a small positive energy imbalance at the top of the atmosphere (0.4-1 Wm(-2)). This imbalance is coined Earth's Energy Imbalance (EEI). It is mostly caused by anthropogenic greenhouse gas emissions and is driving the current warming of the planet. Precise monitoring of EEI is critical to assess the current status of climate change and the future evolution of climate. But the monitoring of EEI is challenging as EEI is two orders of magnitude smaller than the radiation fluxes in and out of the Earth system. Over 93% of the excess energy that is gained by the Earth in response to the positive EEI accumulates into the ocean in the form of heat. This accumulation of heat can be tracked with the ocean observing system such that today, the monitoring of Ocean Heat Content (OHC) and its long-term change provide the most efficient approach to estimate EEI. In this community paper we review the current four state-of-the-art methods to estimate global OHC changes and evaluate their relevance to derive EEI estimates on different time scales. These four methods make use of: (1) direct observations of in situ temperature; (2) satellite-based measurements of the ocean surface net heat fluxes; (3) satellite-based estimates of the thermal expansion of the ocean and (4) ocean reanalyses that assimilate observations from both satellite and in situ instruments. For each method we review the potential and the uncertainty of the method to estimate global OHC changes. We also analyze gaps in the current capability of each method and identify ways of progress for the future to fulfill the requirements of EEI monitoring. Achieving the observation of EEI with sufficient accuracy will depend on merging the remote sensing techniques with in situ measurements of key variables as an integral part of the Ocean Observing System.</t>
  </si>
  <si>
    <t>[Meyssignac, Benoit; Blazquez, Alejandro; Cazenave, Anny; Llovel, William; Roca, Rmy] Univ Toulouse, IRD, UPS, CNRS,CNES,LEGOS, Toulouse, France; [Boyer, Tim] NOAA, Natl Ctr Environm Informat, Silver Spring, MD USA; [Zhao, Zhongxiang] Univ Washington, Appl Phys Lab, Seattle, WA 98105 USA; [Hakuba, Maria Z.; Landerer, Felix W.; Stephens, Graeme] CALTECH, Jet Prop Lab, Pasadena, CA USA; [Hakuba, Maria Z.] Colorado State Univ, Dept Atmospher Sci, Ft Collins, CO 80523 USA; [Stammer, Detlef; Koehl, Armin] Univ Hamburg, Ctr Erdsyst Forsch &amp; Nachhaltigkeit, Hamburg, Germany; [Kato, Seiji] NASA, Langley Res Ctr, Hampton, VA 23665 USA; [L'Ecuyer, Tristan] Univ Wisconsin, Dept Atmospher &amp; Ocean Sci, Madison, WI USA; [Ablain, Michael] Collecte Localisat Satellite, Ramonville St Agne, France; [Abraham, John Patrick] Univ St Thomas, St Paul, MN USA; [Church, John A.] Univ New South Wales, Climate Change Res Ctr, Sydney, NSW, Australia; [Cowley, Rebecca] Commonwealth Sci &amp; Ind Res Org, Climate Sci Ctr, Hobart, Tas, Australia; [Cheng, Lijing] Chinese Acad Sci, Int Ctr Climate &amp; Environm Sci, Inst Atmospher Phys, Beijing, Peoples R China; [Domingues, Catia M.; Savita, Abhishek] Univ Tasmania, Inst Marine &amp; Antarctic Studies, Hobart, Tas, Australia; [Domingues, Catia M.] Antarctic Climate &amp; Ecosyst Cooperat Res Ctr, Hobart, Tas, Australia; [Domingues, Catia M.; Savita, Abhishek] Australian Res Council, Ctr Excellence Climate Syst Sci, Hobart, Tas, Australia; [Giglio, Donata; Roemmich, Dean; Zilberman, Nathalie] Univ Colorado, Dept Atmospher &amp; Ocean Sci, Boulder, CO 80309 USA; [Gouretski, Viktor] Univ Hamburg, Ctr Earth Syst Res &amp; Sustainabil, Integrated Climate Data Ctr, CliSAP, Hamburg, Germany; [Ishii, Masayoshi] Japan Meteorol Agcy, Meteorol Res Inst, Tsukuba, Ibaraki, Japan; [Johnson, Gregory C.; Lyman, John] NOAA, Pacific Marine Environm Lab, 7600 Sand Point Way Ne, Seattle, WA 98115 USA; [Killick, Rachel E.; Palmer, Matthew Dudley] Hadley Ctr, Met Off, Exeter, Devon, England; [Legler, David; Piotrowicz, Steve] NOAA, Climate Program Off, Silver Spring, MD USA; [Lyman, John] Univ Hawaii Manoa, Joint Inst Marine &amp; Atmospher Res, Honolulu, HI 96822 USA; [Purkey, Sarah G.] Univ Calif San Diego, Scripps Inst Oceanog, La Jolla, CA 92093 USA; [von Schuckmann, Karina] Mercator Ocean Int, Ramonville St Agne, France; [Speich, Sabrina] Ecole Normale Super, Lab Meteorol Dynam, Paris, France; [Wang, Gongjie] Natl Univ Def Technol, Coll Meteorol &amp; Oceanog, Nanjing, Jiangsu, Peoples R China; [Wijffels, Susan Elisabeth] Woods Hole Oceanog Inst, Woods Hole, MA 02543 USA</t>
  </si>
  <si>
    <t>Universite de Toulouse; Universite Toulouse III - Paul Sabatier; Centre National de la Recherche Scientifique (CNRS); Institut de Recherche pour le Developpement (IRD); Laboratoire d'Etudes en Geophysique et oceanographie spatiales; National Oceanic Atmospheric Admin (NOAA) - USA; University of Washington; University of Washington Seattle; California Institute of Technology; National Aeronautics &amp; Space Administration (NASA); NASA Jet Propulsion Laboratory (JPL); Colorado State University; University of Hamburg; National Aeronautics &amp; Space Administration (NASA); NASA Langley Research Center; University of Wisconsin System; University of Wisconsin Madison; University of St Thomas Minnesota; University of New South Wales Sydney; Commonwealth Scientific &amp; Industrial Research Organisation (CSIRO); Chinese Academy of Sciences; Institute of Atmospheric Physics, CAS; University of Tasmania; Antarctic Climate &amp; Ecosystems Cooperative Research Centre (ACE CRC); University of Colorado System; University of Colorado Boulder; University of Hamburg; Meteorological Research Institute - Japan; Japan Meteorological Agency; National Oceanic Atmospheric Admin (NOAA) - USA; Met Office - UK; Hadley Centre; National Oceanic Atmospheric Admin (NOAA) - USA; University of Hawaii System; University of Hawaii Manoa; University of California System; University of California San Diego; Scripps Institution of Oceanography; Universite PSL; Ecole Normale Superieure (ENS); Sorbonne Universite; National University of Defense Technology - China; Woods Hole Oceanographic Institution</t>
  </si>
  <si>
    <t>Meyssignac, B (corresponding author), Univ Toulouse, IRD, UPS, CNRS,CNES,LEGOS, Toulouse, France.</t>
  </si>
  <si>
    <t>benoit.meyssignac@legos.obs-mip.fr</t>
  </si>
  <si>
    <t>Hakuba, Maria/GLR-1621-2022; Legler, David/AAB-7918-2019; cheng, lijing/W-2261-2017; Speich, Sabrina/L-3780-2014; Landerer, Felix W/ABG-2849-2021; Wijffels, Susan E/I-8215-2012; von Schuckmann, Karina/AAZ-8897-2021; Church, John A/A-1541-2012; Domingues, Catia M./A-2901-2015; LLOVEL, William/G-6930-2016; Cowley, Rebecca/E-4258-2013; Johnson, Gregory C/I-6559-2012; Killick, Rachel/ISA-5992-2023; Blazquez, Alejandro/ABG-8446-2020; Hakuba, Maria/AAM-7435-2021; Cowley, Rebecca/ABB-7811-2021; Meyssignac, Benoit/GLQ-5451-2022; Giglio, Donata/AAD-5483-2021; L'Ecuyer, Tristan S/E-5607-2012; Kohl, Armin/I-9378-2014; Keyes, Dennis/AAZ-9285-2021; Purkey, Sarah G/K-1983-2012; Zhao, Zhongxiang/A-1918-2012; ROCA, Remy/X-9325-2019</t>
  </si>
  <si>
    <t>Hakuba, Maria/0000-0001-9895-4053; cheng, lijing/0000-0002-9854-0392; Speich, Sabrina/0000-0002-5452-8287; Landerer, Felix W/0000-0003-2678-095X; von Schuckmann, Karina/0000-0002-9922-8528; Church, John A/0000-0002-7037-8194; Domingues, Catia M./0000-0001-5100-4595; Cowley, Rebecca/0000-0001-8541-3573; Johnson, Gregory C/0000-0002-8023-4020; Killick, Rachel/0000-0001-5335-4097; Blazquez, Alejandro/0000-0002-7719-7468; Cowley, Rebecca/0000-0001-8541-3573; Meyssignac, Benoit/0000-0001-6325-9843; Giglio, Donata/0000-0002-3738-4293; L'Ecuyer, Tristan S/0000-0002-7584-4836; Kohl, Armin/0000-0002-9777-674X; Zhao, Zhongxiang/0000-0002-5897-089X; ROCA, Remy/0000-0003-1843-0204; Purkey, Sarah/0000-0002-1893-6224; Lyman, John/0000-0002-7200-4663; Wijffels, Susan/0000-0002-4717-0811; Palmer, Matthew/0000-0001-7422-198X; Llovel, william/0000-0002-0798-7595; Savita, Abhishek/0000-0003-2800-3636</t>
  </si>
  <si>
    <t>NOAA Research; Met Office Hadley Centre Climate Programme - BEIS; Defra; Centre for Southern Hemisphere Oceans Research, a joint research centre between QNLM and CSIRO; Australian Research Council and its Centre of Excellence for Climate Extremes (CLEX) [FT130101532, DP160103130]; Scientific Committee on Oceanic Research (SCOR) Working Group - National SCOR Committees [148]; U.S. National Science Foundation [OCE-1546580]; Intergovernmental Oceanographic Commission of UNESCO/International Oceanographic Data and Information Exchange (IOC/IODE) IQuOD Steering Group; National Aeronautics and Space Administration [NNX17AH14G]; National Key Research and Development Program of China [2017YFA0603200, 2016YFC1401800]</t>
  </si>
  <si>
    <t>NOAA Research(National Oceanic Atmospheric Admin (NOAA) - USA); Met Office Hadley Centre Climate Programme - BEIS; Defra(Department for Environment, Food &amp; Rural Affairs (DEFRA)); Centre for Southern Hemisphere Oceans Research, a joint research centre between QNLM and CSIRO; Australian Research Council and its Centre of Excellence for Climate Extremes (CLEX)(Australian Research Council); Scientific Committee on Oceanic Research (SCOR) Working Group - National SCOR Committees; U.S. National Science Foundation(National Science Foundation (NSF)); Intergovernmental Oceanographic Commission of UNESCO/International Oceanographic Data and Information Exchange (IOC/IODE) IQuOD Steering Group; National Aeronautics and Space Administration(National Aeronautics &amp; Space Administration (NASA)); National Key Research and Development Program of China</t>
  </si>
  <si>
    <t>GJ was supported by the NOAA Research. MP and RK were supported by the Met Office Hadley Centre Climate Programme funded by BEIS and Defra. JC was partially supported by the Centre for Southern Hemisphere Oceans Research, a joint research centre between QNLM and CSIRO. CD and AS were funded by the Australian Research Council (FT130101532 and DP160103130) and its Centre of Excellence for Climate Extremes (CLEX). IQuOD team members (TB, RC, LC, CD, VG, MI, MP, and SW) were supported by the Scientific Committee on Oceanic Research (SCOR) Working Group 148, funded by the National SCOR Committees and a grant to SCOR from the U.S. National Science Foundation (Grant OCE-1546580), as well as the Intergovernmental Oceanographic Commission of UNESCO/International Oceanographic Data and Information Exchange (IOC/IODE) IQuOD Steering Group. ZZ was supported by the National Aeronautics and Space Administration (NNX17AH14G). LC was supported by the National Key Research and Development Program of China (2017YFA0603200 and 2016YFC1401800).</t>
  </si>
  <si>
    <t>10.3389/fmars.2019.00432</t>
  </si>
  <si>
    <t>IS9PT</t>
  </si>
  <si>
    <t>Green Published, gold, Green Submitted, Green Accepted</t>
  </si>
  <si>
    <t>Y</t>
  </si>
  <si>
    <t>N</t>
  </si>
  <si>
    <t>WOS:000482481100001</t>
  </si>
  <si>
    <t>Wang, K; Zhang, HS; Han, XB; Qiu, WX</t>
  </si>
  <si>
    <t>Wang, Kui; Zhang, Haisheng; Han, Xibin; Qiu, Wenxian</t>
  </si>
  <si>
    <t>Sources and burial fluxes of sedimentary organic carbon in the northern Bering Sea and the northern Chukchi Sea in response to global warming</t>
  </si>
  <si>
    <t>Northern Bering Sea; Northern Chukchi Sea; Organic carbon source; Burial flux</t>
  </si>
  <si>
    <t>ARCTIC-OCEAN; COASTAL SEDIMENTS; ICE EXTENT; SHELF-EDGE; MATTER; TEMPERATURE; EROSION; MARINE; CYCLE; WATER</t>
  </si>
  <si>
    <t>The Arctic and subarctic seas are the major CO2 sink areas on earth. In this study, the vertical variation characteristics of organic carbon, total nitrogen and their ratio (C-org/N-t), stable isotopes delta C-13 and delta N-15, and BIT (branched and isoprenoid tetraether) index of GDGTs (glycerol dialkyl glycerol tetraethers) in combination with Pb-210-dating were used to analyze the changes in the marine and terrestrial sources of organic carbon in the northern Bering Sea (site 1), western Beaufort Sea slope (site 2) and northern Chukchi Sea (site 3). Organic carbon burial fluxes (OCBF) in the context of global warming were also explored at sites 1 and 3. The results showed that organic matter in these sediments were a mixed input of marine and terrestrial sources, and the BIT index and delta C-13 of site 2 suggested that the terrestrial soil organic matter was dominant. Based on a combination of Pb-210 dating and C-org, the sedimentary OCBF at site 1 was 229-3.65 mg cm(-2) y(-1). and at site 3 was 0.00-0.41 mg cm(-2) y(-1). The temperature anomalies and sea ice changes in the Arctic in the past 100 years were compared with the burial fluxes of the terrestrial organic carbon. At site 1. the results indicated that fast melting of seasonal sea ice led to earlier arrival of ice algae bloom, enhanced zooplankton feeding and reduced carbon burial from 1947 to 2010, and the sudden increase in carbon burial after 2010 was attributed loan increase in primary productivity and terrestrial organic matter input due to an accelerated melting of sea ice. There was a smaller change in marine organic carbon content in site 3, but OCBF increased alter a pre-1965 decrease, mainly controlled by terrestrial organic matter input associated with temperature rising and sea ice melting during recent decades. (C) 2019 Elsevier B.V. All rights reserved.</t>
  </si>
  <si>
    <t>[Wang, Kui; Zhang, Haisheng] State Ocean Adm, Key Lab Marine Ecosyst &amp; Biogeochem, Hangzhou 310012, Zhejiang, Peoples R China; [Han, Xibin] State Ocean Adm, Key Lab Submarine Geosci, Hangzhou 310012, Zhejiang, Peoples R China; [Wang, Kui; Zhang, Haisheng; Han, Xibin] Minist Nat Resources, Inst Oceanog 2, Hangzhou 310012, Zhejiang, Peoples R China; [Qiu, Wenxian] Zhejiang Univ, Guanghua Law Sch, Hangzhou 310008, Zhejiang, Peoples R China</t>
  </si>
  <si>
    <t>Ministry of Natural Resources of the People's Republic of China; Zhejiang University</t>
  </si>
  <si>
    <t>Qiu, WX (corresponding author), Zhejiang Univ, Guanghua Law Sch, Hangzhou 310008, Zhejiang, Peoples R China.</t>
  </si>
  <si>
    <t>0015935@zju.edu.cn</t>
  </si>
  <si>
    <t>National Natural Science Foundation of China [41276199]; Chinese Projects for Investigations and Assessments of the Arctic and Antarctic [03-04, 04-03]</t>
  </si>
  <si>
    <t>National Natural Science Foundation of China(National Natural Science Foundation of China (NSFC)); Chinese Projects for Investigations and Assessments of the Arctic and Antarctic</t>
  </si>
  <si>
    <t>LThe authors would like to thank the crew of the research vessel Xuelong and the geology group for their support in sampling and logistics. We also thank Prof. B. Lu (Second Institute of Oceanography, State Oceanic Administration) for the technical support and helpful comments. This study was jointly supported by the National Natural Science Foundation of China (No. 41276199), Chinese Projects for Investigations and Assessments of the Arctic and Antarctic (CHINARE 2012-2016 for 03-04 and 04-03). The field data analyzed in this study may be obtained by contacting the corresponding author (0015935@zju.edu.cn).</t>
  </si>
  <si>
    <t>10.1016/j.scitotenv.2019.04.374</t>
  </si>
  <si>
    <t>HZ1PN</t>
  </si>
  <si>
    <t>WOS:000468619200011</t>
  </si>
  <si>
    <t>Lee, CW; Yoo, W; Park, SH; Lee, LTHL; Jeong, CS; Ryu, BH; Shin, SC; Kim, HW; Park, H; Kim, KK; Kim, TD; Lee, JH</t>
  </si>
  <si>
    <t>Lee, Chang Woo; Yoo, Wanki; Park, Sun-Ha; Ly Thi Huong Luu Lee; Jeong, Chang-Sook; Ryu, Bum Han; Shin, Seung Chul; Kim, Han-Woo; Park, Hyun; Kim, Kyeong Kyu; Kim, T. Doohun; Lee, Jun Hyuck</t>
  </si>
  <si>
    <t>Structural and functional characterization of a novel cold-active S-formylglutathione hydrolase (SfSFGH) homolog from Shewanella frigidimarina, a psychrophilic bacterium</t>
  </si>
  <si>
    <t>MICROBIAL CELL FACTORIES</t>
  </si>
  <si>
    <t>Crystal structure; S-Formylglutathione hydrolase; Substrate specificity; Shewanella frigidimarina; Mutagenesis</t>
  </si>
  <si>
    <t>HUMAN ESTERASE-D; SACCHAROMYCES-CEREVISIAE; CRYSTAL-STRUCTURE; MOLECULAR-BASIS; GENETIC-MARKER; FORMALDEHYDE; PURIFICATION; RESISTANCE; CLONING; SYSTEM</t>
  </si>
  <si>
    <t>BackgroundS-Formylglutathione is hydrolyzed to glutathione and formate by an S-formylglutathione hydrolase (SFGH) (3.1.2.12). This thiol esterase belongs to the esterase family and is also known as esterase D. SFGHs contain highly conserved active residues of Ser-Asp-His as a catalytic triad at the active site. Characterization and investigation of SFGH from Antarctic organisms at the molecular level is needed for industrial use through protein engineering.ResultsA novel cold-active S-formylglutathione hydrolase (SfSFGH) from Shewanella frigidimarina, composed of 279 amino acids with a molecular mass of similar to 31.0kDa, was characterized. Sequence analysis of SfSFGH revealed a conserved pentapeptide of G-X-S-X-G found in various lipolytic enzymes along with a putative catalytic triad of Ser148-Asp224-His257. Activity analysis showed that SfSFGH was active towards short-chain esters, such as p-nitrophenyl acetate, butyrate, hexanoate, and octanoate. The optimum pH for enzymatic activity was slightly alkaline (pH 8.0). To investigate the active site configuration of SfSFGH, we determined the crystal structure of SfSFGH at 2.32 angstrom resolution. Structural analysis shows that a Trp182 residue is located at the active site entrance, allowing it to act as a gatekeeper residue to control substrate binding to SfSFGH. Moreover, SfSFGH displayed more than 50% of its initial activity in the presence of various chemicals, including 30% EtOH, 1% Triton X-100, 1% SDS, and 5M urea.ConclusionsMutation of Trp182 to Ala allowed SfSFGH to accommodate a longer chain of substrates. It is thought that the W182A mutation increases the substrate-binding pocket and decreases the steric effect for larger substrates in SfSFGH. Consequently, the W182A mutant has a broader substrate specificity compared to wild-type SfSFGH. Taken together, this study provides useful structure-function data of a SFGH family member and may inform protein engineering strategies for industrial applications of SfSFGH.</t>
  </si>
  <si>
    <t>[Lee, Chang Woo; Park, Sun-Ha; Jeong, Chang-Sook; Shin, Seung Chul; Kim, Han-Woo; Lee, Jun Hyuck] Korea Polar Res Inst, Unit Polar Genom, Incheon 21990, South Korea; [Yoo, Wanki; Ly Thi Huong Luu Lee; Ryu, Bum Han; Kim, T. Doohun] Sookmyung Womans Univ, Coll Nat Sci, Dept Chem, Seoul 04310, South Korea; [Yoo, Wanki; Ryu, Bum Han; Kim, Kyeong Kyu] Sungkyunkwan Univ, Samsung Biomed Res Inst, Dept Mol Cell Biol, Sch Med, Suwon 16419, South Korea; [Jeong, Chang-Sook; Kim, Han-Woo; Lee, Jun Hyuck] Univ Sci &amp; Technol, Dept Polar Sci, Incheon 21990, South Korea; [Park, Hyun] Korea Univ, Coll Life Sci &amp; Biotechnol, Div Biotechnol, Seoul 02841, South Korea; [Park, Sun-Ha] Infrastruct Project Org Global Industrializat Vac, Publ CDMO Microbial Based Vaccine, Hwasun 58141, South Korea</t>
  </si>
  <si>
    <t>Korea Polar Research Institute (KOPRI); Sungkyunkwan University (SKKU); Korea University</t>
  </si>
  <si>
    <t>Lee, JH (corresponding author), Korea Polar Res Inst, Unit Polar Genom, Incheon 21990, South Korea.;Kim, TD (corresponding author), Sookmyung Womans Univ, Coll Nat Sci, Dept Chem, Seoul 04310, South Korea.;Lee, JH (corresponding author), Univ Sci &amp; Technol, Dept Polar Sci, Incheon 21990, South Korea.</t>
  </si>
  <si>
    <t>doohunkim@sookmyung.ac.kr; junhyucklee@kopri.re.kr</t>
  </si>
  <si>
    <t>kim, doohun/AAC-4528-2019; Kim, Kyeong Kyu/ABH-1988-2020</t>
  </si>
  <si>
    <t>Kim, Kyeong Kyu/0000-0003-2515-8894; Park, Hyun/0000-0002-8055-2010</t>
  </si>
  <si>
    <t>Korea Polar Research Institute [PE19210]; National Research Foundation of Korea (NRF) - Ministry of Science, ICT and Future Planning (MSIP) (NRF) [NRF-2017M1A5A1013568]; National Research Foundation of Korea (NRF) - Ministry of Science, ICT and Future Planning (MSIP) (KOPRI) [PN19082]; National Research Foundation of Korea - Korean Government [NRF-2017M1A5A1013569, NRF-2018R1D1A1B07044447]</t>
  </si>
  <si>
    <t>Korea Polar Research Institute(Korea Polar Research Institute of Marine Research Placement (KOPRI)); National Research Foundation of Korea (NRF) - Ministry of Science, ICT and Future Planning (MSIP) (NRF)(National Research Foundation of Korea); National Research Foundation of Korea (NRF) - Ministry of Science, ICT and Future Planning (MSIP) (KOPRI)(National Research Foundation of KoreaKorea Polar Research Institute of Marine Research Placement (KOPRI)); National Research Foundation of Korea - Korean Government(National Research Foundation of KoreaKorean Government)</t>
  </si>
  <si>
    <t>This work was supported by the Korea Polar Research Institute (Grant Number PE19210 to JHL). This work was also supported by the National Research Foundation of Korea (NRF) funded by the Ministry of Science, ICT and Future Planning (MSIP) [application study on Arctic cold-active enzymes degrading organic carbon compounds; NRF Grant Number NRF-2017M1A5A1013568 and KOPRI Grant Number PN19082 to H-WK]. This work was also supported by a grant from the National Research Foundation of Korea funded by the Korean Government (NRF-2017M1A5A1013569 and NRF-2018R1D1A1B07044447 to TDK).</t>
  </si>
  <si>
    <t>BMC</t>
  </si>
  <si>
    <t>CAMPUS, 4 CRINAN ST, LONDON N1 9XW, ENGLAND</t>
  </si>
  <si>
    <t>1475-2859</t>
  </si>
  <si>
    <t>MICROB CELL FACT</t>
  </si>
  <si>
    <t>Microb. Cell. Fact.</t>
  </si>
  <si>
    <t>AUG 19</t>
  </si>
  <si>
    <t>10.1186/s12934-019-1190-1</t>
  </si>
  <si>
    <t>Biotechnology &amp; Applied Microbiology</t>
  </si>
  <si>
    <t>IU0TY</t>
  </si>
  <si>
    <t>WOS:000483291900002</t>
  </si>
  <si>
    <t>Linhardt, T; Levy, JS; Thomas, CK</t>
  </si>
  <si>
    <t>Linhardt, Tobias; Levy, Joseph S.; Thomas, Christoph K.</t>
  </si>
  <si>
    <t>Water tracks intensify surface energy and mass exchange in the Antarctic McMurdo Dry Valleys</t>
  </si>
  <si>
    <t>CRYOSPHERE</t>
  </si>
  <si>
    <t>TAYLOR VALLEY; POLAR DESERT; ACTIVE-LAYER; PERMAFROST; LANDSCAPE; HEAT; FLUX; GEOCHEMISTRY; TEMPERATURE; ECOSYSTEMS</t>
  </si>
  <si>
    <t>The hydrologic cycle in the Antarctic McMurdo Dry Valleys (MDV) is mainly controlled by surface energy balance. Water tracks are channel-shaped high-moisture zones in the active layer of permafrost soils and are important solute and water pathways in the MDV. We evaluated the hypothesis that water tracks alter the surface energy balance in this dry, cold, and ice-sheet-free environment during summer warming and may therefore be an increasingly important hydrologic feature in the MDV in the face of landscape response to climate change. The surface energy balance was measured for one water track and two off-track reference locations in Taylor Valley over 26 d of the Antarctic summer of 2012-2013. Turbulent atmospheric fluxes of sensible heat and evaporation were observed using the eddy-covariance method in combination with flux footprint modeling, which was the first application of this technique in the MDV. Soil heat fluxes were analyzed by measuring the heat storage change in the thawed layer and approximating soil heat flux at ice table depth by surface energy balance residuals. For both water track and reference locations over 50 % of net radiation was transferred to sensible heat exchange, about 30 % to melting of the seasonally thawed layer, and the remainder to evaporation. The net energy flux in the thawed layer was zero. For the water track location, evaporation was increased by a factor of 3.0 relative to the reference locations, ground heat fluxes by 1.4, and net radiation by 1.1, while sensible heat fluxes were reduced down to 0.7. Expecting a positive snow and ground ice melt response to climate change in the MDV, we entertained a realistic climate change response scenario in which a doubling of the land cover fraction of water tracks increases the evaporation from soil surfaces in lower Taylor Valley in summer by 6 % to 0.36 mm d(-1). Possible climate change pathways leading to this change in landscape are discussed. Considering our results, an expansion of water track area would make new soil habitats accessible, alter soil habitat suitability, and possibly increase biological activity in the MDV. In summary, we show that the surface energy balance of water tracks distinctly differs from that of the dominant dry soils in polar deserts. With an expected increase in area covered by water tracks, our findings have implications for hydrology and soil ecosystems across terrestrial Antarctica.</t>
  </si>
  <si>
    <t>[Linhardt, Tobias; Thomas, Christoph K.] Univ Bayreuth, Micrometeorol Grp, Bayreuth, Bavaria, Germany; [Levy, Joseph S.] Colgate Univ, Dept Geol, Hamilton, NY 13346 USA; [Thomas, Christoph K.] Univ Bayreuth, Bayreuth Ctr Ecol &amp; Environm Res BayCEER, Bayreuth, Bavaria, Germany</t>
  </si>
  <si>
    <t>University of Bayreuth; Colgate University; University of Bayreuth</t>
  </si>
  <si>
    <t>Linhardt, T (corresponding author), Univ Bayreuth, Micrometeorol Grp, Bayreuth, Bavaria, Germany.</t>
  </si>
  <si>
    <t>tobias.linhardt@uni-bayreuth.de</t>
  </si>
  <si>
    <t>Thomas, Christoph K/I-5751-2012</t>
  </si>
  <si>
    <t>Thomas, Christoph K/0000-0003-2277-6013; Linhardt, Tobias/0000-0002-2084-9939; Levy, Joseph/0000-0002-6222-139X</t>
  </si>
  <si>
    <t>NSF OPP [1343649]; Directorate For Geosciences; Office of Polar Programs (OPP) [1343649] Funding Source: National Science Foundation</t>
  </si>
  <si>
    <t>NSF OPP(National Science Foundation (NSF)NSF - Directorate for Geosciences (GEO)); Directorate For Geosciences; Office of Polar Programs (OPP)(National Science Foundation (NSF)NSF - Directorate for Geosciences (GEO))</t>
  </si>
  <si>
    <t>This work was supported in part through NSF OPP award no. 1343649 to Joseph S. Levy.</t>
  </si>
  <si>
    <t>1994-0416</t>
  </si>
  <si>
    <t>1994-0424</t>
  </si>
  <si>
    <t>Cryosphere</t>
  </si>
  <si>
    <t>10.5194/tc-13-2203-2019</t>
  </si>
  <si>
    <t>IS2MZ</t>
  </si>
  <si>
    <t>WOS:000481989700003</t>
  </si>
  <si>
    <t>Veloso-Alarcón, ME; Janson, P; De Batist, M; Minshull, TA; Westbrook, GK; Pälikes, H; Bünz, S; Wright, I; Greinert, J</t>
  </si>
  <si>
    <t>Veloso-Alarcon, Mario E.; Janson, Paer; De Batist, Marc; Minshull, Timothy A.; Westbrook, Graham K.; Paelikes, Heiko; Buenz, Stefan; Wright, Ian; Greinert, Jens</t>
  </si>
  <si>
    <t>Variability of Acoustically Evidenced Methane Bubble Emissions Offshore Western Svalbard</t>
  </si>
  <si>
    <t>CLIMATE-CHANGE; WATER COLUMN; SEA-FLOOR; LANDWARD LIMIT; GAS EMISSIONS; ARCTIC-OCEAN; SEEP AREA; HYDRATE; SEDIMENTS; QUANTIFICATION</t>
  </si>
  <si>
    <t>Large reservoirs of methane present in Arctic marine sediments are susceptible to rapid warming, promoting increasing methane emissions. Gas bubbles in the water column can be detected, and flow rates can be quantified using hydroacoustic survey methods, making it possible to monitor spatiotemporal variability. We present methane (CH4) bubble flow rates derived from hydroacoustic data sets acquired during 11 research expeditions to the western Svalbard continental margin (2008-2014). Three seepage areas emit in total 725-1,125 t CH4/year, and bubble fluxes are up to 2 kg.m(-2).year (-1). Bubble fluxes vary between different surveys, but no clear trend can be identified. Flux variability analyses suggest that two areas are geologically interconnected, displaying alternating flow changes. Spatial migration of bubble seepage was observed to follow seasonal changes in the theoretical landward limit of the hydrate stability zone, suggesting that formation/dissociation of shallow hydrates, modulated by bottom water temperatures, influences seafloor bubble release. Plain Language Summary It has been speculated that the release of methane (a potent greenhouse gas) from the seafloor in some Arctic Ocean regions is triggered by warming seawater. Emissions of gas bubbles from the seafloor can be detected by ship-mounted sonars. In 2008, a methane seepage area west of Svalbard was hydroacoustically detected for the first time. This seepage was hypothesized to be caused by dissociation of hydrates (ice-like crystals consisting of methane and water) due to ocean warming. We present an analysis of sonar data from 11 surveys conducted between 2008 and 2014. This study is the first comparison of methane seepage-related hydroacoustic data over such a long period. The hydroacoustic mapping and quantification method allowed us to assess the locations and intensity of gas bubble release, and how these parameters change over time, providing necessary data for numerical flux and climate models. No trend of increasing gas flow was identified. However, we observed seasonal variations potentially controlled by seasonal formation and dissociation of shallow hydrates. The hydrate formation/dissociation process is likely controlled by changes of bottom water temperatures. Alternating gas emissions between two neighboring areas indicate the existence of fluid pathway networks within the sediments.</t>
  </si>
  <si>
    <t>[Veloso-Alarcon, Mario E.; Greinert, Jens] GEOMAR Helmholtz Ctr Ocean Res Kiel, Kiel, Germany; [Veloso-Alarcon, Mario E.; De Batist, Marc; Greinert, Jens] Univ Ghent, Renard Ctr Marine Geol, Ghent, Belgium; [Veloso-Alarcon, Mario E.] Univ Andres Bello, Fac Ingn, Villa Del Mar, Chile; [Janson, Paer; Buenz, Stefan] UiT Arctic Univ Norway, Dept Geosci, Ctr Arctic Gas Hydrate Environm &amp; Climate, Tromso, Norway; [Minshull, Timothy A.; Paelikes, Heiko] Univ Southampton, Natl Oceanog Ctr Southampton, Southampton, Hants, England; [Westbrook, Graham K.] Univ Birmingham, Sch Geog Earth &amp; Environm Sci, Edgbaston, England; [Wright, Ian] Univ Canterbury, Vice Chancellors Off, Christchurch, New Zealand; [Greinert, Jens] Christian Albrechts Univ Kiel, Inst Geosci, Kiel, Germany</t>
  </si>
  <si>
    <t>Helmholtz Association; GEOMAR Helmholtz Center for Ocean Research Kiel; Ghent University; Universidad Andres Bello; UiT The Arctic University of Tromso; NERC National Oceanography Centre; University of Southampton; University of Birmingham; University of Canterbury; University of Kiel</t>
  </si>
  <si>
    <t>Veloso-Alarcón, ME (corresponding author), GEOMAR Helmholtz Ctr Ocean Res Kiel, Kiel, Germany.;Veloso-Alarcón, ME (corresponding author), Univ Ghent, Renard Ctr Marine Geol, Ghent, Belgium.;Veloso-Alarcón, ME (corresponding author), Univ Andres Bello, Fac Ingn, Villa Del Mar, Chile.</t>
  </si>
  <si>
    <t>mveloso@geomar.de</t>
  </si>
  <si>
    <t>De Batist, Marc/F-5722-2012; Wright, Ian/AAX-4848-2020; Pälike, Heiko/A-6560-2008; Minshull, Tim/HPC-6052-2023; Wright, Ian C/B-9643-2008; Minshull, Timothy/D-1147-2010</t>
  </si>
  <si>
    <t>De Batist, Marc/0000-0002-1625-2080; Wright, Ian/0000-0002-6660-0493; Pälike, Heiko/0000-0003-3386-0923; Westbrook, Graham/0000-0002-2260-6033; Jansson, Par/0000-0002-6729-9428; Greinert, Jens/0000-0001-6186-8573; Bunz, Stefan/0000-0002-9215-7325; Minshull, Timothy/0000-0002-8202-1379; Veloso-Alarcon, Mario Enrique/0000-0002-9650-9471</t>
  </si>
  <si>
    <t>Arctic University of Norway [N-9037]; COST Action [ES0902]; ERASMUS Mundus program of the EU; (VECCEU) [CONICYT PAI/INDUSTRIA 79090016]; Chilean government; Centre of Excellence: Arctic Gas Hydrate, Environment and Climate (CAGE) - Norwegian Research Council [223259]; Royal Society Wolfson Research Merit award; Natural Environment Research Council [NE/D005728, NE/H002732/1, NE/H022260/1]; NERC [NE/H022732/1, NE/H022260/1, NE/D005728/2, noc010011] Funding Source: UKRI</t>
  </si>
  <si>
    <t>Arctic University of Norway; COST Action(European Cooperation in Science and Technology (COST)); ERASMUS Mundus program of the EU; (VECCEU); Chilean government; Centre of Excellence: Arctic Gas Hydrate, Environment and Climate (CAGE) - Norwegian Research Council; Royal Society Wolfson Research Merit award(Royal Society); Natural Environment Research Council(UK Research &amp; Innovation (UKRI)Natural Environment Research Council (NERC)); NERC(UK Research &amp; Innovation (UKRI)Natural Environment Research Council (NERC))</t>
  </si>
  <si>
    <t>We thank the crewmembers of RV Helmer Hanssen (UiT the Arctic University of Norway, N-9037 Tromso) and RRS James Clark Ross (British Antarctic Survey) for support. M. V. and J. G. both received support via COST Action ES0902 (PERGAMON) to join research cruises and acquire data. M. V. thanks the ERASMUS Mundus program of the EU (grant VECCEU) and the BECAS CHILE: CONICYT PAI/INDUSTRIA 79090016program of the Chilean government. P. J. was supported by the Centre of Excellence: Arctic Gas Hydrate, Environment and Climate (CAGE) funded by the Norwegian Research Council (Grant 223259). T. A. M. was supported by a Royal Society Wolfson Research Merit award. Data acquisition on RRS James Clark Ross was supported by Natural Environment Research Council Grants NE/D005728, NE/H002732/1, and NE/H022260/1. We thank Joana Beja De Almeida E Silva for giving us technical support with data supplied by the National Oceanography Centre. We finally thank the reviewers for their valuable feedback toward improving our manuscript. EK60 data are available at PANGAEA (https://doi.org/10.1594/PANGAEA.902832). This is publication 45 of the Deep Sea Monitoring Group at GEOMAR.</t>
  </si>
  <si>
    <t>AUG 16</t>
  </si>
  <si>
    <t>10.1029/2019GL082750</t>
  </si>
  <si>
    <t>IU8DP</t>
  </si>
  <si>
    <t>Green Published, Green Accepted</t>
  </si>
  <si>
    <t>WOS:000483812500051</t>
  </si>
  <si>
    <t>Patterson, M; Bracegirdle, T; Woollings, T</t>
  </si>
  <si>
    <t>Patterson, Matthew; Bracegirdle, Thomas; Woollings, Tim</t>
  </si>
  <si>
    <t>Southern Hemisphere Atmospheric Blocking in CMIP5 and Future Changes in the Australia-New Zealand Sector</t>
  </si>
  <si>
    <t>WAVE-BREAKING CHARACTERISTICS; STORM-TRACK; SPLIT JET; VARIABILITY; CIRCULATION; CLIMATE; NORTHERN; ATLANTIC; RAINFALL; MODELS</t>
  </si>
  <si>
    <t>Many general circulation models fail to capture the observed frequency of atmospheric blocking events in the Northern Hemisphere; however, few studies have examined models in the Southern Hemisphere and those studies that have, have often been based on only a few models. To provide a comprehensive view of how the current generation of coupled general circulation models performs in the Southern Hemisphere and how blocking frequency changes under enhanced greenhouse gas forcing, we examine the output of 23 models from the Coupled Model Intercomparison Project Phase 5 (CMIP5). We find that models have differing biases during winter, when blocking occurrence is highest, though models underestimate blocking frequency south of Australia during summer. We show that models generally have a reduction in blocking frequency with future anthropogenic forcing, particularly in the Australia-New Zealand sector with the number of winter blocked days reduced by about one third by the end of the 21st century. Plain Language Summary Atmospheric blocking is a process in which an atmospheric wave breaks, diverting the jet stream and any incoming storms to the north or south. A blocking event is characterized by high pressure on the poleward side and low pressure on the equatorward side and persists for upward of 4 days. A key feature of blocks is their persistence, which can lead to events, which have significant impacts on society including heat waves in summer and periods of extreme cold in winter. Climate models often do not simulate enough blocking events, though most research on this problem has focused on the Northern Hemisphere and less is known about the Southern Hemisphere. We survey 23 climate models and show that during winter some models simulate too many blocking events, while others simulate too few, whereas during summer, almost all models simulate too few events to the south of Australia. We also show that with higher concentrations of greenhouse gases we expect there to be less blocking, particularly to the south of Australia and over New Zealand during winter.</t>
  </si>
  <si>
    <t>[Patterson, Matthew; Woollings, Tim] Univ Oxford, Atmospher Ocean &amp; Planetary Phys, Oxford, England; [Patterson, Matthew; Bracegirdle, Thomas] British Antarctic Survey, Cambridge, England</t>
  </si>
  <si>
    <t>University of Oxford; UK Research &amp; Innovation (UKRI); Natural Environment Research Council (NERC); NERC British Antarctic Survey</t>
  </si>
  <si>
    <t>Patterson, M (corresponding author), Univ Oxford, Atmospher Ocean &amp; Planetary Phys, Oxford, England.;Patterson, M (corresponding author), British Antarctic Survey, Cambridge, England.</t>
  </si>
  <si>
    <t>matthew.patterson@physics.ox.ac.uk</t>
  </si>
  <si>
    <t>Bracegirdle, Tom/AAD-6060-2020</t>
  </si>
  <si>
    <t>Patterson, Matthew/0000-0002-9484-8410; Woollings, Tim/0000-0002-5815-9079; Bracegirdle, Thomas/0000-0002-8868-4739</t>
  </si>
  <si>
    <t>Natural Environment Research Council [NE/L002612/1]; NERC [bas0100032] Funding Source: UKRI</t>
  </si>
  <si>
    <t>We would like to thank two anonymous reviewers for their constructive comments which helped to improve the manuscript. We acknowledge ECMWF for the ERA-INTERIM data set and the World Climate Research Programme's Working Group on Coupled Modelling, which is responsible for CMIP. We thank the climate modeling groups (listed in the supporting information) for producing and making available their model output. The ERA-INTERIM data for the work in this paper were downloaded from the ECMWF website (https://www.ecmwf.int/en/forecasts/datasets/browse-reanalysis-datasets), while CMIP5 data were obtained from the BADC archive on the CEDA data server (available here http://data.ceda.ac.uk/badc/).We would also like to thank Marie Drouard for helpful discussions on the blocking code. Matthew Patterson was funded by the Natural Environment Research Council (Grant NE/L002612/1).</t>
  </si>
  <si>
    <t>10.1029/2019GL083264</t>
  </si>
  <si>
    <t>WOS:000483812500073</t>
  </si>
  <si>
    <t>Zhao, YC; Taylor, MJ; Pautet, PD; Moffat-Griffin, T; Hervig, ME; Murphy, DJ; French, WJR; Liu, HL; Pendleton, WR; Russell, JM</t>
  </si>
  <si>
    <t>Zhao, Yucheng; Taylor, M. J.; Pautet, P. -D.; Moffat-Griffin, T.; Hervig, M. E.; Murphy, D. J.; French, W. J. R.; Liu, H. L.; Pendleton, W. R.; Russell, J. M.</t>
  </si>
  <si>
    <t>Investigating an Unusually Large 28-Day Oscillation in Mesospheric Temperature Over Antarctica Using Ground-Based and Satellite Measurements</t>
  </si>
  <si>
    <t>JOURNAL OF GEOPHYSICAL RESEARCH-ATMOSPHERES</t>
  </si>
  <si>
    <t>SOUTH-POLE; LARGE-SCALE; WINTER MESOPAUSE; PLANETARY-WAVES; THERMOSPHERE; OZONE; FLOWS; WIND; MLS; OH</t>
  </si>
  <si>
    <t>The Utah State University Advanced Mesospheric Temperature Mapper was deployed at the Amundsen-Scott South Pole Station in 2010 to measure OH temperature at similar to 87 km as part of an international network to study the mesospheric dynamics over Antarctica. During the austral winter of 2014, an unusually large amplitude similar to 28-day oscillation in mesospheric temperature was observed for similar to 100 days from the South Pole Station. This study investigates the characteristics and global structure of this exceptional planetary-scale wave event utilizing ground-based mesospheric OH temperature measurements from two Antarctic stations (South Pole and Rothera) together with satellite temperature measurements from the Microwave Limb Sounder on the Aura satellite and the Solar Occultation For Ice Experiment on the Aeronomy of Ice in the Mesosphere satellite. Our analyses have revealed that this large oscillation is a wintertime, high-latitude phenomenon, exhibiting a coherent zonal wave #1 structure below 80-km altitude. At higher altitudes, the wave was confined in longitude between 180 degrees E and 360 degrees E. The amplitude of this oscillation reached similar to 15 K at 85 km, and it was observed to grow with altitude as it extended from the stratosphere into the lower thermosphere in the Southern Hemisphere. The satellite data further established the existence of this oscillation in the Northern Hemisphere during the boreal wintertime. The main characteristics and global structure of this event as observed in temperature are consistent with the predicted 28-day Rossby Wave (1,4) mode.</t>
  </si>
  <si>
    <t>[Zhao, Yucheng; Taylor, M. J.; Pautet, P. -D.; Pendleton, W. R.] Utah State Univ, Ctr Atmospher &amp; Space Sci, Logan, UT 84322 USA; [Moffat-Griffin, T.] British Antarctic Survey, Cambridge, England; [Hervig, M. E.] GATS Inc, Newport News, VA USA; [Murphy, D. J.; French, W. J. R.] Australian Antarctic Div, Hobart, Tas, Australia; [Liu, H. L.] NCAR, HAO, Boulder, CO USA; [Russell, J. M.] Hampton Univ, Ctr Atmospher Sci, Hampton, VA 23668 USA</t>
  </si>
  <si>
    <t>Utah System of Higher Education; Utah State University; UK Research &amp; Innovation (UKRI); Natural Environment Research Council (NERC); NERC British Antarctic Survey; Australian Antarctic Division; National Center Atmospheric Research (NCAR) - USA; Hampton University</t>
  </si>
  <si>
    <t>Zhao, YC (corresponding author), Utah State Univ, Ctr Atmospher &amp; Space Sci, Logan, UT 84322 USA.</t>
  </si>
  <si>
    <t>yu.cheng@usu.edu</t>
  </si>
  <si>
    <t>Liu, Han/HMD-9231-2023; Pautet, Pierre-Dominique/HRC-1681-2023; Liu, Han-Li/A-9549-2008</t>
  </si>
  <si>
    <t>Liu, Han/0000-0002-5269-8477; Liu, Han-Li/0000-0002-6370-0704; Murphy, Damian/0000-0003-1738-5560; Taylor, Michael/0000-0002-3796-0836; French, John/0000-0001-9305-6190; Pautet, Pierre-Dominique/0000-0001-9452-7337</t>
  </si>
  <si>
    <t>NSF OPP ANGWIN program [1443730]; NASA AIM mission (Hampton University) [NAS5-03132, 05-17]; NSF [1143587]; Australian Antarctic Science project [4157]; NERC [bas0100032] Funding Source: UKRI; Directorate For Geosciences; Office of Polar Programs (OPP) [1143587] Funding Source: National Science Foundation; Office of Polar Programs (OPP); Directorate For Geosciences [1443730] Funding Source: National Science Foundation</t>
  </si>
  <si>
    <t>NSF OPP ANGWIN program; NASA AIM mission (Hampton University); NSF(National Science Foundation (NSF)); Australian Antarctic Science project; NERC(UK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</si>
  <si>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The AMTM data from SP are available online (http://digitalcommons.usu.edu/ail/.Password to access the database can be provided upon request to the authors). The Rothera temperature data are available online (http://psddb.nerc-bas.ac.uk/data/access/coverage.php? menu= 4&amp; bc= 1&amp; source= 1&amp; class= 46&amp; year= 2014). Davis data are available through a website (http://data.aad.gov.au/metadata/records/Davis_ OH_ airglow). The SOFIE data are available as standard data products online (http://sofie.gats-inc.com/sofie/index.php).MLS data are available online (https://disc.gsfc.nasa.gov/datasets? page= 1&amp; keywords= ML2T_ 004). This investigation was supported by NSF OPP ANGWIN program under contract 1443730 and NASA AIM mission under contract NAS5-03132 (subcontract from Hampton University to Utah State University 05-17). The South Pole data collection was supported by NSF 1143587. We would like to thank the wintering engineer support teams at SP and Rothera and the NERC Polar Data Centre staff. Davis OH temperature data collection was supported under Australian Antarctic Science project 4157. We would also like to thank Dr. Jeff Forbes for his very helpful PW discussion. We would like to acknowledge the MLS team for their temperature data used in this study. Finally, we thank the reviewers for their very helpful comments.</t>
  </si>
  <si>
    <t>2169-8996</t>
  </si>
  <si>
    <t>J GEOPHYS RES-ATMOS</t>
  </si>
  <si>
    <t>J. Geophys. Res.-Atmos.</t>
  </si>
  <si>
    <t>10.1029/2019JD030286</t>
  </si>
  <si>
    <t>IS9NL</t>
  </si>
  <si>
    <t>WOS:000482475000013</t>
  </si>
  <si>
    <t>Conway, JP; Bodeker, GE; Waugh, DW; Murphy, DJ; Cameron, C; Lewis, J</t>
  </si>
  <si>
    <t>Conway, J. P.; Bodeker, G. E.; Waugh, D. W.; Murphy, D. J.; Cameron, C.; Lewis, J.</t>
  </si>
  <si>
    <t>Using Project Loon Superpressure Balloon Observations to Investigate the Inertial Peak in the Intrinsic Wind Spectrum in the Midlatitude Stratosphere</t>
  </si>
  <si>
    <t>stratospheric winds; super-pressure balloons; inertia-gravity waves; balloon trajectories</t>
  </si>
  <si>
    <t>GRAVITY-WAVE GENERATION; LONG-DURATION; ACCURACY; TEMPERATURES; TRAJECTORIES; SOUNDINGS; STORM</t>
  </si>
  <si>
    <t>Location information from superpressure balloons flown by Project Loon provide an unprecedented opportunity to analyze wind fields in the midlatitude stratosphere. Horizontal velocity spectra from the balloons' quasi-intrinsic frame of reference show clear evidence of a persistent peak in the intrinsic wind spectrum around the inertial frequency. In the Southern Hemisphere midlatitudes, peak-to-peak amplitudes of horizontal velocity perturbations (on the order of 20 m/s) are larger than those seen in previous superpressure balloon campaigns in polar regions and similar to those observed in vertical soundings in the midlatitudes. A rotary spectral analysis shows that near-circular anticyclonic rotation of horizontal wind perturbations around the inertial frequency dominate at most times and locations. The strongest anticyclonic rotation is more common in balloon flight segments with weak zonal winds and during the austral summer. Flight segments with strong eastward zonal velocities during austral winter and spring are more likely to have mixed cyclonic and anticyclonic power around the inertial frequency. These results confirm previous model and radiosonde observations of the peak in horizontal kinetic energy at the inertial frequency and demonstrate they are associated with increased anticyclonic wave power indicative of near-inertial oscillations or inertia-gravity waves. Flight segments with mixed cyclonic and anticyclonic power around the inertial frequency display a continuum of wave power from planetary to gravity wave scales. These results help explain the divergence of actual and modeled balloon trajectories in previous studies and provide a baseline against which reanalysis or meteorological model realizations of the intrinsic velocity field can be assessed. Plain Language Summary Knowledge of winds in the stratosphere is vital for understanding Earth's climate, and much effort is being devoted toward producing a better simulation of stratospheric wind variations in weather and climate models. Unfortunately, direct observations of winds in the stratosphere are sparse, especially over the oceans in the Southern Hemisphere midlatitudes. In this study, we use the movement of Project Loon balloons to diagnose variations in horizontal winds in the stratosphere between 18- and 21-km altitude. The Project Loon data provide a much larger suite of data than was previously available. Of interest are variations in wind speed caused by the interaction of atmospheric waves with effects caused by the rotation of the Earth. The data from Project Loon allow us to characterize in detail these wind speed variations and show that fluctuations in wind speed with periods around a day dominate in the midlatitude stratosphere. The variations in wind speed caused by these waves present a challenge to forecasts of balloon trajectories as well as an accurate representation of transport and mixing within the stratosphere.</t>
  </si>
  <si>
    <t>[Conway, J. P.; Bodeker, G. E.; Cameron, C.; Lewis, J.] Bodeker Sci, Alexandra, New Zealand; [Conway, J. P.] Natl Inst Water &amp; Atmospher Res, Lauder, New Zealand; [Waugh, D. W.] Johns Hopkins Univ, Dept Earth &amp; Planetary Sci, Baltimore, MD 21218 USA; [Murphy, D. J.] Australian Antarctic Div, Kingston, Tas, Australia</t>
  </si>
  <si>
    <t>National Institute of Water &amp; Atmospheric Research (NIWA) - New Zealand; Johns Hopkins University; Australian Antarctic Division</t>
  </si>
  <si>
    <t>Conway, JP (corresponding author), Bodeker Sci, Alexandra, New Zealand.;Conway, JP (corresponding author), Natl Inst Water &amp; Atmospher Res, Lauder, New Zealand.</t>
  </si>
  <si>
    <t>jono.conway@niwa.co.nz</t>
  </si>
  <si>
    <t>Bodeker, Greg E/A-8870-2008; Waugh, Darryn/K-3688-2016</t>
  </si>
  <si>
    <t>Cameron, Chris/0000-0002-6624-5452; Bodeker, Gregory/0000-0003-1094-5852; Murphy, Damian/0000-0003-1738-5560; Conway, Jonathan/0000-0001-9276-7425; Waugh, Darryn/0000-0001-7692-2798</t>
  </si>
  <si>
    <t>Royal Society of New Zealand's Marsden Fund [BDS1401]</t>
  </si>
  <si>
    <t>Royal Society of New Zealand's Marsden Fund(Royal Society of New ZealandMarsden Fund (NZ))</t>
  </si>
  <si>
    <t>The authors wish to acknowledge the collaboration of the Project Loon team in supplying their location data and maintaining a keen interest in this and other scientific analysis using their location data. This work was supported by the Royal Society of New Zealand's Marsden Fund (Contract BDS1401). Loon data are available on request to Loon, contact loon-stratosphericdata@google.com.We would also like to thank the editor, William Randel, and the two anonymous reviewers for their insightful and helpful comments.</t>
  </si>
  <si>
    <t>10.1029/2018JD030195</t>
  </si>
  <si>
    <t>WOS:000482475000014</t>
  </si>
  <si>
    <t>Strahan, SE; Douglass, AR; Damon, MR</t>
  </si>
  <si>
    <t>Strahan, Susan E.; Douglass, Anne R.; Damon, Megan R.</t>
  </si>
  <si>
    <t>Why Do Antarctic Ozone Recovery Trends Vary?</t>
  </si>
  <si>
    <t>ozone recovery; Antarctic ozone; attribution; ozone trends</t>
  </si>
  <si>
    <t>POLAR VORTEX; TRANSPORT</t>
  </si>
  <si>
    <t>We use satellite ozone records and Global Modeling Initiative chemistry transport model simulations integrated with Modern Era Retrospective for Research and Analysis 2 meteorology to identify a metric that accurately captures the trend in Antarctic ozone attributable to the decline in ozone depleting substances (ODSs). The GMI CTM Baseline simulation with realistically varying ODS levels closely matches observed interannual to decadal scale variations in Antarctic September ozone over the past four decades. The expected increase or recovery trend is obtained from the differences between the Baseline simulation and one with identical meteorology and fixed 1995 ODS levels. The differences show that vortex-averaged column O-3 has the greatest sensitivity to ODS change from 1 to 20 September. The observed vortex-averaged column O-3 during this period produces a trend consistent with the expected recovery attributable to ODS decline. Trends from dates after 20 September have smaller sensitivity to ODS decline and are more uncertain due to transport variability. Simulations show that the greatest decrease in O-3 loss (i.e., recovery) occurs inside the vortex near the edge. The polar cap metrics have vortex size-dependent bias and do not consistently sample this region. Because the 60-90 degrees S 220 Dobson unit O-3 mass deficit metric does not sample the edge region, its trend is lower than the expected trend; this is improved by area weighting. The 250-Dobson unit O-3 mass deficit metric samples more of the edge region, which increases its trend. Approximately 25% of the September Antarctic O-3 increase is due to higher O-3 levels in June prior to winter depletion. Plain Language Summary Atmospheric levels of ozone depleting substances (ODSs) are decreasing due to the Montreal Protocol and its amendments. The Ozone Hole is beginning to shrink, but trends derived from Antarctic O-3 observations differ widely. We compared model simulations with different ODS levels to reveal where, when, and how much Antarctic O-3 increases in response to ODS decline. We found that trend studies used O-3 measurements from different dates and regions, which usually did not line up with regions where the greatest O-3 recovery occurs or with the time period when O-3 changes are most sensitive to declining ODSs. This explains why reported trends and their uncertainties vary so much. Our simulations found the strongest, clearest signal of increasing O-3 due to ODS change between 1 and 20 September inside the Antarctic polar vortex. The observed vortex O-3 trend from 1 to 20 September is 1.2-1.6 Dobson unit/year and is consistent with the simulations' results, indicating that O-3 is increasing at the rate expected due to ODS decrease. The greatest recovery occurs inside the vortex but just outside the O-3 220 Dobson unit contour, the traditionally defined boundary of the Ozone Hole. Simulations and observations agree that the September Ozone Hole is shrinking at 0.24-0.36 x 10(6) km(2)/year.</t>
  </si>
  <si>
    <t>[Strahan, Susan E.; Douglass, Anne R.; Damon, Megan R.] NASA, Goddard Space Flight Ctr, Atmospher Chem &amp; Dynam Lab, Greenbelt, MD 20771 USA; [Strahan, Susan E.] Univ Space Res Assoc, Columbia, MD 21046 USA; [Damon, Megan R.] Sci Syst &amp; Applicat Inc, Lanham, MD USA</t>
  </si>
  <si>
    <t>National Aeronautics &amp; Space Administration (NASA); NASA Goddard Space Flight Center; Universities Space Research Association (USRA); Science Systems and Applications Inc</t>
  </si>
  <si>
    <t>Strahan, SE (corresponding author), NASA, Goddard Space Flight Ctr, Atmospher Chem &amp; Dynam Lab, Greenbelt, MD 20771 USA.;Strahan, SE (corresponding author), Univ Space Res Assoc, Columbia, MD 21046 USA.</t>
  </si>
  <si>
    <t>susan.e.strahan@nasa.gov</t>
  </si>
  <si>
    <t>Strahan, Susan/H-1965-2012</t>
  </si>
  <si>
    <t>Strahan, Susan/0000-0002-7511-4577; Damon, Megan/0000-0002-9572-6220</t>
  </si>
  <si>
    <t>NASA Modeling, Analysis, and Prediction Program; NASA Atmospheric Composition Modeling and Analysis Program</t>
  </si>
  <si>
    <t>NASA Modeling, Analysis, and Prediction Program(National Aeronautics &amp; Space Administration (NASA)); NASA Atmospheric Composition Modeling and Analysis Program(National Aeronautics &amp; Space Administration (NASA))</t>
  </si>
  <si>
    <t>This work was supported by the NASA Modeling, Analysis, and Prediction Program and the NASA Atmospheric Composition Modeling and Analysis Program. All Ozone and MERRA2 data sets used here are available from the NASA Goddard Earth Science Data Center (https://disc.gsfc.nasa.gov/datasets).See https://gmi.gsfc.nasa.gov for information on accessing GMI simulations.</t>
  </si>
  <si>
    <t>10.1029/2019JD030996</t>
  </si>
  <si>
    <t>WOS:000482475000027</t>
  </si>
  <si>
    <t>Solis, MA; Ballesteros, M; Riascos, JM</t>
  </si>
  <si>
    <t>Solis, Marco A.; Ballesteros, Manuel; Riascos, Jose M.</t>
  </si>
  <si>
    <t>The Early Life History Transitions of the Bivalve Aulacomya atra From the Humboldt Current System Off Peru Are Affected by Human Exploitation and Modulated by El Nino-La Nina Cycle</t>
  </si>
  <si>
    <t>Aulacomya atra; El Nino-southern oscillation; reproductive cycle; larval settlement; gamete production; recruitment; early life history</t>
  </si>
  <si>
    <t>POPULATION-DYNAMICS; REPRODUCTIVE-CYCLE; MESODESMA-DONACIUM; VARIABILITY; NORTHERN; ATER; BAY; INDEPENDENCIA; MYTILIDAE; CLIMATE</t>
  </si>
  <si>
    <t>Understanding the factors and mechanisms that control temporal changes of larval settlement and subsequent recruitment of marine bivalves have strong implications for the management of exploited populations of coastal species and the conservation of benthic communities. Therefore, assessing both organismal and environmental drivers of the reproductive function, gamete release and recruitment is important. This is particularly true for highly productive upwelling coastal areas that are heavily affected by shifts in climatic regimes during the El Nino (EN)-La Nina (LN) cycle. We aimed to assess temporal variation in the transition between gamete release, larval settlement and subsequent recruitment of the commercially- important ribbed mussel (Aulacomya atra) at Bahia Independencia (Peru) over 9 years (1996-2004) - a period that covered strong EN and LN episodes. We also evaluate the environmental factors implied in these changes. To achieve this, we monitored monthly changes of the spawning stock biomass (SSB; a proxy of the capacity for propagule production and release), the number of settled postlarvae on artificial collectors, the density of recruits of A. atra and several environmental parameters. Our results showed a persistent trend of decreasing SSB and recruitment density, most likely related to human exploitation that reduced the population density by one order of magnitude. The SSB was a significant predictor of the number of settled postlarvae, regardless of the occurrence of EN or LN episodes. In contrast, the relationship between SSB and the density of recruits was dependent on the occurrence of EN or LN. The SSB and the larval settlement were heavily reduced during the warm EN in 1997-1998, presumably as a typical response of species of Antarctic origin to warmer-nutrient depleted waters and disturbed circulation patterns within the bay that may favor offshore transport of larvae. Despite this, the density of recruits of A. atra was high during EN, presumably as a result of reduced competition for food and reduced predation, which may overcompensate for the mortality of recruits associated with thermal stress.</t>
  </si>
  <si>
    <t>[Solis, Marco A.; Ballesteros, Manuel] Univ Barcelona, Fac Biol, Dept Biol Evolut Ecol &amp; Ciencies Ambientals, Barcelona, Spain; [Riascos, Jose M.] Univ Antioquia, Sede Ciencias Mar, Corp Acad Ambiental, Turbo, Colombia</t>
  </si>
  <si>
    <t>University of Barcelona; Universidad de Antioquia</t>
  </si>
  <si>
    <t>Solis, MA (corresponding author), Univ Barcelona, Fac Biol, Dept Biol Evolut Ecol &amp; Ciencies Ambientals, Barcelona, Spain.;Riascos, JM (corresponding author), Univ Antioquia, Sede Ciencias Mar, Corp Acad Ambiental, Turbo, Colombia.</t>
  </si>
  <si>
    <t>msolisbenites@gmail.com; jose.riascos@udea.edu.co</t>
  </si>
  <si>
    <t>Ballesteros, Manuel/M-1664-2014; SOLIS BENITES, MARCO ANTONIO/V-6216-2017</t>
  </si>
  <si>
    <t>Ballesteros, Manuel/0000-0001-9055-1241; SOLIS BENITES, MARCO ANTONIO/0000-0002-4674-7180</t>
  </si>
  <si>
    <t>United States Agency for International Development (USAID); Alfred Wegener Institute for Polar and Marine Research (AWI), Germany; National University of San Marcos (Peru)</t>
  </si>
  <si>
    <t>United States Agency for International Development (USAID)(United States Agency for International Development (USAID)); Alfred Wegener Institute for Polar and Marine Research (AWI), Germany; National University of San Marcos (Peru)</t>
  </si>
  <si>
    <t>MS was supported by several funding schemes including the United States Agency for International Development (USAID), the Alfred Wegener Institute for Polar and Marine Research (AWI), Germany, and the National University of San Marcos (Peru).</t>
  </si>
  <si>
    <t>10.3389/fmars.2019.00496</t>
  </si>
  <si>
    <t>IR5ZY</t>
  </si>
  <si>
    <t>WOS:000481519600001</t>
  </si>
  <si>
    <t>Twiname, A; Fitzgibbon, QP; Hobday, AJ; Carter, CG; Pecl, GT</t>
  </si>
  <si>
    <t>Twiname, Amantha; Fitzgibbon, Quinn P.; Hobday, Alistair J.; Carter, Chris G.; Pecl, Gretta T.</t>
  </si>
  <si>
    <t>Multiple measures of thermal performance of early stage eastern rock lobster in a fast-warming ocean region</t>
  </si>
  <si>
    <t>MARINE ECOLOGY PROGRESS SERIES</t>
  </si>
  <si>
    <t>Aerobic scope; Climate change; Crustacean larvae; Escape speed; Puerulus; Respiratory metabolism; Sagmariasus verreauxi</t>
  </si>
  <si>
    <t>CLIMATE-CHANGE; SPINY LOBSTER; TEMPERATURE-DEPENDENCE; ESCAPE PERFORMANCE; RANGE; RESPONSES; ECOLOGY; FISHES; DRIVEN; GROWTH</t>
  </si>
  <si>
    <t>To date, many studies trying to understand species' climate-driven changes in distribution, or 'range shifts', have each focused on a single potential mechanism. While a single performance measure may give some insight, it may not be enough to accurately predict outcomes. Here, we used multiple measures of performance to explore potential mechanisms behind species range shifts. We examined the thermal pattern for multiple measures of performance, including measures of aerobic metabolism and multiple aspects of escape speed, using the final larval stage (puerulus) of eastern rock lobster Sagmariasus verreauxi as a model species. We found that aerobic scope and escape speed had different thermal performances and optimal temperatures. The optimal temperature for aerobic scope was 27.5 degrees C, while the pseudo-optimal temperature for maximum escape speed was 23.2 degrees C. This discrepancy in thermal performance indicators illustrates that one measure of performance may not be sufficient to accurately predict whole-animal performance under future warming. Using multiple measures of performance and appropriate modelling techniques may lead to a more accurate prediction of future range shifts, including the timing and extent of climate-driven species redistribution.</t>
  </si>
  <si>
    <t>[Twiname, Amantha; Fitzgibbon, Quinn P.; Carter, Chris G.; Pecl, Gretta T.] Univ Tasmania, Inst Marine &amp; Antarctic Studies, Private Bag 49, Hobart, Tas 7001, Australia; [Hobday, Alistair J.] CSIRO Oceans &amp; Atmosphere, Hobart, Tas 7001, Australia</t>
  </si>
  <si>
    <t>University of Tasmania; Commonwealth Scientific &amp; Industrial Research Organisation (CSIRO)</t>
  </si>
  <si>
    <t>Twiname, A (corresponding author), Univ Tasmania, Inst Marine &amp; Antarctic Studies, Private Bag 49, Hobart, Tas 7001, Australia.</t>
  </si>
  <si>
    <t>samantha.twiname@utas.edu.au</t>
  </si>
  <si>
    <t>Hobday, Alistair/A-1460-2012; Carter, Chris Guy/A-3438-2008; Pecl, Gretta/D-7267-2011; Twiname, Samantha/E-2714-2015</t>
  </si>
  <si>
    <t>Carter, Chris Guy/0000-0001-5210-1282; Pecl, Gretta/0000-0003-0192-4339; Twiname, Samantha/0000-0002-3355-0856; Fitzgibbon, Quinn/0000-0002-1104-3052</t>
  </si>
  <si>
    <t>ARC Future Fellowship [FT140100596]; ARC Industrial Transformation Research Hub project [IH 121 00032]; Holsworth Wildlife Research Endowment</t>
  </si>
  <si>
    <t>ARC Future Fellowship(Australian Research Council); ARC Industrial Transformation Research Hub project(Australian Research Council); Holsworth Wildlife Research Endowment</t>
  </si>
  <si>
    <t>We thank the IMAS aquaculture technicians for their laboratory support and supply of cultured lobsters. Thanks to J. Seager and J. Hulls for their stereovideo support, M. Corkill for multiple reviews of the early manuscript and K. Hartmann and S. Wotherspoon for help with statistics. This research was supported by G.T.P.'s ARC Future Fellowship (FT140100596), Q.P.F. and C.G.C.'s ARC Industrial Transformation Research Hub project (IH 121 00032) and S.T.'s Holsworth Wildlife Research Endowment. We ap preciate the comments from the anonymous reviewers and the editor that improved this contribution.</t>
  </si>
  <si>
    <t>INTER-RESEARCH</t>
  </si>
  <si>
    <t>OLDENDORF LUHE</t>
  </si>
  <si>
    <t>NORDBUNTE 23, D-21385 OLDENDORF LUHE, GERMANY</t>
  </si>
  <si>
    <t>0171-8630</t>
  </si>
  <si>
    <t>1616-1599</t>
  </si>
  <si>
    <t>MAR ECOL PROG SER</t>
  </si>
  <si>
    <t>Mar. Ecol.-Prog. Ser.</t>
  </si>
  <si>
    <t>AUG 15</t>
  </si>
  <si>
    <t>10.3354/meps13054</t>
  </si>
  <si>
    <t>Ecology; Marine &amp; Freshwater Biology; Oceanography</t>
  </si>
  <si>
    <t>Environmental Sciences &amp; Ecology; Marine &amp; Freshwater Biology; Oceanography</t>
  </si>
  <si>
    <t>IX5QE</t>
  </si>
  <si>
    <t>Bronze, Green Submitted</t>
  </si>
  <si>
    <t>WOS:000485737900001</t>
  </si>
  <si>
    <t>Caccavo, JA; Ashford, JR; Ryan, S; Papetti, C; Schröder, M; Zane, L</t>
  </si>
  <si>
    <t>Caccavo, Jilda Alicia; Ashford, Julian R.; Ryan, Svenja; Papetti, Chiara; Schroeder, Michael; Zane, Lorenzo</t>
  </si>
  <si>
    <t>Spatial structuring and life history connectivity of Antarctic silverfish along the southern continental shelf of the Weddell Sea</t>
  </si>
  <si>
    <t>Physical-biological interactions; Filchner Trough; Population structure; Life history connectivity; Trough circulation; Modified Warm Deep Water; MWDW; Ice Shelf Water; ISW; Otolith chemistry</t>
  </si>
  <si>
    <t>TERRA-NOVA BAY; TRACE-ELEMENT ANALYSIS; PLEURAGRAMMA-ANTARCTICUM; OTOLITH CHEMISTRY; POPULATION-STRUCTURE; WATER MASSES; STOCK IDENTIFICATION; ICE-SHELF; ROSS SEA; FISH</t>
  </si>
  <si>
    <t>A multi-disciplinary approach was employed to examine a physical-biological population hypothesis for a critical forage species, the Antarctic silverfish Pleuragramma antarctica. Caccavo et al. (2018; Sci Rep 8:17856) had shown strong gene flow along the westward Antarctic Slope Current, in addition to spatially recurring length modes that provided evidence for episodic connectivity. In this paper, otolith nucleus chemistry from a subset of fish collected in the southern Weddell Sea as part of a hydrographic survey of the Filchner Trough system was used to test between connectivity scenarios. Nucleus chemistry, which reflects environmental exposure during early life, showed significant spatial structuring despite homogeneity in microsatellite allele frequencies. Mg:Ca and Sr:Ca differentiated length modes, and Mg:Ca showed significant contrasts between Atka Bay, Halley Bay, and Filchner Trough. Physical-biological mechanisms may help reconcile structuring shown by otolith chemistry, length, and abundance data with prior evidence of gene flow. Such mechanisms include self-recruitment shaped by circulation associated with the Filchner Trough, fluctuations in mixing between immigrant and locally recruited fish, and feeding opportunities between inflowing Modified Warm Deep Water and outflowing Ice Shelf Water. The results illustrate how comparisons between multi-disciplinary techniques based on integrated sampling designs that incorporate hydrography can enhance understanding of population structure and connectivity around the Southern Ocean.</t>
  </si>
  <si>
    <t>[Caccavo, Jilda Alicia; Ryan, Svenja; Schroeder, Michael] Helmholtz Ctr Polar &amp; Marine Res, Alfred Wegener Inst, D-27570 Bremerhaven, Germany; [Caccavo, Jilda Alicia] Berlin Ctr Genom Biodivers Res BeGenDiv, D-14195 Berlin, Germany; [Ashford, Julian R.] Old Dominion Univ, Ctr Quantitat Fisheries Ecol, Dept Ocean Earth &amp; Atmospher Sci, Norfolk, VA 23508 USA; [Papetti, Chiara; Zane, Lorenzo] Univ Padua, Dept Biol, I-35121 Padua, Italy; [Papetti, Chiara; Zane, Lorenzo] Consorzio Nazl Interuniv Sci Mare CoNISMa Rome, I-00196 Rome, Italy</t>
  </si>
  <si>
    <t>Helmholtz Association; Alfred Wegener Institute, Helmholtz Centre for Polar &amp; Marine Research; Old Dominion University; University of Padua</t>
  </si>
  <si>
    <t>Caccavo, JA (corresponding author), Helmholtz Ctr Polar &amp; Marine Res, Alfred Wegener Inst, D-27570 Bremerhaven, Germany.;Caccavo, JA (corresponding author), Berlin Ctr Genom Biodivers Res BeGenDiv, D-14195 Berlin, Germany.</t>
  </si>
  <si>
    <t>ergo@jildacaccavo.com</t>
  </si>
  <si>
    <t>Zane, Lorenzo/G-6249-2010; Caccavo, Jilda Alicia/GWN-1019-2022</t>
  </si>
  <si>
    <t>Zane, Lorenzo/0000-0002-6963-2132; Caccavo, Jilda Alicia/0000-0002-8172-7855; Papetti, Chiara/0000-0002-4567-459X</t>
  </si>
  <si>
    <t>National Program for Antarctic Research (PNRA) project [PdR 2013_C1.07]; PNRA project [16_ 307]; Cariparo Fellowship; Antarctic Science International (ASI) Bursary; Scientific Committee for Ant arctic Research (SCAR) Fellowship; Erasmus+ Student Traineeship; Alexander von Humboldt Foundation; University of Padua [BIRD 164793/16]; European Marie Curie project 'Polarexpress' Grant [622320]; National Science Foundation [0741348]</t>
  </si>
  <si>
    <t>National Program for Antarctic Research (PNRA) project; PNRA project; Cariparo Fellowship(Fondazione Cariparo); Antarctic Science International (ASI) Bursary; Scientific Committee for Ant arctic Research (SCAR) Fellowship; Erasmus+ Student Traineeship; Alexander von Humboldt Foundation(Alexander von Humboldt Foundation); University of Padua; European Marie Curie project 'Polarexpress' Grant(European Union (EU)Marie Curie Actions); National Science Foundation(National Science Foundation (NSF))</t>
  </si>
  <si>
    <t>We thank Nils Koschnick (Alfred Wegener Institute, AWI) and Emilio Riginella (University of Padua) for their help in collecting samples onboard the RV 'Polarstern'. We thank Mathieu Casado (AWI, Potsdam) for his assistance with several of the figures. Ludovica Dal Borgo and Lisa De Biasio (University of Padua) are thanked for their help in confirming the size of the raster area ablated over the otolith nucleus through detailed microscope images. We thank Mario La Mesa (Institute of Marine Science [ISMAR], Ancona) for his assistance in procuring the photo of Pleuragramma antarctica used in Fig. 1. We are indebted to 4 anonymous reviewers who considerably enhanced the quality of the final version of the manuscript. We acknowledge support from the National Program for Antarctic Research (PNRA) project (PdR 2013_C1.07) to Mario La Mesa which supported Emilio Riginella's participation on the RV 'Polarstern'. This work was supported by the PNRA project (16_ 307) to L.Z. J.A.C. recently completed her PhD in Evolution, Ecology and Conservation at the University of Padua, with funding from a Cariparo Fellowship for foreign students and additional support from an Antarctic Science International (ASI) Bursary, a Scientific Committee for Ant arctic Research (SCAR) Fellowship, and an Erasmus+ Student Traineeship. J.A.C. now acknowledges support from the Alexander von Humboldt Foundation in the form of a Humboldt Research Fellowship for Postdoctoral Re searchers funding her current research at AWI and BeGenDiv. C.P. acknowledges financial support from the University of Padua (BIRD 164793/16) and from the European Marie Curie project 'Polarexpress' Grant No. 622320. Funding for J.R.A. was provided by the National Science Foundation (Grant No. 0741348).</t>
  </si>
  <si>
    <t>10.3354/meps13017</t>
  </si>
  <si>
    <t>Green Submitted, Bronze</t>
  </si>
  <si>
    <t>WOS:000485737900016</t>
  </si>
  <si>
    <t>Salton, M; Kirkwood, R; Slip, D; Harcourt, R</t>
  </si>
  <si>
    <t>Salton, Marcus; Kirkwood, Roger; Slip, David; Harcourt, Robert</t>
  </si>
  <si>
    <t>Mechanisms for sex-based segregation in foraging behaviour by a polygynous marine carnivore</t>
  </si>
  <si>
    <t>Intra-species competition; Ontogeny; Allometry; Sex segregation; Foraging; Otariid</t>
  </si>
  <si>
    <t>ANTARCTIC FUR SEALS; MATERNAL-ATTENDANCE PATTERNS; LIONS EUMETOPIAS-JUBATUS; NEW-ZEALAND; BODY-SIZE; HABITAT USE; HOME-RANGE; MEDITERRANEAN ENVIRONMENT; POPULATION-DYNAMICS; DIVING BEHAVIOR</t>
  </si>
  <si>
    <t>Sexual segregation in foraging is often attributed to constraints arising from sexual size dimorphism, such as differing physiological abilities and energy requirements, or to reproductive commitments including nutritional requirements and behavioural limitations such as parental care. In species with sexual size dimorphism and a polygynous mating system, there are sex differences in both body size and reproductive commitments, so distinguishing the mechanism underlying sexually segregated foraging is particularly difficult. We investigated movements of the sexually dimorphic, polygynous Australian fur seal Arctocephalus pusillus doriferus, and compared foraging strategies of juveniles to adults in order to investigate foraging constraints associated with differences in body size separately from those also associated with reproduction. Foraging trip duration, range, core area, and distance to core area from the breeding site were similar between the sexes in juveniles and adults, but juveniles were overall more constrained than adults. After foraging trips, juveniles and adult females were more likely to return to the breeding site than to other sites, probably because of physiological limitations (juveniles) or reproductive commitments (adult females). Freedom from reproductive commitments allowed adult males to reside in areas away from the breeding site and thereby meet the higher energy requirements arising from their larger body size, without competing with adult females. Consequently, intra-species differences in foraging strategies of Australian fur seals are shaped first by foraging constraints associated with body size, and to a lesser extent by reproductive behaviour.</t>
  </si>
  <si>
    <t>[Salton, Marcus; Slip, David; Harcourt, Robert] Macquarie Univ, Dept Biol Sci, N Ryde, NSW 2109, Australia; [Salton, Marcus; Kirkwood, Roger] Phillip Isl Nat Pk, Res Dept, Cowes, Vic 3922, Australia; [Salton, Marcus] Dept Energy &amp; Environm, Australian Antarctic Div, Kingston, Tas 7050, Australia; [Slip, David] Taronga Conservat Soc Australia, Mosman, NSW 2088, Australia</t>
  </si>
  <si>
    <t>Macquarie University; Australian Antarctic Division; Taronga Conservation Society Australia</t>
  </si>
  <si>
    <t>Salton, M (corresponding author), Macquarie Univ, Dept Biol Sci, N Ryde, NSW 2109, Australia.;Salton, M (corresponding author), Phillip Isl Nat Pk, Res Dept, Cowes, Vic 3922, Australia.;Salton, M (corresponding author), Dept Energy &amp; Environm, Australian Antarctic Div, Kingston, Tas 7050, Australia.</t>
  </si>
  <si>
    <t>marcussalton@gmail.com</t>
  </si>
  <si>
    <t>Salton, Marcus/AAC-1616-2022</t>
  </si>
  <si>
    <t>Salton, Marcus/0000-0001-5647-406X; Kirkwood, Roger/0000-0003-4221-4050; Harcourt, Robert/0000-0003-4666-2934; Slip, David/0000-0002-9010-7236</t>
  </si>
  <si>
    <t>BHP-Billiton; Phillip Island Nature Parks; Macquarie University Research Excellence Scholarship</t>
  </si>
  <si>
    <t>We thank all volunteers, students, and staff of Phillip Island Nature Parks who provided field assistance, especially the voluntary contributions of time and veterinary resources by Michael Lynch, Jenny Hibble, Bronwyn Oke, and Justin Clarke. We are grateful to Rebecca McIntosh for her feedback on drafts of the manuscript. We are grateful for the support of a grant from BHP-Billiton and funds from Phillip Island Nature Parks. M. S. is also thankful for the award of a Macquarie University Research Excellence Scholarship. The authors declare that they have no competing interests. The funders had no role in study design, data collection and analysis, decision to publish, or preparation of the manuscript. The project was approved by the Phillip Island Nature Park Animal Experimentation Ethics Committee and carried a research permit issued by the Department of Sustainability and Environment of Victoria, Australia. All applicable institutional and/or national guidelines for the care and use of animals were followed.</t>
  </si>
  <si>
    <t>10.3354/meps13036</t>
  </si>
  <si>
    <t>WOS:000485737900017</t>
  </si>
  <si>
    <t>Hattersley, J; Wilson, AJ; Thake, CD; Facer-Childs, J; Stoten, O; Imray, C</t>
  </si>
  <si>
    <t>Hattersley, John; Wilson, Adrian J.; Thake, C. Doug; Facer-Childs, Jamie; Stoten, Oliver; Imray, Chris</t>
  </si>
  <si>
    <t>Metabolic rate and substrate utilisation resilience in men undertaking polar expeditionary travel</t>
  </si>
  <si>
    <t>PLOS ONE</t>
  </si>
  <si>
    <t>DOUBLY LABELED WATER; ENERGY-EXPENDITURE; BODY-COMPOSITION; PHYSICAL PERFORMANCE; RESPIRATION CHAMBER; SKELETAL-MUSCLE; HUMANS; ADAPTATIONS; RECOVERY; EXERCISE</t>
  </si>
  <si>
    <t>The energy expenditure and substrate utilisation were measured in 5 men pre- and post- a 67 day, 1750km unassisted Antarctic traverse from the Hercules Inlet to the Ross Sea Ice via the South pole pulling sledges weighing 120kg whilst experiencing temperatures as low as -57 degrees C. A 36-hours protocol in a whole body calorimeter was employed to measure periods of rest, sleep and three periods of standardised stepping exercises at 80, 100 and 120 steps min(-1); participants were fed isocalorically. Unlike previous expeditions where large weight loss was reported, only a modest loss of body weight (7%, P = 0.03) was found; fat tissue was reduced by 53% (P = 0.03) together with a small, but not statistically significant, increase in lean tissue weight (P = 0.18). This loss occurred despite a high-energy intake (6500 kcal/day) designed to match energy expenditure. An energy balance analysis suggested the loss in body weight could be due to the energy requirements of thermoregulation. Differences in energy expenditure [4.9 (0.1) vs 4.5 (0.1) kcal/min. P = 0.03], carbohydrate utilisation [450 (180) vs 569 (195) g/day; P = 0.03] and lipid utilisation [450 (61) vs 388 (127) g/day, P = 0.03] at low levels of exertion were different from pre- expedition values. Only carbohydrate utilisation remained statistically significant when normalised to body weight. The differences in energy expenditure and substrate utilisation between the pre- and post- expedition for other physiological states (sleeping, resting, higher levels of exercise, etc) were small and not statistically significant. Whilst inter-subject variability was large, there was a tendency for increased carbohydrate utilisation, post-expedition, when fasted that decreased upon feeding.</t>
  </si>
  <si>
    <t>[Hattersley, John; Wilson, Adrian J.; Imray, Chris] Univ Hosp Coventry &amp; Warwickshire NHS Trust, Coventry NIHR CRF Human Metab Res Unit, Coventry, W Midlands, England; [Hattersley, John] Univ Warwick, Sch Engn, Coventry, W Midlands, England; [Hattersley, John; Thake, C. Doug; Imray, Chris] Coventry Univ, Fac Hlth &amp; Life Sci, Coventry, W Midlands, England; [Wilson, Adrian J.] Univ Warwick, Dept Phys, Coventry, W Midlands, England; [Facer-Childs, Jamie] UCL, Inst Child Hlth, London, England; [Stoten, Oliver] Royal Bournemouth Hosp, Emergency Dept, Bournemouth, Dorset, England; [Imray, Chris] Univ Hosp Coventry &amp; Warwickshire NHS Trust, Dept Vasc &amp; Renal Transplant Surg, Coventry, W Midlands, England</t>
  </si>
  <si>
    <t>University of Warwick; University of Warwick; Coventry University; University of Warwick; University of London; University College London; University of Warwick</t>
  </si>
  <si>
    <t>Hattersley, J (corresponding author), Univ Hosp Coventry &amp; Warwickshire NHS Trust, Coventry NIHR CRF Human Metab Res Unit, Coventry, W Midlands, England.;Hattersley, J (corresponding author), Univ Warwick, Sch Engn, Coventry, W Midlands, England.;Hattersley, J (corresponding author), Coventry Univ, Fac Hlth &amp; Life Sci, Coventry, W Midlands, England.</t>
  </si>
  <si>
    <t>john.hattersley@uhcw.nhs.uk</t>
  </si>
  <si>
    <t>imray, chris/0000-0001-8451-4102; Thake, C. Douglas/0000-0002-0632-2137; Stoten, Oliver/0000-0001-7933-9805; Hattersley, John/0000-0002-1881-8797</t>
  </si>
  <si>
    <t>PUBLIC LIBRARY SCIENCE</t>
  </si>
  <si>
    <t>SAN FRANCISCO</t>
  </si>
  <si>
    <t>1160 BATTERY STREET, STE 100, SAN FRANCISCO, CA 94111 USA</t>
  </si>
  <si>
    <t>1932-6203</t>
  </si>
  <si>
    <t>PLoS One</t>
  </si>
  <si>
    <t>e0221176</t>
  </si>
  <si>
    <t>10.1371/journal.pone.0221176</t>
  </si>
  <si>
    <t>IW5KK</t>
  </si>
  <si>
    <t>WOS:000485017200088</t>
  </si>
  <si>
    <t>Wilson, AM; Russell, JK; Ward, BC</t>
  </si>
  <si>
    <t>Wilson, Alexander M.; Russell, James K.; Ward, Brent C.</t>
  </si>
  <si>
    <t>Paleo-glacier reconstruction in southwestern British Columbia, Canada: A glaciovolcanic model</t>
  </si>
  <si>
    <t>QUATERNARY SCIENCE REVIEWS</t>
  </si>
  <si>
    <t>Quaternary; Glaciovolcanism; Volcano-ice interactions; Geometric ice model; Paleo ice sheets; Glaciology; Cordilleran Ice Sheet; North America; Radiogenic isotopes</t>
  </si>
  <si>
    <t>CORDILLERAN ICE-SHEET; GARIBALDI VOLCANIC BELT; QUATERNARY GLACIATIONS; NUMERICAL SIMULATIONS; SUBGLACIAL VOLCANISM; ANTARCTIC PENINSULA; ISLAND; SEDIMENTATION; SOUTHERN; HISTORY</t>
  </si>
  <si>
    <t>Volcanic rocks erupted within glacial environments offer powerful paleoenvironmental insights. These glaciovolcanoes and their deposits serve as proxies that inform on the paleo-presence, distribution and thickness of past glaciers. We investigate the paleoenvironmental implications of three Mid to Late Pleistocene volcanic deposits in the Garibaldi volcanic belt of southwestern British Columbia, Canada. We use these data to inform a simple geometric model that constrains paleo-glacier distributions in the southern Canadian Cordillera. The three volcanoes are used to recover: i) a coalesced mountain ice sheet in late Marine Isotope Stage (MIS) 4, and possibly into MIS 3 (up to similar to 49.1 +/- 5.5 ka), ii) major and rapid degradation of glaciers during the late, MIS 6 to 5e transition (by 141 +/- 12.9 ka), and, iii) a coalesced mountain ice sheet, or continental ice sheet that existed during MIS 15 (598 +/- 7.5 ka). (C) 2019 Elsevier Ltd. All rights reserved.</t>
  </si>
  <si>
    <t>[Wilson, Alexander M.; Russell, James K.] Univ British Columbia, Volcanol &amp; Petrol Lab, Earth Ocean &amp; Atmospher Sci, 2020-2207 Main Mall, Vancouver, BC V67 1Z4, Canada; [Ward, Brent C.] Simon Fraser Univ, Dept Earth Sci, 8888 Univ Dr, Burnaby, BC V5A 1S6, Canada</t>
  </si>
  <si>
    <t>University of British Columbia; Simon Fraser University</t>
  </si>
  <si>
    <t>Wilson, AM (corresponding author), Univ British Columbia, Volcanol &amp; Petrol Lab, Earth Ocean &amp; Atmospher Sci, 2020-2207 Main Mall, Vancouver, BC V67 1Z4, Canada.</t>
  </si>
  <si>
    <t>awilson@eoas.ubc.ca</t>
  </si>
  <si>
    <t>Russell, James Kelly/AAC-6210-2019</t>
  </si>
  <si>
    <t>Russell, James Kelly/0000-0002-2062-3155</t>
  </si>
  <si>
    <t>Natural Sciences and Engineering Research Council of Canada [RGPIN-2018-03841]; Canada Graduate Scholarships program [PGSD3-489731-2016]</t>
  </si>
  <si>
    <t>Natural Sciences and Engineering Research Council of Canada(Natural Sciences and Engineering Research Council of Canada (NSERC)CGIAR); Canada Graduate Scholarships program</t>
  </si>
  <si>
    <t>This research was supported by the Natural Sciences and Engineering Research Council of Canada via the Discovery grants program (JKR; RGPIN-2018-03841) and the Canada Graduate Scholarships program (AMW; PGSD3-489731-2016). We acknowledge comments from two anonymous reviewers.</t>
  </si>
  <si>
    <t>0277-3791</t>
  </si>
  <si>
    <t>QUATERNARY SCI REV</t>
  </si>
  <si>
    <t>Quat. Sci. Rev.</t>
  </si>
  <si>
    <t>10.1016/j.quascirev.2019.06.024</t>
  </si>
  <si>
    <t>IP9NX</t>
  </si>
  <si>
    <t>WOS:000480378000013</t>
  </si>
  <si>
    <t>Strobel, P; Kasper, T; Frenzel, P; Schittek, K; Quick, LJ; Meadows, ME; Mäusbacher, R; Haberzettl, T</t>
  </si>
  <si>
    <t>Strobel, P.; Kasper, T.; Frenzel, P.; Schittek, K.; Quick, L. J.; Meadows, M. E.; Maeusbacher, R.; Haberzettl, T.</t>
  </si>
  <si>
    <t>Late Quaternary palaeoenvironmental change in the year-round rainfall zone of South Africa derived from peat sediments from Vankervelsvlei</t>
  </si>
  <si>
    <t>South Africa; Quaternary; Paleoclimatology; Fen; Plant waxes; Stable isotopes; Geochemistry; Westerlies</t>
  </si>
  <si>
    <t>LAST GLACIAL MAXIMUM; HOLOCENE ENVIRONMENTAL-CHANGE; SCALE CLIMATE VARIABILITY; SEA-SURFACE TEMPERATURE; ANTARCTIC ICE-SHEET; DELTA-D VALUES; CAPE COAST; SOUTHWESTERN AFRICA; MFABENI PEATLAND; ATLANTIC SECTOR</t>
  </si>
  <si>
    <t>Due to the scarcity of natural archives for palaeoenvironmental studies, the climatic evolution of South Africa during the late Quaternary remains the subject of considerable debate. Peat deposits provide excellent archives to investigate past environmental and climate variability. Vankervelsvlei, a fen near the southern Cape coast, located 152 m above mean sea level within the year-round rainfall zone of South Africa, is ideally suited to investigate past environmental changes in this region. A 14.6 m long sediment sequence was retrieved from the fen, from which 8.85 m of sediment have been analysed using a multiproxy approach. This includes elemental, macrofossil and micropalaeontological analyses. As a novelty in palaeoenvironmental reconstruction in this region, leaf wax n-alkanes and their compound-specific stable carbon and hydrogen isotopes were also investigated. The chronology of the sequence is based on 13 radiocarbon ages and reveals a basal age of 37,430 (+1.570)/(-1,710) cal BP. The top of the investigated sequence has an age of 1,180 (+340)/(-170) cal BP. Leaf wax n-alkane abundances and their compound-specific stable carbon and hydrogen isotopes, as well as various (in)organic (bio)geochemical parameters, indicate that the older section of the sequence (37,430 (+1.570)/(-1,710) - -28,050 (+510)/-600 cal BP), which is composed of strongly degraded peat, represents a rather dry phase during MIS 3. This is followed by a hiatus of around 20,000 years (28,050(+510)/(-6)(00) to 8,360 (+730)/-810( )cal BP) reflecting the driest conditions during MIS 2. By comparing to supra-regional archives, this is hypothesised to have resulted from a larger extension of the Antarctic sea ice, which caused an equatorward shift of the Westerlies, blocking the tropical easterlies and resulting in drier conditions along the south coast and the adjacent coastal platform. During the Early Holocene, the input of reworked soil into the depression and subsequently renewed peat formation from 6,820(+305)/(-365) cal BP to 1,180(+340)/(-170) cal BP in Vankervelsvlei point to moister climatic conditions. Contraction of Antarctic sea ice and a poleward shift of the Westerlies during the Holocene is consistent with this interpretation. Climatic driving forces are suggested to differ between centennial/millennial and orbital time scales. Evapotranspirative enrichment through stronger winds is assumed to be the main driver on centennial to millennial time scale within this hydrological system. However, a combination of evapotranspiration and precipitation amount seems to be the most prominent driver on the orbital time scales. (C) 2019 Elsevier Ltd. All rights reserved.</t>
  </si>
  <si>
    <t>[Strobel, P.; Kasper, T.; Maeusbacher, R.] Friedrich Schiller Univ Jena, Inst Geog, Phys Geog, Lobdergraben 32, D-07743 Jena, Germany; [Frenzel, P.] Friedrich Schiller Univ Jena, Inst Geosci, Jena, Germany; [Schittek, K.] Univ Cologne, Inst Geog Educ, Cologne, Germany; [Quick, L. J.; Meadows, M. E.] Univ Cape Town, Dept Environm &amp; Geog Sci, Rondebosch, South Africa; [Quick, L. J.] Nelson Mandela Univ, African Ctr Coastal Palaeosci, Port Elizabeth, South Africa; [Meadows, M. E.] East China Normal Univ, Sch Geog Sci, Shanghai, Peoples R China; [Haberzettl, T.] Ernst Moritz Arndt Univ Greifswald, Inst Geog &amp; Geol, Phys Geog, Greifswald, Germany</t>
  </si>
  <si>
    <t>Friedrich Schiller University of Jena; Friedrich Schiller University of Jena; University of Cologne; University of Cape Town; Nelson Mandela University; East China Normal University; Universitat Greifswald</t>
  </si>
  <si>
    <t>Strobel, P (corresponding author), Friedrich Schiller Univ Jena, Inst Geog, Phys Geog, Lobdergraben 32, D-07743 Jena, Germany.</t>
  </si>
  <si>
    <t>paul.strobel@uni-jena.de</t>
  </si>
  <si>
    <t>Haberzettl, Torsten/AAV-9216-2021; Meadows, Michael E/AAH-2461-2020; Quick, Lynne/A-1511-2018</t>
  </si>
  <si>
    <t>Haberzettl, Torsten/0000-0002-6975-9774; Meadows, Michael E/0000-0001-8322-3055; Schittek, Karsten/0000-0002-2135-7856; Quick, Lynne/0000-0002-6735-7106; Strobel, Paul/0000-0002-7860-5398</t>
  </si>
  <si>
    <t>German Federal Ministry of Education and Research (BMBF) [03G0862B]</t>
  </si>
  <si>
    <t>German Federal Ministry of Education and Research (BMBF)(Federal Ministry of Education &amp; Research (BMBF))</t>
  </si>
  <si>
    <t>This study was funded by the German Federal Ministry of Education and Research (BMBF) (grant no.: 03G0862B). The investigations were conducted within the collaborative project Regional Archives for Integrated Investigations (RAiN), which is embedded in the international research programme SPACES (Science Partnership for the Assessment of Complex Earth System Processes).</t>
  </si>
  <si>
    <t>10.1016/j.quascirev.2019.06.014</t>
  </si>
  <si>
    <t>WOS:000480378000015</t>
  </si>
  <si>
    <t>Zhang, TL; Wang, RJ; Polyak, L; Xiao, WS</t>
  </si>
  <si>
    <t>Zhang, Taoliang; Wang, Rujian; Polyak, Leonid; Xiao, Wenshen</t>
  </si>
  <si>
    <t>Enhanced deposition of coal fragments at the Chukchi margin, western Arctic Ocean: Implications for deglacial drainage history from the Laurentide Ice Sheet</t>
  </si>
  <si>
    <t>Arctic ocean; Chukchi margin; Sedimentary proxies; Last deglaciation; Laurentide ice sheet; Meltwater discharge</t>
  </si>
  <si>
    <t>LATE PLEISTOCENE; SEDIMENTATION PATTERNS; CLIMATE VARIABILITY; MELTWATER EVENTS; LAKE AGASSIZ; SEA-LEVEL; CIRCULATION; RECORD; PROVENANCE; ATLANTIC</t>
  </si>
  <si>
    <t>Distribution and composition of coarse particles (&gt;250 mu m) were investigated in 13 sediment cores from the Chukchi margin, western Arctic Ocean. Petrographic clast identification is supplemented by XRF core scanning, EDS analysis of coal fragments, and AMS C-14 dating of planktic foraminifera for age control. Coal debris distribution is also investigated in surface sediments of the study region for provenance interpretation. The sediment-core study focuses on the interval between the Last Glacial Maximum and the Holocene for constraining provenance and timing of the deglacial discharge. We find that this interval is characterized by a distinct enrichment in sedimentary rock fragments, including coal. Comparison with longer stratigraphic records indicates that this composition is unique for the time interval since at least Maine Isotope Stage 5. Based on the timing, interpreted provenance, and geographic distribution of the coal enrichment, we conclude that the most likely primary source was the deglacial discharge from the Mackenzie drainage basin of the Laurentide Ice Sheet (LIS). The identified coal-bearing layer, also expressed in the XRF sulfur record, can be thus used as a stratigraphic marker for the LIS discharge to the Arctic Ocean during the last deglaciation. (C) 2019 Elsevier Ltd. All rights reserved.</t>
  </si>
  <si>
    <t>[Zhang, Taoliang; Wang, Rujian; Xiao, Wenshen] Tongji Univ, State Key Lab Marine Geol, 1239 Siping Rd, Shanghai 200092, Peoples R China; [Polyak, Leonid] Ohio State Univ, Byrd Polar &amp; Climate Res Ctr, Columbus, OH 43210 USA</t>
  </si>
  <si>
    <t>Tongji University; University System of Ohio; Ohio State University</t>
  </si>
  <si>
    <t>Wang, RJ (corresponding author), Tongji Univ, State Key Lab Marine Geol, 1239 Siping Rd, Shanghai 200092, Peoples R China.;Polyak, L (corresponding author), Ohio State Univ, Byrd Polar &amp; Climate Res Ctr, Columbus, OH 43210 USA.</t>
  </si>
  <si>
    <t>rjwang@tongji.edu.cn; polyak.1@osu.edu</t>
  </si>
  <si>
    <t>National Natural Science Foundation of China [41776187, 41030859]; Chinese Special Project of Arctic Ocean Marine Geology Investigation [CHINARE 2012-2017-03-02]; Ministry of Finance of China; US National Science Foundation [ARC-0806999, ARC-1304755]; Tongji State Key laboratory [MGK1801]</t>
  </si>
  <si>
    <t>National Natural Science Foundation of China(National Natural Science Foundation of China (NSFC)); Chinese Special Project of Arctic Ocean Marine Geology Investigation; Ministry of Finance of China; US National Science Foundation(National Science Foundation (NSF)); Tongji State Key laboratory</t>
  </si>
  <si>
    <t>This work was funded by the National Natural Science Foundation of China under contract No. 41776187 and 41030859, the Chinese Special Project of Arctic Ocean Marine Geology Investigation under contract No. CHINARE 2012-2017-03-02. This work is part of the project Second to Seventh Chinese National Arctic Research Expeditions supported by the Ministry of Finance of China and organized by the Chinese Arctic and Antarctic Administration (CAA). Polyak's contribution was supported by the US National Science Foundation awards ARC-0806999 and ARC-1304755. Academic visiting was funded by Tongji State Key laboratory funding MGK1801. Core repositories of the Polar Research Institute of China and the Byrd Polar and Climate Research Center, USA, provided sediment samples. We thank the CHINARE group for helping with sample collection and processing, and K. Suzuki (Hokkaido University) for contributing additional data on IRD content.</t>
  </si>
  <si>
    <t>10.1016/j.quascirev.2019.06.029</t>
  </si>
  <si>
    <t>WOS:000480378000020</t>
  </si>
  <si>
    <t>Reilly, BT; Stoner, JS; Mix, AC; Walczak, MH; Jennings, A; Jakobsson, M; Dyke, L; Glueder, A; Nicholls, K; Hogan, KA; Mayer, LA; Hatfield, RG; Albert, S; Marcott, S; Fallon, S; Cheseby, M</t>
  </si>
  <si>
    <t>Reilly, Brendan T.; Stoner, Joseph S.; Mix, Alan C.; Walczak, Maureen H.; Jennings, Anne; Jakobsson, Martin; Dyke, Laurence; Glueder, Anna; Nicholls, Keith; Hogan, Kelly A.; Mayer, Larry A.; Hatfield, Robert G.; Albert, Sam; Marcott, Shaun; Fallon, Stewart; Cheseby, Maziet</t>
  </si>
  <si>
    <t>Holocene break-up and reestablishment of the Petermann Ice Tongue, Northwest Greenland</t>
  </si>
  <si>
    <t>Holocene; Glaciology; Greenland Ice Sheet; Sedimentology-marine sediment cores; Petermann Glacier; Petermann Ice Tongue; Ice shelf; Paleomagnetism; Paleomagnetic secular variation</t>
  </si>
  <si>
    <t>PALEOMAGNETIC SECULAR VARIATION; SEA-LEVEL RISE; RADIOCARBON AGE CALIBRATION; NARES STRAIT; REMANENT MAGNETIZATION; MARINE SEDIMENTATION; ANTARCTIC PENINSULA; VARIATION RECORD; VARIATION PSV; BARILARI BAY</t>
  </si>
  <si>
    <t>Over the last decade, two major calving events of the Petermann Ice Tongue in Northwest Greenland have led to speculation on its future stability and contribution to further Greenland Ice Sheet mass loss. However, it has been unclear if these events are anomalous or typical within the context of limited historical observations. We extend the historical record of the floating ice tongue using the stratigraphy of Petermann Fjord sediments to provide a longer-term perspective. Computed tomography (CT) scans, X-Ray Fluorescence (XRF) scans, Ice-Rafted Debris (IRD) counts, and the magnetic properties of specific particle size fractions constrain changes in depositional processes and sediment sources at our core sites, allowing for reconstructions of past behavior of the Petermann Ice Tongue. Radiocarbon dating of foraminifera, Pb-210, and paleomagnetic secular variation (PSV) provide age control and help to address uncertainties in radiocarbon reservoir ages. A floating ice tongue in Petermann Fjord formed in late glacial time as Petermann Glacier retreated from an advanced grounded position. This paleo-ice tongue broke-up during the early Holocene when high northern latitude summer insolation was higher than present. After gradual regrowth of the ice tongue associated with regional cooling, the ice tongue reached its historical extent only within the last millennium. Little or no ice tongue was present for nearly 5000 years during the middle Holocene, when decadal mean regional temperatures are estimated to be 0.8-2.9 degrees C higher than preindustrial (1750 CE) and seasonal sea-ice in the Lincoln Sea was reduced. This pre-historical behavior shows that recent anthropogenic warming may already be in the range of ice tongue instability and future projected warming increases the risk of ice tongue break-up by the mid-21st Century. (C) 2019 Elsevier Ltd. All rights reserved.</t>
  </si>
  <si>
    <t>[Reilly, Brendan T.; Stoner, Joseph S.; Mix, Alan C.; Walczak, Maureen H.; Glueder, Anna; Hatfield, Robert G.; Albert, Sam; Cheseby, Maziet] Oregon State Univ, Coll Earth Ocean &amp; Atmospher Sci, Corvallis, OR 97331 USA; [Jennings, Anne] Univ Colorado, Inst Arctic &amp; Alpine Res, Boulder, CO 80309 USA; [Jakobsson, Martin] Stockholm Univ, Dept Geol Sci, S-10691 Stockholm, Sweden; [Dyke, Laurence] Geol Survey Denmark &amp; Greenland, Dept Glaciol &amp; Climate, Oster Voldgade 10, DK-1350 Copenhagen K, Denmark; [Nicholls, Keith; Hogan, Kelly A.] NERC, British Antarctic Survey, Madingley Rd, Cambridge CB3 0ET, England; [Mayer, Larry A.] Univ New Hampshire, Ctr Coastal &amp; Ocean Mapping, Durham, NH 03824 USA; [Marcott, Shaun] Univ Wisconsin, Dept Geosci, Madison, WI 53706 USA; [Fallon, Stewart] Australian Natl Univ, Res Sch Earth Sci, Radiocarbon Lab, Canberra, ACT, Australia</t>
  </si>
  <si>
    <t>Oregon State University; University of Colorado System; University of Colorado Boulder; Stockholm University; Geological Survey Of Denmark &amp; Greenland; UK Research &amp; Innovation (UKRI); Natural Environment Research Council (NERC); NERC British Antarctic Survey; University System Of New Hampshire; University of New Hampshire; University of Wisconsin System; University of Wisconsin Madison; Australian National University</t>
  </si>
  <si>
    <t>Reilly, BT (corresponding author), Oregon State Univ, Coll Earth Ocean &amp; Atmospher Sci, Corvallis, OR 97331 USA.</t>
  </si>
  <si>
    <t>breilly@ceoas.oregonstate.edu</t>
  </si>
  <si>
    <t>Hatfield, Robert G/G-6854-2019; Jakobsson, Martin/JAN-6828-2023; Marcott, Shaun A/L-7098-2015; Jakobsson, Martin/F-6214-2010; Fallon, Stewart/G-6645-2011</t>
  </si>
  <si>
    <t>Hatfield, Robert G/0000-0002-6372-0027; Marcott, Shaun A/0000-0003-3264-0523; Reilly, Brendan/0000-0003-3666-4338; Glueder, Anna/0000-0002-2829-1204; Dyke, Laurence/0000-0003-4306-6125; Fallon, Stewart/0000-0002-8064-5903; Mayer, Larry/0000-0003-1846-5140; Jakobsson, Martin/0000-0002-9033-3559</t>
  </si>
  <si>
    <t>National Science Foundation Office of Polar Programs [1418053, 1417787, 1417784]; Swedish Polar Research Secretariat; Swedish Research Council (VR) grant; Leslie and Mark Workman at the Oregon ARCS Foundation; Geological Society of America graduate student research grant; NERC [bas0100033, bas0100030] Funding Source: UKRI; Directorate For Geosciences; Office of Polar Programs (OPP) [1417784] Funding Source: National Science Foundation; Directorate For Geosciences; Office of Polar Programs (OPP) [1418053, 1417787] Funding Source: National Science Foundation</t>
  </si>
  <si>
    <t>National Science Foundation Office of Polar Programs(National Science Foundation (NSF)NSF - Directorate for Geosciences (GEO)); Swedish Polar Research Secretariat; Swedish Research Council (VR) grant(Swedish Research Council); Leslie and Mark Workman at the Oregon ARCS Foundation; Geological Society of America graduate student research grant; NERC(UK Research &amp; Innovation (UKRI)Natural Environment Research Council (NERC)); Directorate For Geosciences; Office of Polar Programs (OPP)(National Science Foundation (NSF)NSF - Directorate for Geosciences (GEO)); Directorate For Geosciences; Office of Polar Programs (OPP)(National Science Foundation (NSF)NSF - Directorate for Geosciences (GEO))</t>
  </si>
  <si>
    <t>We thank the Swedish Icebreaker Oden captain and crew and the Petermann 2015 Expedition scientific party; Paul Anker, Michael Brian, and Peter Washam for recovering cores beneath the ice tongue; the Oregon State University Marine and Geology Repository for core archival and help sampling; Stefanie Brachfeld, Bernard Housen, and Robert Wheatcroft for generous use of their laboratories; Jason Wiest for help with CT scanning; and two anonymous reviewers for their thoughtful and constructive reviews. The Petermann 2015 Expedition (OD1507) and this work was funded by the National Science Foundation Office of Polar Programs (Awards 1418053 to AM and JS, 1417787 to LM, and 1417784 to AJ), the Swedish Polar Research Secretariat, and a Swedish Research Council (VR) grant to MJ. Additional support to BR came from Leslie and Mark Workman at the Oregon ARCS Foundation and a Geological Society of America graduate student research grant. Paleomagnetic data are archived with the Magnetics Information Consortium (MagIC) (Contribution: http://www.earthref.org/MagIC/16535).</t>
  </si>
  <si>
    <t>1873-457X</t>
  </si>
  <si>
    <t>10.1016/j.quascirev.2019.06.023</t>
  </si>
  <si>
    <t>Green Accepted, hybrid</t>
  </si>
  <si>
    <t>WOS:000480378000023</t>
  </si>
  <si>
    <t>Kropielnicka-Kruk, K; Trotter, AJ; Fitzgibbon, QP; Smith, GG; Carter, CG</t>
  </si>
  <si>
    <t>Kropielnicka-Kruk, Katarzyna; Trotter, Andrew J.; Fitzgibbon, Quinn P.; Smith, Gregory G.; Carter, Chris G.</t>
  </si>
  <si>
    <t>The effect of conspecific interaction on survival, growth and feeding behaviour of early juvenile tropical spiny lobster Panulirus ornatus</t>
  </si>
  <si>
    <t>AQUACULTURE</t>
  </si>
  <si>
    <t>Aquaculture; Crustacean; Behaviour; Cannibalism; Nutrition; Tropical rock lobster</t>
  </si>
  <si>
    <t>SOUTHERN ROCK LOBSTER; HOMARUS-AMERICANUS; PHYLLOSOMA LARVAE; STAGE PHYLLOSOMA; JASUS-EDWARDSII; EGG STAGE; TEMPERATURE; CULTURE; AQUACULTURE; POPULATION</t>
  </si>
  <si>
    <t>Behaviour underpins many facets of the performance of animals in aquaculture. By manipulating culture systems to segregate or allow particular aspects of conspecific interaction, we found physical interactions between P. ornatus individuals to be essential for better culture performance. Three culture types were used to control conspecific interactions: isolated culture (individual vessels) excluded all conspecific interactions, separated culture (lobsters cultured in adjacent cages) excluded physical interactions, and communal culture allowed for all interactions. Two water exchange rates were introduced to investigate the influence of chemical cue intensity on growth and survival. Time-series photography was used to determine the feeding behaviour and preference for different feeds including mussel gonad, commercial prawn feed and moist feed. The experiment showed improved growth and moulting frequency in communally cultured lobsters. These results suggest that direct physical contact between conspecifics is required to optimise growth of lobsters, which may be related to the complex social structures of this gregarious species. Behavioural observations of two juvenile instars (2 and 4), revealed circadian rhythm of interactions with feeds, feed preferences and intake. Observations revealed differing behaviours between the different culture types, where lobsters reared in separation displayed higher level of interactions with feeds; however this was not associated with higher feed intake. Observations of two juvenile instars (2 and 4) exhibited increase of daylight activity (interactions with feeds and feed intake) in older lobsters (instar 4).</t>
  </si>
  <si>
    <t>[Kropielnicka-Kruk, Katarzyna; Trotter, Andrew J.; Fitzgibbon, Quinn P.; Smith, Gregory G.; Carter, Chris G.] Univ Tasmania, Fisheries &amp; Aquaculture, Inst Marine &amp; Antarctic Studies, Private Bag 49, Hobart, Tas 7001, Australia</t>
  </si>
  <si>
    <t>Kropielnicka-Kruk, K (corresponding author), Univ Tasmania, Fisheries &amp; Aquaculture, Inst Marine &amp; Antarctic Studies, Private Bag 49, Hobart, Tas 7001, Australia.</t>
  </si>
  <si>
    <t>K.Kruk@utas.edu.au</t>
  </si>
  <si>
    <t>Carter, Chris Guy/A-3438-2008; Smith, Gregory/C-9263-2013</t>
  </si>
  <si>
    <t>Carter, Chris Guy/0000-0001-5210-1282; Smith, Gregory/0000-0002-8677-1230; Fitzgibbon, Quinn/0000-0002-1104-3052; Kropielnicka-Kruk, Katarzyna/0000-0003-4956-0191</t>
  </si>
  <si>
    <t>Australian Research Council Industrial Transformation Research Hub [IH120100032]; Australian Research Council [IH120100032] Funding Source: Australian Research Council</t>
  </si>
  <si>
    <t>Australian Research Council Industrial Transformation Research Hub(Australian Research Council); Australian Research Council(Australian Research Council)</t>
  </si>
  <si>
    <t>Rock Lobster research at IMAS is supported by the Australian Research Council Industrial Transformation Research Hub (project number IH120100032). We thank the staff at the ARC ITH for assistance in the culture of animals and construction of systems.</t>
  </si>
  <si>
    <t>0044-8486</t>
  </si>
  <si>
    <t>1873-5622</t>
  </si>
  <si>
    <t>Aquaculture</t>
  </si>
  <si>
    <t>10.1016/j.aquaculture.2019.05.017</t>
  </si>
  <si>
    <t>IN5NW</t>
  </si>
  <si>
    <t>WOS:000478724600028</t>
  </si>
  <si>
    <t>Daly, L; Piazolo, S; Lee, MR; Griffin, S; Chung, P; Campanale, F; Cohen, BE; Hallis, LJ; Trimby, PW; Baumgartner, R; Forman, LV; Benedix, GK</t>
  </si>
  <si>
    <t>Daly, Luke; Piazolo, Sandra; Lee, Martin R.; Griffin, Sammy; Chung, Peter; Campanale, Fabrizio; Cohen, Benjamin E.; Hallis, Lydia J.; Trimby, Patrick W.; Baumgartner, Raphael; Forman, Lucy V.; Benedix, Gretchen K.</t>
  </si>
  <si>
    <t>Understanding the emplacement of Martian volcanic rocks using petrofabrics of the nakhlite meteorites</t>
  </si>
  <si>
    <t>Mars; Martian meteorites; nakhlites; electron backscatter diffraction; petrofabrics; magmatic petrogenesis</t>
  </si>
  <si>
    <t>ELECTRON BACKSCATTER DIFFRACTION; CRYSTALLOGRAPHIC FABRICS; FLOW DIRECTIONS; STRAIN; MATRIX; ORIENTATIONS; PETROGENESIS; PETROLOGY; OPHIOLITE; PATTERNS</t>
  </si>
  <si>
    <t>In order to validate calculated ages of the Martian crust we require precise radiometric dates from igneous rocks where their provenance on the Martian surface is known. Martian meteorites have been dated precisely and quantitatively, but the launch sites are currently unknown. Inferring the formation environment of a correlated suite of Martian meteorites can constrain the nature and complexity of the volcanic system they formed from. The nakhlite meteorites are such a suite of augite-rich rocks that sample the basaltic crust of Mars, and as such can provide unique insights into its volcanic processes. Using electron backscatter diffraction we have determined the shape-preferred and crystallographic-preferred orientation petrofabrics of four nakhlites (Governador Valadares, Lafayette, Miller Range 03346 and Nakhla) in order to understand the conditions under which their parent rocks formed. In all samples, there is a clear link between the shape-preferred orientation (SPO) and crystallographic-preferred orientation (CPO) of augite phenocrysts. This relationship reveals the three-dimensional shape of the augite crystals using CPO as a proxy for 3D SPO, and also enables a quantitative 3-dimensional petrofabric analysis. All four nakhlites exhibit a foliation defined by the CPO of the augite &lt; c &gt; axis in a plane, although individual meteorites show subtle textural variations. Nakhla and Governador Valadares display a weak CPO lineation within their &lt; c &gt; axis foliation that is interpreted to have developed in a combined pure shear/simple shear flow regime, indicative of emplacement of their parent rock as a subaerial hyperbolic lava flow. By contrast, the foliation dominated CPO petrofabrics of Lafayette and Miller Range 03346 suggest formation in a pure shear dominated regime with little influence of hyperbolic flow. These CPO petrofabrics are indicative of crystal settling in the stagnant portion of cooling magma bodies, or the flattening area of spreading lava flows. The CPO foliation of Lafayette's is substantially weaker than Miller Range 03346, probably due to its higher phenocryst density causing grain-grain interactions that hindered fabric development. The CPO petrofabrics identified can also be used to determine the approximate plane of the Martian surface and the line of magma flow to within similar to 20 degrees. Our results suggest that the nakhlite launch crater sampled a complex volcanic edifice that was supplied by at least three distinct magmatic systems limiting the possible locations these rocks could have originated from on Mars. (C) 2019 Elsevier B.V. All rights reserved.</t>
  </si>
  <si>
    <t>[Daly, Luke; Lee, Martin R.; Griffin, Sammy; Chung, Peter; Campanale, Fabrizio; Cohen, Benjamin E.; Hallis, Lydia J.] Univ Glasgow, Sch Geog &amp; Earth Sci, Glasgow G12 8QQ, Lanark, Scotland; [Piazolo, Sandra] Univ Leeds, Sch Earth &amp; Environm, Leeds LS2 9JT, W Yorkshire, England; [Trimby, Patrick W.] Oxford Instruments Nanoanal, High Wycombe HP12 3SE, Bucks, England; [Baumgartner, Raphael] Univ New South Wales, Sch Biol Earth &amp; Environm Sci, Kensington, NSW 2052, Australia; [Daly, Luke; Forman, Lucy V.; Benedix, Gretchen K.] Curtin Univ, Sch Earth &amp; Planetary Sci, Space Sci &amp; Technol Ctr, GPO Box U1987, Perth, WA 6845, Australia; [Daly, Luke] Univ Sydney, Australian Ctr Microscopy &amp; Microanal, Sydney, NSW 2006, Australia; [Benedix, Gretchen K.] Planetary Sci Inst, 1700 East Ft Lowell,Suite 106, Tucson, AZ 85719 USA; [Campanale, Fabrizio] Univ Pisa, Dipartimento Sci Terra, Via Santa Maria 53, I-56126 Pisa, Italy</t>
  </si>
  <si>
    <t>University of Glasgow; University of Leeds; University of New South Wales Sydney; Curtin University; University of Sydney; University of Pisa</t>
  </si>
  <si>
    <t>Daly, L (corresponding author), Univ Glasgow, Sch Geog &amp; Earth Sci, Glasgow G12 8QQ, Lanark, Scotland.;Daly, L (corresponding author), Curtin Univ, Sch Earth &amp; Planetary Sci, Space Sci &amp; Technol Ctr, GPO Box U1987, Perth, WA 6845, Australia.;Daly, L (corresponding author), Univ Sydney, Australian Ctr Microscopy &amp; Microanal, Sydney, NSW 2006, Australia.</t>
  </si>
  <si>
    <t>luke.daly@glasgow.ac.uk</t>
  </si>
  <si>
    <t>Lee, Martin/Q-1040-2019; Forman, Lucy/X-5663-2018; Benedix, Gretchen/L-1953-2018</t>
  </si>
  <si>
    <t>Lee, Martin/0000-0002-6004-3622; Forman, Lucy/0000-0002-5759-6517; Griffin, Sammy/0000-0001-5308-3813; Campanale, Fabrizio/0000-0002-5295-1209; Cohen, Benjamin/0000-0002-1634-8998; Daly, Luke/0000-0002-7150-4092; Piazolo, Sandra/0000-0001-7723-8170; Benedix, Gretchen/0000-0003-0990-8878; Trimby, Patrick/0000-0003-4065-3068; Baumgartner, Raphael/0000-0001-7547-4225</t>
  </si>
  <si>
    <t>NSF; NASA; Science and Technology Facilities Council [ST/N000846/1, ST/H002960/1]; Science and Technology Facilities Council [ST/N000846/1] Funding Source: researchfish; STFC [ST/H002960/1, ST/N000846/1] Funding Source: UKRI</t>
  </si>
  <si>
    <t>NSF(National Science Foundation (NSF)); NASA(National Aeronautics &amp; Space Administration (NASA)); Science and Technology Facilities Council(UK Research &amp; Innovation (UKRI)Science &amp; Technology Facilities Council (STFC)); Science and Technology Facilities Council(UK Research &amp; Innovation (UKRI)Science &amp; Technology Facilities Council (STFC)); STFC(UK Research &amp; Innovation (UKRI)Science &amp; Technology Facilities Council (STFC))</t>
  </si>
  <si>
    <t>We thank the following institutions for providing the meteorite samples: Smithsonian Institute, NASA Meteorite Working Group, Natural History Museum London (loan of Governador Valadares), Macovich Collection, The Western Australia Museum, and the Japanese Antarctic Meteorite Research Centre. US Antarctic meteorite samples are recovered by the Antarctic Search for Meteorites (ANSMET) program which has been funded by NSF and NASA, and characterised by the Department of Mineral Sciences of the Smithsonian Institution and Astromaterials Acquisition and Curation Office at NASA Johnson Space Centre. This work was funded by the Science and Technology Facilities Council through grants ST/N000846/1 and ST/H002960/1 to M.R.L). The authors acknowledge the facilities, and the scientific and technical assistance, of the Australian Microscopy and Microanalysis Research Facility at the Centre for Microscopy, Characterisation and Analysis, University of Western Australia and the Imaging Spectroscopy and Analysis Centre, University of Glasgow. The authors would also like to thank Prof. Arya Udry, one anonymous reviewer and handling editor Prof. Tamsin Mather for their invaluable comments and suggestions to improve this manuscript.</t>
  </si>
  <si>
    <t>10.1016/j.epsl.2019.05.050</t>
  </si>
  <si>
    <t>IH5AB</t>
  </si>
  <si>
    <t>WOS:000474502200022</t>
  </si>
  <si>
    <t>Lunning, NG; Mccoy, TJ; Schrader, DL; Nagashima, K; Corrigan, CM; Gross, J; Kracher, A</t>
  </si>
  <si>
    <t>Lunning, Nicole G.; Mccoy, Timothy J.; Schrader, Devin L.; Nagashima, Kazu; Corrigan, Catherine M.; Gross, Juliane; Kracher, Alfred</t>
  </si>
  <si>
    <t>Lewis Cliff 86211 and 86498: Metal-sulfide liquid segregates from a carbonaceous chondrite impact melt</t>
  </si>
  <si>
    <t>EARLY SOLAR-SYSTEM; IRON-METEORITES; SHOCK METAMORPHISM; MODAL MINERALOGY; OXYGEN-ISOTOPE; CR CHONDRITES; ORIGIN; RICH; CLASSIFICATION; EVOLUTION</t>
  </si>
  <si>
    <t>The petrogenesis of the ungrouped iron meteorite Lewis Cliffs (LEW) 86211 and its proposed pair LEW 86498 has remained elusive in the decades since their discovery in Antarctica. Wasson (1990) and Kracher et al. (1998) noted the enrichment in the siderophile refractory elements, fine-grained texture, and high abundances of sulfides in LEW 86211 as features that are both difficult to explain and that set it apart from other iron meteorites. In this work, we investigate the pairing and formation of these two ungrouped iron meteorites using a combination of petrography, electron microprobe analyses, and secondary ion probe analyses of oxygen-three isotope of olivine. Similarities in petrographic features and phase compositions further support the initial pairing of LEW 86211 and 86498. The bulk composition of LEW 86211 (Wasson, 1990) closely resembles those of separated chondritic metallic components (e.g., Kong and Ebihara, 1997), which indicates this pairing group formed directly from this portion of a chondrite. The metal-sulfide cellular textures and mineral compositional trends are consistent with LEW 86211 and 86498 forming by rapid cooling of the FeNiS immiscible liquid of a larger chondritic impact melt unit. Previous bulk oxygen-three isotope analyses (Clayton and Mayeda, 1996) combined with the in situ oxygen-three isotope analyses from this work are consistent with LEW 86211 having a carbonaceous chondrite provenance. LEW 86211 is most similar to CR chondrites in its oxygen-three isotope signatures, but may not be from an established carbonaceous chondrite group. The silicate inclusions in LEW 86211 and 86498 record evidence of pre-impact metamorphism and later reduction related to contact with the metal-sulfide impact melt liquid. The silicate inclusions appear to have been engulfed by metal-sulfide liquids rather than part of the impact melted unit. Additionally, the size of this sulfide-dominated pairing group compared to the volume of sulfides and metal in unmelted CR chondrite suggests that these meteorites originated from a much larger carbonaceous chondrite impact melt body than has been previously recognized (e.g., Lunning et al., 2016). (C) 2019 Elsevier Ltd. All rights reserved.</t>
  </si>
  <si>
    <t>[Lunning, Nicole G.; Mccoy, Timothy J.; Corrigan, Catherine M.] Smithsonian Inst, Dept Mineral Sci, Natl Museum Nat Hist, Washington, DC 20560 USA; [Lunning, Nicole G.; Gross, Juliane] Rutgers State Univ, Dept Earth &amp; Planetary Sci, 610 Taylor Rd, Piscataway, NJ 08854 USA; [Schrader, Devin L.] Arizona State Univ, Ctr Meteorite Studies, Tempe, AZ 85287 USA; [Schrader, Devin L.] Arizona State Univ, Sch Earth &amp; Space Explorat, Tempe, AZ 85287 USA; [Nagashima, Kazu] Univ Hawaii Manoa, Hawaii Inst Geophys &amp; Planetol, 1680 East West Rd,Post 602, Honolulu, HI 96822 USA; [Kracher, Alfred] Iowa State Univ, Ames, IA 50011 USA</t>
  </si>
  <si>
    <t>Smithsonian Institution; Smithsonian National Museum of Natural History; Rutgers University System; Rutgers University New Brunswick; Arizona State University; Arizona State University-Tempe; Arizona State University; Arizona State University-Tempe; University of Hawaii System; University of Hawaii Manoa; Iowa State University</t>
  </si>
  <si>
    <t>Lunning, NG (corresponding author), Smithsonian Inst, Dept Mineral Sci, Natl Museum Nat Hist, Washington, DC 20560 USA.</t>
  </si>
  <si>
    <t>ng120@eps.nitgers.edu; mccoyt@si.edu; devin.schrader@asu.edu; kazu@higp.hawaii.edu; corriganc@si.edu; jgross@eps.rutgers.edu</t>
  </si>
  <si>
    <t>Schrader, Devin L/H-6293-2012</t>
  </si>
  <si>
    <t>Corrigan, Catherine/0000-0002-0151-1457; Nagashima, Kazuhide/0000-0002-9322-3187; Lunning, Nicole/0000-0002-9845-5104; Schrader, Devin/0000-0001-5282-232X; McCoy, Timothy/0000-0002-4573-3553</t>
  </si>
  <si>
    <t>NASA Cosmochemistry [NNX11AC67G]; NSF; NASA; NASA [NNX11AC67G, 149410] Funding Source: Federal RePORTER</t>
  </si>
  <si>
    <t>NASA Cosmochemistry(National Aeronautics &amp; Space Administration (NASA)); NSF(National Science Foundation (NSF)); NASA(National Aeronautics &amp; Space Administration (NASA)); NASA(National Aeronautics &amp; Space Administration (NASA))</t>
  </si>
  <si>
    <t>NASA Cosmochemistry #NNX11AC67G funded this research. Peter Buck Smithsonian Institution Fellowship provided support for NGL.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Tim Gooding for assistance re-mounting and re-polishing samples. We thank Tasha Dunn and an anonymous reviewer for thoughtful and constructive reviews which improved this work.</t>
  </si>
  <si>
    <t>10.1016/j.gca.2019.05.032</t>
  </si>
  <si>
    <t>IH0RF</t>
  </si>
  <si>
    <t>WOS:000474198900015</t>
  </si>
  <si>
    <t>McCoy, TJ; Corrigan, CM; Nagashima, K; Reynolds, VS; Ash, RD; McDonough, WF; Yang, J; Goldstein, JI; Hilton, CD</t>
  </si>
  <si>
    <t>McCoy, T. J.; Corrigan, C. M.; Nagashima, K.; Reynolds, V. S.; Ash, R. D.; McDonough, W. F.; Yang, J.; Goldstein, J., I; Hilton, C. D.</t>
  </si>
  <si>
    <t>The Milton pallasite and South Byron Trio irons: Evidence for oxidation and core crystallization</t>
  </si>
  <si>
    <t>Meteorites; Iron meteorites; Pallasites; Cooling rates; Oxygen isotopes; Siderophile elements; Oxidation; Crystallization</t>
  </si>
  <si>
    <t>MAIN-GROUP PALLASITES; CHEMICAL CLASSIFICATION; GE CONCENTRATIONS; OXYGEN-ISOTOPE; COOLING RATES; GROUP IVA; METEORITES; HISTORIES; ORIGIN; AGE</t>
  </si>
  <si>
    <t>The link between the Milton pallasite and the South Byron Trio irons is examined through metallography and metallogaphic cooling rates; major, minor, and trace element compositions of metal; inclusion mineralogy and mineral compositions; and oxygen isotopic compositions. The metallic hosts of these Ni-rich meteorites (18.2-20.3 wt% Ni) are dominated by plessite with spindles of kamacite and schreibersite. The presence of similar to 50 nm wide tetrataenite and absence of high-Ni particles in the cloudy zone in Milton suggest cooling of similar to 2000 K/Myr or &gt;10,000 K/Myr. Compositionally, the metallic host in all four meteorites exhibits modest (1-2 orders of magnitude compared to CI chondrites) depletions of volatile elements relative to refractory elements, and marked depletions in the redox sensitive elements W, Mo, Fe, and P. Oxygen isotopic compositions (Delta O-17) are, within uncertainty, the same for the Milton and the South Byron Trio and for IVB irons. Similarities in metallography, metal composition, inclusion mineralogy, and oxygen (Delta O-17), molybdenum and ruthenium isotopic composition suggest that the Milton pallasite and South Byron Trio irons could have originated on a common parent body as chemically distinct melt, or on separate parent bodies that experience similar cosmochemical and geochemical processes. The Milton pallasite and South Byron Trio irons share a number of properties with IVB irons, including metallography, enrichment in highly siderophile elements and nickel, inclusion mineralogy and oxygen isotopic composition, suggesting they formed in a similar nebular region through common processes, although Milton and the South Byron Trio did not experience the dramatic volatile loss of the IVB irons. Depletions in W, Mo, Fe, and P relative to elements of similar volatility likely result from oxidation, either in the nebula prior to accretion or on the parent body during melting. Oxidation of similar to 73 wt% Fe is indicated, with a correspondingly FeO-rich mantle and smaller core. If Milton and the South Byron Trio sample a common core, Milton formed near the surface of the core after stripping of the silicate shell and may have experienced rapid solidification and contamination by an impactor. The molten core, from which the South Byron Trio irons crystallized, solidified from the outside in. (C) 2019 Elsevier Ltd. All rights reserved.</t>
  </si>
  <si>
    <t>[McCoy, T. J.; Corrigan, C. M.; Reynolds, V. S.] Smithsonian Inst, Dept Mineral Sci, Washington, DC 20560 USA; [Nagashima, K.] Univ Hawaii Manoa, Hawaii Inst Geophys &amp; Planetol, Honolulu, HI 96822 USA; [Reynolds, V. S.] UNC Charlotte, Dept Geog &amp; Earth Sci, Charlotte, NC 28223 USA; [Ash, R. D.; McDonough, W. F.; Hilton, C. D.] Univ Maryland, Dept Geol, College Pk, MD 20742 USA; [Yang, J.; Goldstein, J., I] Univ Massachusetts, Dept Mech &amp; Ind Engn, Amherst, MA 01003 USA; [Yang, J.] Chinese Acad Sci, Inst Geol &amp; Geophys, Key Lab Shale Gas &amp; Geoengn, Beijing 100029, Peoples R China; [Yang, J.] Univ Chinese Acad Sci, Inst Earth Sci, Beijing 100029, Peoples R China</t>
  </si>
  <si>
    <t>Smithsonian Institution; Smithsonian National Museum of Natural History; University of Hawaii System; University of Hawaii Manoa; University of North Carolina; University of North Carolina Charlotte; University System of Maryland; University of Maryland College Park; University of Massachusetts System; University of Massachusetts Amherst; Chinese Academy of Sciences; Institute of Geology &amp; Geophysics, CAS; Chinese Academy of Sciences; University of Chinese Academy of Sciences, CAS</t>
  </si>
  <si>
    <t>McCoy, TJ (corresponding author), Smithsonian Inst, Dept Mineral Sci, Washington, DC 20560 USA.</t>
  </si>
  <si>
    <t>mccoyt@si.edu</t>
  </si>
  <si>
    <t>Ash, Richard/AAD-4888-2021; McDonough, William F/C-4791-2009</t>
  </si>
  <si>
    <t>Ash, Richard/0000-0003-2144-5917; McCoy, Timothy/0000-0002-4573-3553; McDonough, William/0000-0001-9154-3673; Corrigan, Catherine/0000-0002-0151-1457; Nagashima, Kazuhide/0000-0002-9322-3187</t>
  </si>
  <si>
    <t>NASA; National Science Foundation; Smithsonian Institution; NASA's Cosmochemistry and Emerging Worlds programs</t>
  </si>
  <si>
    <t>NASA(National Aeronautics &amp; Space Administration (NASA)); National Science Foundation(National Science Foundation (NSF)); Smithsonian Institution(Smithsonian Institution); NASA's Cosmochemistry and Emerging Worlds programs</t>
  </si>
  <si>
    <t>This paper is dedicated to our colleague Joe Goldstein, who passed away June 27, 2015 before this work could be completed. The Smithsonian Institution, Arizona State University, the American Museum of Natural History, and the U.S. Antarctic Meteorite Program under the auspices of NASA, the National Science Foundation and the Smithsonian Institution provided samples for this work. This work was funded by NASA's Cosmochemistry and Emerging Worlds programs. Discussions with A. Campbell, M. Humayun, R. Walker, N. Chabot and B. Weiss are appreciated. We thank Drs. Joe Michael and Paul Kotula, Sandia National Laboratories, for assistance in obtaining Ni X-ray images. Helpful reviews by Ed Scott, Joe Boesenberg and an anonymous reviewer helped clarify the manuscript.</t>
  </si>
  <si>
    <t>10.1016/j.gca.2019.06.005</t>
  </si>
  <si>
    <t>WOS:000474198900021</t>
  </si>
  <si>
    <t>Gutiérrez, NM; Pino, JP; Le Roux, JP; Pedroza, V; Oyarzun, JL; Hinojosa, LF</t>
  </si>
  <si>
    <t>Gutierrez, Nestor M.; Pablo Pino, Juan; Le Roux, Jacobus P.; Pedroza, Viviana; Luis Oyarzun, Jose; Felipe Hinojosa, Luis</t>
  </si>
  <si>
    <t>An Oligocene microthermal forest dominated by Nothofagus in Sierra Baguales, Chilean Patagonia: Response to global cooling and tectonic events</t>
  </si>
  <si>
    <t>PALAEOGEOGRAPHY PALAEOCLIMATOLOGY PALAEOECOLOGY</t>
  </si>
  <si>
    <t>Rio Leona Formation; Paleoclimatc; Andean tectonics; Bartonian-Rupelian cooling</t>
  </si>
  <si>
    <t>SOUTHERN SOUTH-AMERICA; PLANT DIVERSITY; LEAF MORPHOLOGY; TERTIARY; CLIMATE; EVOLUTION; LEAVES; FOSSIL; PALEOCLIMATE; PHYSIOGNOMY</t>
  </si>
  <si>
    <t>A large fossil leaf assemblage (&gt; 3700 specimens) is reported from the Oligocene Rio Leona Formation in the Sierra Baguales of Chilean Patagonia. The association comprises 29 species but is dominated by Nothofagus genera, which constitutes 65% of specimens. The collection can be classified as a Mixed Palaeoflora of the Austral -Antarctic association. Stratigraphic analysis of the assemblage indicates a decrease in species diversity and richness over time, which was accompanied by species turnover. Quantitative studies of foliar morphology (CLAMP, Leaf Margin Analysis) indicates cool-to-cold and dry climatic conditions, with a Mean Annual Temperature of 9.2 degrees C, a relatively high seasonality in temperature and precipitation, and a Mean Annual Precipitation of 931 mm. Nothofagus only became dominant in southeastern Patagonia during the Rupelian, coinciding with a marked global cooling period linked to the initiation of glaciation in Antarctica about 34 Ma. The decrease in precipitation following this event is attributed to the development of a rain shadow to the east of the rising Southern Patagonian Andes, which must have been of the order of 1000 m or more for topographic climate forcing to take effect. This contrasts with the rain shadow development east of the Andes at lower latitudes, which was mainly manifested after the middle Miocene.</t>
  </si>
  <si>
    <t>[Gutierrez, Nestor M.; Le Roux, Jacobus P.; Pedroza, Viviana] Univ Chile, Dept Geol, FCFM, Plaza Ercilla 803, Santiago, Chile; [Pablo Pino, Juan; Felipe Hinojosa, Luis] Univ Chile, Dept Ciencias Ecol, Santiago, Chile; [Le Roux, Jacobus P.; Pedroza, Viviana] Ctr Excelencia Geotermia Andes, Plaza Ercilla 803, Santiago, Chile; [Luis Oyarzun, Jose] Parque Geol &amp; Paleontol La Cumbre Baguales, Km 385 Norte Ruta 9, Magallenes, Chile; [Felipe Hinojosa, Luis] IEB, Santiago, Chile; [Gutierrez, Nestor M.] Univ Chile, Ctr Invest Desarrollo &amp; Innovat Estruct &amp; Mat IDI, Santiago, Chile</t>
  </si>
  <si>
    <t>Universidad de Chile; Universidad de Chile; Universidad de Chile</t>
  </si>
  <si>
    <t>Gutiérrez, NM (corresponding author), Univ Chile, Dept Geol, FCFM, Plaza Ercilla 803, Santiago, Chile.</t>
  </si>
  <si>
    <t>gutierrezn@ug.uchile.cl</t>
  </si>
  <si>
    <t>Le Roux, Jacobus Philippus/U-7085-2019; Hinojosa, Luis Felipe/J-7557-2017</t>
  </si>
  <si>
    <t>Le Roux, Jacobus Philippus/0000-0003-0173-4471; Pino, Juan Pablo/0000-0002-2092-023X; Hinojosa, Luis Felipe/0000-0001-5646-649X</t>
  </si>
  <si>
    <t>PIA, CONICYT [ANILLOS ATC-105, ACT 172099]; FONDECYT [1130006, 1150690]; Project CONICYT/FONDAP [15090013]; CONICYT</t>
  </si>
  <si>
    <t>PIA, CONICYT(Comision Nacional de Investigacion Cientifica y Tecnologica (CONICYT)); FONDECYT(Comision Nacional de Investigacion Cientifica y Tecnologica (CONICYT)CONICYT FONDECYT); Project CONICYT/FONDAP(Comision Nacional de Investigacion Cientifica y Tecnologica (CONICYT)CONICYT FONDAP); CONICYT(Comision Nacional de Investigacion Cientifica y Tecnologica (CONICYT))</t>
  </si>
  <si>
    <t>This research was financially supported by Projects ANILLOS ATC-105, ACT 172099 (PIA, CONICYT), FONDECYT 1130006 and 1150690, being carried out under the auspices of Project CONICYT/FONDAP 15090013. N.M.G. is grateful for a doctoral grant from CONICYT. Special thanks to Maclean Family (Estancia La Cumbre Owners) for providing access to property and the valuable logistics that made this research possible.</t>
  </si>
  <si>
    <t>0031-0182</t>
  </si>
  <si>
    <t>1872-616X</t>
  </si>
  <si>
    <t>PALAEOGEOGR PALAEOCL</t>
  </si>
  <si>
    <t>Paleogeogr. Paleoclimatol. Paleoecol.</t>
  </si>
  <si>
    <t>10.1016/j.palaeo.2019.04.006</t>
  </si>
  <si>
    <t>Geography, Physical; Geosciences, Multidisciplinary; Paleontology</t>
  </si>
  <si>
    <t>Physical Geography; Geology; Paleontology</t>
  </si>
  <si>
    <t>IE1CQ</t>
  </si>
  <si>
    <t>WOS:000472123900001</t>
  </si>
  <si>
    <t>Kim, T; Lee, J; Lim, JS</t>
  </si>
  <si>
    <t>Kim, Taewan; Lee, Jeongsoon; Lim, Jeong Sik</t>
  </si>
  <si>
    <t>Multipoint normalization of δ18O of water against the VSMOW2-SLAP2 scale with an uncertainty assessment</t>
  </si>
  <si>
    <t>Isotope ratio mass spectrometry; delta O-18; Multipoint normalization; VSMOW2; SLAP2; Uncertainty assessment</t>
  </si>
  <si>
    <t>STABLE-ISOTOPE-RATIO; MASS-SPECTROMETRY; O-17 CORRECTION; HIGH-PRECISION; DELTA-C-13; CO2; GUIDELINES; HYDROGEN; CARBON</t>
  </si>
  <si>
    <t>In this study, we measured the oxygen stable isotope ratio of drinking water using gas chromatography isotope ratio mass spectrometry. The delta O-18 value of drinking water was normalized based on the Vienna Standard Mean Ocean Water 2 (VSMOW2), Standard Light Antarctic Precipitation 2 (SLAP2), and Greenland Ice Sheet Precipitation (GISP) scale by CO2 equilibrium for 24 h. The isotope ratio responses of a dummy sample drifted as much as 0.145 parts per thousand due to a significant decrease in the amount of injected sample. The autodilution technique improved measurement precision of the delta O-18 of dummy sample two-fold compared to that without autodilution to 0.025 parts per thousand. The autodilution of an injected concentration of equilibrated CO2 also helped improve the measurement precision of the isotope ratio response. The drift of the ratio responses was tested using linear model regression to validate linearity within the sample concentration and isotope ratio ranges. Measurement reliability was assessed using various statistical approaches. One-way analysis of variance verified non-reproducible results of individual measurements. Normalization uncertainties were then assessed by various normalization schemes including two-point and three-point values consisting of the VSMOW2, SLAP2, and GISP standards, showing equivalent results associated with similar extent of normalization uncertainties among various normalization methods. In particular, the uncertainty of the GISP (0.09 parts per thousand) contributed to one-third of the total normalization uncertainty, implying that the three-point normalization can be improved by a potential standard of which uncertainty is equivalent to the bracketing standards, VSMOW2 (0.02 parts per thousand) and SLAP2 (0.02 parts per thousand).</t>
  </si>
  <si>
    <t>[Kim, Taewan; Lee, Jeongsoon; Lim, Jeong Sik] KRISS, Ctr Gas Anal, Gajeong Ro 267, Daejeon 34113, South Korea; [Kim, Taewan; Lee, Jeongsoon; Lim, Jeong Sik] UST, Sci Measurement, Gajeong Ro 217, Daejeon 34113, South Korea</t>
  </si>
  <si>
    <t>Korea Research Institute of Standards &amp; Science (KRISS); University of Science &amp; Technology (UST)</t>
  </si>
  <si>
    <t>Lim, JS (corresponding author), KRISS, Ctr Gas Anal, Gajeong Ro 267, Daejeon 34113, South Korea.</t>
  </si>
  <si>
    <t>lim.jeongsik@kriss.re.kr</t>
  </si>
  <si>
    <t>Korea Research Institute of Standards and Science, Republic of Korea (KRISS) under the basic R&amp;D project of establishment of measurement standards for physical and chemical properties of particulate matter [19011062]</t>
  </si>
  <si>
    <t>Korea Research Institute of Standards and Science, Republic of Korea (KRISS) under the basic R&amp;D project of establishment of measurement standards for physical and chemical properties of particulate matter</t>
  </si>
  <si>
    <t>This work was funded by the Korea Research Institute of Standards and Science, Republic of Korea (KRISS) under the basic R&amp;D project of establishment of measurement standards for physical and chemical properties of particulate matter (Grant No. 19011062).</t>
  </si>
  <si>
    <t>10.1016/j.talanta.2019.04.033</t>
  </si>
  <si>
    <t>IC6LT</t>
  </si>
  <si>
    <t>WOS:000471084300051</t>
  </si>
  <si>
    <t>Dang, M; Pittman, K; Bach, L; Sonne, C; Hansson, SV; Sondergaard, J; Stride, M; Nowak, B</t>
  </si>
  <si>
    <t>Dang, Mai; Pittman, Karin; Bach, Lis; Sonne, Christian; Hansson, Sophia, V; Sondergaard, Jens; Stride, Megan; Nowak, Barbara</t>
  </si>
  <si>
    <t>Mucous cell responses to contaminants and parasites in shorthorn sculpins (Myoxocephalus scorpius) from a former lead-zinc mine in West Greenland</t>
  </si>
  <si>
    <t>Mucosal mapping; Heavy metals; Parasite; Skin; Gills; Mining</t>
  </si>
  <si>
    <t>MARINE ECOSYSTEMS; ATLANTIC SALMON; INNATE IMMUNITY; FISH; SKIN; HISTOPATHOLOGY; MAARMORILIK; POLLUTION; METALS; FJORD</t>
  </si>
  <si>
    <t>Previous studies of sculpins from the former lead (Pb) - zinc (Zn) mine near Maarmorilik, West Greenland, have shown that these fish are affected by heavy metal exposure from the mine. In this study, we applied mucosa! mapping (a stereological method for mucosal quantification in fish) to uncover interactions between the host, parasites and heavy metal exposure (Pb and Zn) in shorthorn sculpins from the Maarmorilik mining site at a gradient of 3 stations. Skin and gill mucosal epithelia of shorthorn sculpins were significantly affected and reflected the exposure to environmental heavy metals and parasites. Size of skin mucous cells was significantly smallest in the sculpin from the station 3 where heavy metal contamination was lowest and the skin parasite load was highest. Gill filament mucous cells were largest and densest in fish from station 1 which was the most contaminated site. In gill lamellae the density of mucous cell followed a toxicity gradient and was significantly highest at the most contaminated station and significantly lowest at the least contaminated station. The persistent presence of toxic Pb and Zn levels in the sediment at the most contaminated station may have induced a small but measurable reduction in the surface area available for respiration and may have affected diffusion distance. The strong correlation between size of filamentous mucous cells and Pb concentrations in liver suggests that cells can play an active role in reducing the somatic load of Pb in sculpin. We suggest that mucosal mapping can be used to assess effects of contaminant and parasite exposure in future environmental field studies. (C) 2019 Elsevier B.V. All rights reserved.</t>
  </si>
  <si>
    <t>[Dang, Mai; Stride, Megan; Nowak, Barbara] Univ Tasmania, Inst Marine &amp; Antarctic Studies, Launceston, Tas 7250, Australia; [Dang, Mai] Inst Vet Res &amp; Dev Cent Vietnam, Dept Bacteriol, Km 4,2-4 St, Nha Trang 57000, Khanh Hoa, Vietnam; [Pittman, Karin] Univ Bergen, Dept Biol, Thormohlensgate 53, N-5006 Bergen, Norway; [Bach, Lis; Sonne, Christian; Hansson, Sophia, V; Sondergaard, Jens; Nowak, Barbara] Aarhus Univ, Fac Sci &amp; Technol, Dept Biosci, Arc, Frederiksborgvej 399,POB 358, DK-4000 Roskilde, Denmark</t>
  </si>
  <si>
    <t>University of Tasmania; University of Bergen; Aarhus University</t>
  </si>
  <si>
    <t>Dang, M (corresponding author), Univ Tasmania, Inst Marine &amp; Antarctic Studies, Launceston, Tas 7250, Australia.</t>
  </si>
  <si>
    <t>thi.dang@utas.edu.au</t>
  </si>
  <si>
    <t>Sonne, Christian/I-7532-2013; Søndergaard, Jens/AAZ-1079-2020; Hansson, Sophia V/F-1470-2018; Nowak, Barbara/J-7261-2014; Bach, Lis/J-6567-2013</t>
  </si>
  <si>
    <t>Sonne, Christian/0000-0001-5723-5263; Søndergaard, Jens/0000-0001-7680-9920; Hansson, Sophia V/0000-0001-5874-0720; Dang, Mai T. S./0000-0003-2542-120X; Nowak, Barbara/0000-0002-0347-643X; Bach, Lis/0000-0003-2891-4202</t>
  </si>
  <si>
    <t>Ministry of Environment and Food of Denmark; Environmental Agency forMineral Resource Activities [771020]; Government of Greenland; Arctic Research Centre, Aarhus University; Australian Society for Parasitology</t>
  </si>
  <si>
    <t>Ministry of Environment and Food of Denmark; Environmental Agency forMineral Resource Activities; Government of Greenland; Arctic Research Centre, Aarhus University; Australian Society for Parasitology</t>
  </si>
  <si>
    <t>This project was funded by financial support from The Ministry of Environment and Food of Denmark, The Environmental Agency forMineral Resource Activities (project 771020), Government of Greenland, and the Arctic Research Centre, Aarhus University, which are all greatly acknowledged. The authors also wish to thank Adrian Hehl for assistance in the field, as well as the laboratory technicians Anna Marie Plejdrup and Thomas Hansen for assistancewith the Q-ICP-MS analysis. In addition, the mining company Angelmining PLC is acknowledged for providing the logistical facilities on site during the 2017 summer sampling campaign.; The authors sincerely thank the Australian Society for Parasitology for financial support (via a JD Smyth Postgraduate Student Travel Award 2017) for the Norway trip to analyse samples. Dr. Mach Diep, Dr. Nguyen Thi Hai Thanh, Dr. Le Hoang Thi My Dung, and Dr. Mei Ooi are acknowledged for their assistance and encouragement. Dr. Grigory Merkin and Dr. Mearge Okubamichael of Quantidoc AS, Bergen, Norway, are gratefully acknowledged for their assistance, patience and insight during the analyses of mucous cells.</t>
  </si>
  <si>
    <t>10.1016/j.scitotenv.2019.04.412</t>
  </si>
  <si>
    <t>HZ1PK</t>
  </si>
  <si>
    <t>WOS:000468618900022</t>
  </si>
  <si>
    <t>Wang, YK; Shulga, V; Milinevsky, G; Patoka, A; Evtushevsky, O; Klekociuk, A; Han, W; Grytsai, A; Shulga, D; Myshenko, V; Antyufeyev, O</t>
  </si>
  <si>
    <t>Wang, Yuke; Shulga, Valerii; Milinevsky, Gennadi; Patoka, Aleksey; Evtushevsky, Oleksandr; Klekociuk, Andrew; Han, Wei; Grytsai, Asen; Shulga, Dmitry; Myshenko, Valery; Antyufeyev, Oleksandr</t>
  </si>
  <si>
    <t>Winter 2018 major sudden stratospheric warming impact on midlatitude mesosphere from microwave radiometer measurements</t>
  </si>
  <si>
    <t>ATMOSPHERIC CHEMISTRY AND PHYSICS</t>
  </si>
  <si>
    <t>GROUND-BASED OBSERVATIONS; MIDDLE-ATMOSPHERIC WIND; CARBON-MONOXIDE; CO; TEMPERATURE; DESCENT; THERMOSPHERE; ASSIMILATION; CLIMATOLOGY; TROPOSPHERE</t>
  </si>
  <si>
    <t>The impact of a major sudden stratospheric warming (SSW) in the Arctic in February 2018 on the midlatitude mesosphere is investigated by performing the microwave radiometer measurements of carbon monoxide (CO) and zonal wind above Kharkiv, Ukraine (50.0 degrees N, 36.3 degrees E). The mesospheric peculiarities of this SSW event were observed using a recently designed and installed microwave radiometer in eastern Europe for the first time. Data from the ERA-Interim and MERRA-2 reanalyses, as well as the Aura microwave limb sounder measurements, are also used. Microwave observations of the daily CO profiles in January-March 2018 allowed for the retrieval of mesospheric zonal wind at 7085 km (below the winter mesopause) over the Kharkiv site. Reversal of the mesospheric westerly from about 10m s(-1) to an easterly wind of about -10m s(-1) around 10 February was observed. The local microwave observations at our Northern Hemisphere (NH) midlatitude site combined with reanalysis data show wide-ranging daily variability in CO, zonal wind, and temperature in the mesosphere and stratosphere during the SSW of 2018. The observed local CO variability can be explained mainly by horizontal air mass redistribution due to planetary wave activity. Replacement of the CO-rich polar vortex air by CO-poor air of the surrounding area led to a significant mesospheric CO decrease over the station during the SSW and fragmentation of the vortex over the station at the SSW start caused enhanced stratospheric CO at about 30 km. The results of microwave measurements of CO and zonal wind in the midlatitude mesosphere at 70-85 km altitudes, which still are not adequately covered by ground-based observations, are useful for improving our understanding of the SSW impacts in this region.</t>
  </si>
  <si>
    <t>[Wang, Yuke; Shulga, Valerii; Milinevsky, Gennadi; Han, Wei] Jilin Univ, Coll Phys, Int Ctr Future Sci, Changchun 130012, Jilin, Peoples R China; [Shulga, Valerii; Patoka, Aleksey; Shulga, Dmitry; Myshenko, Valery; Antyufeyev, Oleksandr] Natl Acad Sci Ukraine, Inst Radio Astron, UA-61002 Kharkov, Ukraine; [Milinevsky, Gennadi; Evtushevsky, Oleksandr; Grytsai, Asen] Taras Shevchenko Natl Univ Kyiv, UA-01601 Kiev, Ukraine; [Klekociuk, Andrew] Australian Antarctic Div, Antarctica &amp; Global Syst, Kingston, Tas 7050, Australia; [Klekociuk, Andrew] Univ Adelaide, Dept Phys, Adelaide, SA 5005, Australia</t>
  </si>
  <si>
    <t>Jilin University; National Academy of Sciences Ukraine; Institute of Radio Astronomy of the National Academy of Sciences of Ukraine; Ministry of Education &amp; Science of Ukraine; Taras Shevchenko National University of Kyiv; Australian Antarctic Division; University of Adelaide</t>
  </si>
  <si>
    <t>Shulga, V; Milinevsky, G (corresponding author), Jilin Univ, Coll Phys, Int Ctr Future Sci, Changchun 130012, Jilin, Peoples R China.;Shulga, V (corresponding author), Natl Acad Sci Ukraine, Inst Radio Astron, UA-61002 Kharkov, Ukraine.;Milinevsky, G (corresponding author), Taras Shevchenko Natl Univ Kyiv, UA-01601 Kiev, Ukraine.</t>
  </si>
  <si>
    <t>shulga@rian.kharkov.ua; genmilinevsky@gmail.com</t>
  </si>
  <si>
    <t>Grytsai, Asen/AAS-7114-2020; Milinevsky, Gennadi/AAD-8801-2019; Han, Wei/N-7151-2018; Evtushevsky, Oleksandr O.M./F-2065-2017; Klekociuk, Andrew/A-4498-2015</t>
  </si>
  <si>
    <t>Milinevsky, Gennadi/0000-0002-2342-2615; Han, Wei/0000-0002-4830-3487; Evtushevsky, Oleksandr O.M./0000-0003-0582-559X; Grytsai, Asen/0000-0002-2545-9833; Klekociuk, Andrew/0000-0003-3335-0034</t>
  </si>
  <si>
    <t>Taras Shevchenko National University of Kyiv, Ukraine [19BF051-08]</t>
  </si>
  <si>
    <t>Taras Shevchenko National University of Kyiv, Ukraine</t>
  </si>
  <si>
    <t>This research has been supported in part by the Taras Shevchenko National University of Kyiv, Ukraine (grant no. 19BF051-08).</t>
  </si>
  <si>
    <t>1680-7316</t>
  </si>
  <si>
    <t>1680-7324</t>
  </si>
  <si>
    <t>ATMOS CHEM PHYS</t>
  </si>
  <si>
    <t>Atmos. Chem. Phys.</t>
  </si>
  <si>
    <t>AUG 14</t>
  </si>
  <si>
    <t>10.5194/acp-19-10303-2019</t>
  </si>
  <si>
    <t>Environmental Sciences; Meteorology &amp; Atmospheric Sciences</t>
  </si>
  <si>
    <t>Environmental Sciences &amp; Ecology; Meteorology &amp; Atmospheric Sciences</t>
  </si>
  <si>
    <t>IR8IZ</t>
  </si>
  <si>
    <t>Green Submitted, gold</t>
  </si>
  <si>
    <t>WOS:000481687100002</t>
  </si>
  <si>
    <t>Pacoureau, N; Delord, K; Jenouvrier, S; Barbraud, C</t>
  </si>
  <si>
    <t>Pacoureau, Nathan; Delord, Karine; Jenouvrier, Stephanie; Barbraud, Christophe</t>
  </si>
  <si>
    <t>Demographic and population responses of an apex predator to climate and its prey: a long-term study of South Polar Skuas</t>
  </si>
  <si>
    <t>ECOLOGICAL MONOGRAPHS</t>
  </si>
  <si>
    <t>Adelie Penguin Pygoscelis adeliae; age structure; Antarctica; capture-mark-recapture; Catharacta maccormicki; density dependence; deterministic density-dependent matrix population model; Emperor Penguin Aptenodytes forsteri; food availability; multistate model; sea ice concentration</t>
  </si>
  <si>
    <t>DENSITY-DEPENDENCE; CAPTURE-RECAPTURE; CATHARACTA-MACCORMICKI; STERCORARIUS-SKUA; HABITAT HETEROGENEITY; TEMPORAL VARIATION; TERRITORY QUALITY; BROOD REDUCTION; POINTE-GEOLOGIE; PACIFIC SECTOR</t>
  </si>
  <si>
    <t>Ecologists widely acknowledge that a complex interplay of endogenous (density-dependent) and exogenous (density-independent) factors impact demographic processes. Individuals respond differently to those forces, ultimately shaping the dynamics of wild populations. Most comprehensive studies disentangling simultaneously the effects of density dependence, climate, and prey abundance while taking into account age structure were conducted in terrestrial ecosystems. However, studies on marine populations are lacking. Here we provide insight into the mechanisms affecting four vital rates of an apex Antarctic marine predator population, the South Polar Skua Catharacta maccormicki, by combining a nearly half-century longitudinal time series of individual life histories and abundance data, with climatic and prey abundance covariates. Using multistate capture-mark-recapture models, we estimated age classes effects on survival, breeding, successful breeding with one or two chicks and successful breeding with two chicks probabilities, and assessed the different effects of population size, climate, and prey abundance on each age-specific demographic parameter. We found evidence for strong age effects in the four vital rates studied. Vital rates at younger ages were lower than those of older age classes for all parameters. Results clearly evidenced direct and indirect influences of local climate (summer sea ice concentration), of available prey resources (penguins), and of intrinsic factors (size of the breeding population). More covariate effects were found on reproductive rates than on survival, and younger age classes were more sensitive than the older ones. Results from a deterministic age-structured density-dependent matrix population model indicated greater effects of prey abundance and sea ice concentration on the total population size than on the breeding population size. Both total population size and the number of breeders were strongly affected by low values of sea ice concentration. Overall, our results highlight the greater sensitivity of reproductive traits and of younger age classes to prey abundance, climate variability, and density dependence in a marine apex predator, with important consequences on the total population size but with limited effects on the breeding population size. We discuss the mechanisms by which climate variability, prey abundance, and population size may affect differentially age-specific vital rates, and the potential population consequences of future environmental changes.</t>
  </si>
  <si>
    <t>[Pacoureau, Nathan; Delord, Karine; Jenouvrier, Stephanie; Barbraud, Christophe] Ctr Etud Biol Chize, UMR CNRS 7372, F-79360 Villiers En Bois, France; [Jenouvrier, Stephanie] Woods Hole Oceanog Inst, Dept Biol, MS 50, Woods Hole, MA 02543 USA</t>
  </si>
  <si>
    <t>Woods Hole Oceanographic Institution</t>
  </si>
  <si>
    <t>Pacoureau, N (corresponding author), Ctr Etud Biol Chize, UMR CNRS 7372, F-79360 Villiers En Bois, France.</t>
  </si>
  <si>
    <t>n.pacoureau@gmail.com</t>
  </si>
  <si>
    <t>Barbraud, Christophe/A-5870-2012</t>
  </si>
  <si>
    <t>Barbraud, Christophe/0000-0003-0146-212X; Pacoureau, Nathan/0000-0002-8363-6332</t>
  </si>
  <si>
    <t>French Polar Institute IPEV; Terres Australes et Antarctiques Francaises; Universite de La Rochelle; Agence Nationale de la Recherche [ANR-16-CE02-0007]; WHOI unrestricted funds; BNP Paribas Foundation; Zone Atelier Antarctique et Subantarctique (CNRS-INEE)</t>
  </si>
  <si>
    <t>French Polar Institute IPEV; Terres Australes et Antarctiques Francaises; Universite de La Rochelle; Agence Nationale de la Recherche(Agence Nationale de la Recherche (ANR)); WHOI unrestricted funds; BNP Paribas Foundation; Zone Atelier Antarctique et Subantarctique (CNRS-INEE)</t>
  </si>
  <si>
    <t>We are particularly grateful to all the field workers involved in the monitoring programs on South Polar Skuas and penguins at Pointe Geologie since 1963. These long-term demographic studies and the present work were supported financially and logistically by the French Polar Institute IPEV (program 109, resp. H. Weimerskirch), Terres Australes et Antarctiques Francaises, Zone Atelier Antarctique et Subantarctique (CNRS-INEE), Universite de La Rochelle (PhD grant N. Pacoureau), Agence Nationale de la Recherche (ANR-16-CE02-0007 Democom, resp. O. Gimenez). S. Jenouvrier acknowledges support from WHOI unrestricted funds. This study is a contribution to program SENSEI (SENtinels of the Sea Ice, resp. C. Barbraud and Y. Ropert-Coudert) funded by the BNP Paribas Foundation. Handling and manipulation of all animals were approved by the IPEV ethics committee. All animals in this study were cared for in accordance with its guidelines. We thank D. Besson for help in the data management, D.T. Iles and M. G. Neubert for constructive comments, and two anonymous reviewers for their help in improving the manuscript. C. Barbraud and N. Pacoureau designed and coordinated the research. Data management and quality check were performed by K. Delord and N. Pacoureau. Analyses were performed by N. Pacoureau with the support of C. Barbraud and S. Jenouvrier. N. Pacoureau, K. Delord, S. Jenouvrier, and C. Barbraud wrote the manuscript.</t>
  </si>
  <si>
    <t>0012-9615</t>
  </si>
  <si>
    <t>1557-7015</t>
  </si>
  <si>
    <t>ECOL MONOGR</t>
  </si>
  <si>
    <t>Ecol. Monogr.</t>
  </si>
  <si>
    <t>10.1002/ecm.1388</t>
  </si>
  <si>
    <t>JK4ZT</t>
  </si>
  <si>
    <t>WOS:000481069000001</t>
  </si>
  <si>
    <t>Gallardo-Benavente, C; Carrión, O; Todd, JD; Pieretti, JC; Seabra, AB; Durán, N; Rubilar, O; Pérez-Donoso, JM; Quiroz, A</t>
  </si>
  <si>
    <t>Gallardo-Benavente, Carla; Carrion, Ornella; Todd, Jonathan D.; Pieretti, Joana C.; Seabra, Amedea B.; Duran, Nelson; Rubilar, Olga; Perez-Donoso, Jose M.; Quiroz, Andres</t>
  </si>
  <si>
    <t>Biosynthesis of CdS Quantum Dots Mediated by Volatile Sulfur Compounds Released by Antarctic Pseudomonas fragi</t>
  </si>
  <si>
    <t>Antarctic bacteria; quantum dot; nanoparticle biosynthesis; volatile sulfur compounds; cadmium sulfide</t>
  </si>
  <si>
    <t>CADMIUM-SULFIDE NANOPARTICLES; EXTRACELLULAR SYNTHESIS; SILVER NANOPARTICLES; NANOCRYSTALS; METABOLISM; GENERATION; BACTERIA; SULFATE; SIZE; H2S</t>
  </si>
  <si>
    <t>Previously we reported the biosynthesis of intracellular cadmium sulfide quantum dots (CdS QDs) at low temperatures by the Antarctic strain Pseudomonas fragi GC01. Here we studied the role of volatile sulfur compounds (VSCs) in the biosynthesis of CdS QDs by P. fragi GC01. The biosynthesis of nanoparticles was evaluated in the presence of sulfate, sulfite, thiosulfate, sulfide, cysteine and methionine as sole sulfur sources. Intracellular biosynthesis occurred with all sulfur sources tested. However, extracellular biosynthesis was observed only in cultures amended with cysteine (Cys) and methionine (Met). Extracellular nanoparticles were characterized by dynamic light scattering, absorption and emission spectra, energy dispersive X-ray, atomic force microscopy, transmission electron microscopy, X-ray diffraction and X-ray photoelectron spectroscopy. Purified QDs correspond to cubic nanocrystals of CdS with sizes between 2 and 16 nm. The analysis of VSCs revealed that P. fragi GC01 produced hydrogen sulfide (H2S), methanethiol (MeSH) and dimethyl sulfide (DMS) in the presence of sulfate, Met or Cys. Dimethyl disulfide (DMDS) was only detected in the presence of Met. Interestingly, MeSH was the main VSC produced in this condition. In addition, MeSH was the only VSC for which the concentration decreased in the presence of cadmium (Cd) of all the sulfur sources tested, suggesting that this gas interacts with Cd to form nanoparticles. The role of MeSH and DMS on Cds QDs biosynthesis was evaluated in two mutants of the Antarctic strain Pseudomonas deceptionensis M1(T): megL(-) (unable to produce MeSH from Met) and mddA(-) (unable to generate DMS from MeSH). No biosynthesis of QDs was observed in the megL(-) strain, confirming the importance of MeSH in QD biosynthesis. In addition, the production of QDs in the mddA(-) strain was not affected, indicating that DMS is not a substrate for the biosynthesis of nanoparticles. Here, we confirm a link between MeSH production and CdS QDs biosynthesis when Met is used as sole sulfur source. This work represents the first report that directly associates the production of MeSH with the bacterial synthesis of QDs, thus revealing the importance of different VSCs in the biological generation of metal sulfide nanostructures.</t>
  </si>
  <si>
    <t>[Gallardo-Benavente, Carla] Univ La Frontera, Programa Doctorado Ciencias Recursos Nat, Temuco, Chile; [Gallardo-Benavente, Carla; Rubilar, Olga; Quiroz, Andres] Univ La Frontera, Ctr Exceiencia Invest Biotecnol Aplicada Med Ambi, Fac Ingn &amp; Ciencias, Temuco, Chile; [Carrion, Ornella] Univ East Anglia, Sch Environm Sci, Norwich, Norfolk, England; [Todd, Jonathan D.] Univ East Anglia, Sch Biol Sci, Norwich, Norfolk, England; [Pieretti, Joana C.; Seabra, Amedea B.; Duran, Nelson] Univ Fed ABC, Ctr Cencias Nat &amp; Humanas, Santo Andre, Brazil; [Duran, Nelson] Univ Estadual Campinas, Inst Biol, Campinas, SP, Brazil; [Rubilar, Olga] Univ La Frontera, Dept Ingn Quim, Temuco, Chile; [Perez-Donoso, Jose M.] Univ Andres Bello, BioNanotechnol &amp; Microbiol Lab, Ctr Bioinformat &amp; Integrat Biol, Fac Ciencias Vida, Santiago, Chile; [Quiroz, Andres] Univ La Frontera, Fac Ingn &amp; Ciencias, Dept Ciencias Quim &amp; Recursos Nat, Temuco, Chile</t>
  </si>
  <si>
    <t>Universidad de La Frontera; Universidad de La Frontera; University of East Anglia; University of East Anglia; Universidade Federal do ABC (UFABC); Universidade Estadual de Campinas; Universidade de Sao Paulo; Universidad de La Frontera; Universidad Andres Bello; Universidad de La Frontera</t>
  </si>
  <si>
    <t>Quiroz, A (corresponding author), Univ La Frontera, Ctr Exceiencia Invest Biotecnol Aplicada Med Ambi, Fac Ingn &amp; Ciencias, Temuco, Chile.;Pérez-Donoso, JM (corresponding author), Univ Andres Bello, BioNanotechnol &amp; Microbiol Lab, Ctr Bioinformat &amp; Integrat Biol, Fac Ciencias Vida, Santiago, Chile.;Quiroz, A (corresponding author), Univ La Frontera, Fac Ingn &amp; Ciencias, Dept Ciencias Quim &amp; Recursos Nat, Temuco, Chile.</t>
  </si>
  <si>
    <t>jose.perez@unab.cl; andres.quiroz@ufrontera.cl</t>
  </si>
  <si>
    <t>Rubilar, Olga/U-1834-2017; Seabra, Amedea Barozzi/G-4247-2012; Carrion, Ornella/AAS-5142-2021; Quiroz, Andres/I-2748-2018; Pieretti, Joana C/D-7426-2018; Claudio Pieretti, Joana/ABA-4172-2021; Pérez-Donoso, José M./G-3668-2013; Todd, Jonathan D/B-8967-2009</t>
  </si>
  <si>
    <t>Carrion, Ornella/0000-0002-9959-7905; Claudio Pieretti, Joana/0000-0003-2917-7064; Pérez-Donoso, José M./0000-0002-9506-1716; Gallardo Benavente, Carla/0000-0001-7293-517X</t>
  </si>
  <si>
    <t>CONICYT [21151066]; Fondecyt [1151255, 1181697]; INACH [DT_05_16, RT-25_16]; FAPESP [2018/08194-2, 2018/02832-7]; CNPq [404815/2018-9]; Natural Environment Research Council [NE/M004449]; NERC [NE/M004449/1] Funding Source: UKRI</t>
  </si>
  <si>
    <t>CONICYT(Comision Nacional de Investigacion Cientifica y Tecnologica (CONICYT)); Fondecyt(Comision Nacional de Investigacion Cientifica y Tecnologica (CONICYT)CONICYT FONDECYT); INACH; FAPESP(Fundacao de Amparo a Pesquisa do Estado de Sao Paulo (FAPESP)); CNPq(Conselho Nacional de Desenvolvimento Cientifico e Tecnologico (CNPQ)); Natural Environment Research Council(UK Research &amp; Innovation (UKRI)Natural Environment Research Council (NERC)); NERC(UK Research &amp; Innovation (UKRI)Natural Environment Research Council (NERC))</t>
  </si>
  <si>
    <t>This work was supported by CONICYT scholarship 21151066 (CG-B), Fondecyt 1151255 (JP-D), Fondecyt 1181697, INACH DT_05_16 (CG-B, AQ), INACH RT-25_16 (JP-D), FAPESP (2018/08194-2 and 2018/02832-7) and CNPq (404815/2018-9). Funding from the Natural Environment Research Council (NE/M004449) supported the OC and JT work.</t>
  </si>
  <si>
    <t>AUG 13</t>
  </si>
  <si>
    <t>10.3389/fmicb.2019.01866</t>
  </si>
  <si>
    <t>IQ1VF</t>
  </si>
  <si>
    <t>Green Published, gold, Green Accepted</t>
  </si>
  <si>
    <t>WOS:000480537700004</t>
  </si>
  <si>
    <t>Boersma, PD; Borboroglu, PG; Gownaris, NJ; Bost, CA; Chiaradia, A; Ellis, S; Schneider, T; Seddon, PJ; Simeone, A; Trathan, PN; Waller, LJ; Wienecke, B</t>
  </si>
  <si>
    <t>Boersma, P. D.; Garcia Borboroglu, P.; Gownaris, N. J.; Bost, C. A.; Chiaradia, A.; Ellis, S.; Schneider, T.; Seddon, P. J.; Simeone, A.; Trathan, P. N.; Waller, L. J.; Wienecke, B.</t>
  </si>
  <si>
    <t>Applying science to pressing conservation needs for penguins</t>
  </si>
  <si>
    <t>CONSERVATION BIOLOGY</t>
  </si>
  <si>
    <t>climate change; ecosystem sentinels; knowledge gaps; marine spatial planning; nonbreeding habitat; pairwise ranking; science communication; cambio climatico; centinelas de ecosistemas; clasificacion por pares; comunicacion cientifica; habitat no reproductor; planificacion marina espacial; vacios de conocimiento</t>
  </si>
  <si>
    <t>MAGELLANIC PENGUINS; BREEDING SUCCESS; SPHENISCUS-DEMERSUS; EL-NINO; EMPEROR PENGUINS; ROBBEN ISLAND; POPULATION; HUMBOLDT; MIGRATION; AREAS</t>
  </si>
  <si>
    <t>More than half of the world's 18 penguin species are declining. We, the Steering Committee of the International Union for Conservation of Nature Species Survival Commission Penguin Specialist Group, determined that the penguin species in most critical need of conservation action are African penguin (Spheniscus demersus), Galapagos penguin (Spheniscus mendiculus), and Yellow-eyed penguin (Megadyptes antipodes). Due to small or rapidly declining populations, these species require immediate scientific collaboration and policy intervention. We also used a pairwise-ranking approach to prioritize research and conservation needs for all penguins. Among the 12 cross-taxa research areas we identified, we ranked quantifying population trends, estimating demographic rates, forecasting environmental patterns of change, and improving the knowledge of fisheries interactions as the highest priorities. The highest ranked conservation needs were to enhance marine spatial planning, improve stakeholder engagement, and develop disaster-management and species-specific action plans. We concurred that, to improve the translation of science into effective conservation for penguins, the scientific community and funding bodies must recognize the importance of and support long-term research; research on and conservation of penguins must expand its focus to include the nonbreeding season and juvenile stage; marine reserves must be designed at ecologically appropriate spatial and temporal scales; and communication between scientists and decision makers must be improved with the help of individual scientists and interdisciplinary working groups.</t>
  </si>
  <si>
    <t>[Boersma, P. D.; Garcia Borboroglu, P.; Gownaris, N. J.] Univ Washington, Ctr Ecosyst Sentinels, Seattle, WA 98103 USA; [Boersma, P. D.; Garcia Borboroglu, P.; Gownaris, N. J.] Univ Washington, Dept Biol, Seattle, WA 98103 USA; [Boersma, P. D.; Garcia Borboroglu, P.] Global Penguin Soc, RA-9120 Puerto Madryn, Argentina; [Garcia Borboroglu, P.] CESIMAR CCT Cenpat CONICET, RA-9120 Puerto Madryn, Chubut, Argentina; [Bost, C. A.] Ctr Etud Biol Chize, F-79360 Villiers En Bois, France; [Chiaradia, A.] Phillip Isl Nat Pk, Conservat Dept, Cowes, Vic 3922, Australia; [Ellis, S.] Int Rhino Fdn, Strasburg, VA 22657 USA; [Schneider, T.] Detroit Zool Soc, Royal Oak, MI 48067 USA; [Seddon, P. J.] Univ Otago, Dept Zool, Dunedin 9016, New Zealand; [Simeone, A.] Univ Andres Bello, Fac Ciencias Vida, Santiago 8370146, Chile; [Trathan, P. N.] British Antarctic Survey, Cambridge CB3 0ET, England; [Waller, L. J.] Southern African Fdn Conservat Coastal Birds SANC, ZA-7441 Cape Town, South Africa; [Waller, L. J.] Univ Western Cape, Dept Biodivers &amp; Conservat Biol, ZA-7535 Cape Town, South Africa; [Wienecke, B.] Australian Antarctic Div, Kingston, Tas 7050, Australia</t>
  </si>
  <si>
    <t>University of Washington; University of Washington Seattle; University of Washington; University of Washington Seattle; University of Otago; Universidad Andres Bello; UK Research &amp; Innovation (UKRI); Natural Environment Research Council (NERC); NERC British Antarctic Survey; University of the Western Cape; Australian Antarctic Division</t>
  </si>
  <si>
    <t>Gownaris, NJ (corresponding author), Univ Washington, Ctr Ecosyst Sentinels, Seattle, WA 98103 USA.;Gownaris, NJ (corresponding author), Univ Washington, Dept Biol, Seattle, WA 98103 USA.</t>
  </si>
  <si>
    <t>ngownaris@gmail.com</t>
  </si>
  <si>
    <t>Seddon, Philip/G-8659-2011; Chiaradia, Andre/AAG-4928-2022; Chiaradia, Andre/AFK-6634-2022</t>
  </si>
  <si>
    <t>Seddon, Philip/0000-0001-9076-9566; Chiaradia, Andre/0000-0002-6178-4211; Chiaradia, Andre/0000-0002-6178-4211</t>
  </si>
  <si>
    <t>NERC [bas0100035] Funding Source: UKRI</t>
  </si>
  <si>
    <t>NERC(UK Research &amp; Innovation (UKRI)Natural Environment Research Council (NERC))</t>
  </si>
  <si>
    <t>0888-8892</t>
  </si>
  <si>
    <t>1523-1739</t>
  </si>
  <si>
    <t>CONSERV BIOL</t>
  </si>
  <si>
    <t>Conserv. Biol.</t>
  </si>
  <si>
    <t>FEB</t>
  </si>
  <si>
    <t>10.1111/cobi.13378</t>
  </si>
  <si>
    <t>KG0MI</t>
  </si>
  <si>
    <t>Green Published, Green Accepted, hybrid</t>
  </si>
  <si>
    <t>WOS:000481300500001</t>
  </si>
  <si>
    <t>Yi, SB; Lee, MJ; Park, SH; Han, S; Yang, YS; Choi, H</t>
  </si>
  <si>
    <t>Yi, Sang-Bong; Lee, Mi Jung; Park, Sung-Hyun; Han, Seunghee; Yang, Yun Seok; Choi, Hakkyum</t>
  </si>
  <si>
    <t>Occurrence of ice-rafted erratics and the petrology of the KR1 seamount trail from the Australian-Antarctic Ridge</t>
  </si>
  <si>
    <t>Australian-Antarctic Ridge; KR1 seamount trail; ocean island basalt; glacial erratics; Antarctica</t>
  </si>
  <si>
    <t>MID-ATLANTIC RIDGE; MARIE BYRD LAND; TRACE-ELEMENT; RECYCLED MICROFOSSILS; GEOCHEMICAL EVOLUTION; DETRITAL ZIRCONS; VOLCANIC-ROCKS; MANTLE PLUME; BREAK-UP; PACIFIC</t>
  </si>
  <si>
    <t>A multi-disciplinary study of the KR1 segment of the Australian-Antarctic Ridge has been conducted since 2011. We present geochemical and age dating results for samples dredged from three sites on the KR1 seamount trail. The majority of the samples are alkaline ocean island basalts with subdominant enriched tholeiites. The samples from the DG05 bathymetric depression include ice-rafted erratics from Antarctica, which consist of gabbro, diabase, various granitoids, volcanic rocks such as trachyte and rhyolite and deformed or undeformed sedimentary rocks. The main provenance of glacial erratics is considered to be the Ross Sea region. However, Carboniferous to Cretaceous ages of erratics indicate that some of these may originate from the western regions of West Antarctica. Based on the size and topography of the volcanic features and geochemical characteristics of the alkaline ocean island basalts (La/Sm-N = 2.62-3.88; Tb/Yb-N = 1.54-2.67) and the enriched tholeiites, the KR1 seamount trail is interpreted to be a submarine hotspot chain that is the product of alkaline volcanic eruption and seafloor spreading.</t>
  </si>
  <si>
    <t>[Yi, Sang-Bong; Lee, Mi Jung; Park, Sung-Hyun; Han, Seunghee; Yang, Yun Seok; Choi, Hakkyum] Korea Polar Res Inst, Div Polar Earth Syst Sci, Songdomirae Ro 26, Incheon 21990, South Korea</t>
  </si>
  <si>
    <t>Korea Polar Research Institute (KOPRI)</t>
  </si>
  <si>
    <t>Lee, MJ (corresponding author), Korea Polar Res Inst, Div Polar Earth Syst Sci, Songdomirae Ro 26, Incheon 21990, South Korea.</t>
  </si>
  <si>
    <t>mjlee@kopri.re.kr</t>
  </si>
  <si>
    <t>Choi, Hakkyum/0000-0001-9440-3369; Yi, Sang-Bong/0000-0001-6253-5420; Park, Hyun/0000-0002-8055-2010</t>
  </si>
  <si>
    <t>Korea Polar Research Institute [PE18050]; Ministry of Ocean and Fisheries of the Republic of Korea [20140409, PM18030]</t>
  </si>
  <si>
    <t>Korea Polar Research Institute(Korea Polar Research Institute of Marine Research Placement (KOPRI)); Ministry of Ocean and Fisheries of the Republic of Korea</t>
  </si>
  <si>
    <t>This study was supported by the Korea Polar Research Institute under Grant [PE18050] and the Ministry of Ocean and Fisheries of the Republic of Korea under Grant [20140409], [PM18030].</t>
  </si>
  <si>
    <t>10.1080/00206814.2018.1514669</t>
  </si>
  <si>
    <t>IE0TS</t>
  </si>
  <si>
    <t>WOS:000472100300001</t>
  </si>
  <si>
    <t>Gorbarenko, SA; Malakhova, GY; Artemova, AV; Bosin, AA; Yanchenko, EA; Vasilenko, YP</t>
  </si>
  <si>
    <t>Gorbarenko, S. A.; Malakhova, G. Yu; Artemova, A., V; Bosin, A. A.; Yanchenko, E. A.; Vasilenko, Yu P.</t>
  </si>
  <si>
    <t>Millennial scale cycles in the Bering Sea during penultimate and last glacials; their similarities and differences</t>
  </si>
  <si>
    <t>QUATERNARY INTERNATIONAL</t>
  </si>
  <si>
    <t>Penultimate and last glacials; Termination II and I; Millennial climate changes; Greenland interstadials; Chinese interstadials; East Asia monsoon; Bering sea interstadials</t>
  </si>
  <si>
    <t>ASIAN WINTER MONSOON; NORTH-ATLANTIC; CLIMATE VARIABILITY; ICE-CORE; ENVIRONMENTAL-CHANGES; NORTHWESTERN PACIFIC; OKHOTSK SEA; MARINE; GREENLAND; RECORDS</t>
  </si>
  <si>
    <t>The age model of the western Bering Sea core 85 KL was modified through correlation of new and earlier-measured productivity proxies with the Chinese interstadials described by delta O-18 records of Hulu and Sanbao caves and the relative paleointensity events in the studied core with those in the dated records. Resulted sequence of millennial scale Bering Sea Interstadials recorded by abrupt productivity risings was established during the penultimate glacial consistently with the Chinese interstadials and Antarctica isotope maxima. The pattern of the frequency and amplitude of the millennial productivity/climate variability in the Bering Sea during the penultimate glacial resembles that initially depicted in the delta O-18 of Chinese cave stalagmites and is quite similar to one of the Dansgaard-Oeschger cycles during last glacial, except for their terminations. Contrary to well-pronounced interstadial A.1 during termination TI, an interstadial B.1 over the TII has lower duration and therefore is weakly observed in Antarctic temperature changes. Our results provide robust evidence that the bipolar seesaw mechanisms of millennial climate changes in the Northern and Southern Hemispheres were similar during the last and penultimate glacials.</t>
  </si>
  <si>
    <t>[Gorbarenko, S. A.; Artemova, A., V; Bosin, A. A.; Yanchenko, E. A.; Vasilenko, Yu P.] Russian Acad Sci, Far East Branch, VI Ilichev Pacific Oceanol Inst, Vladivostok, Russia; [Malakhova, G. Yu] Russian Acad Sci, Far East Branch, North East Interdisciplinary Sci Res Inst, Magadan, Russia</t>
  </si>
  <si>
    <t>Russian Academy of Sciences; Ilichev Pacific Oceanological Institute; Russian Academy of Sciences</t>
  </si>
  <si>
    <t>Gorbarenko, SA (corresponding author), Russian Acad Sci, Far East Branch, VI Ilichev Pacific Oceanol Inst, Vladivostok, Russia.</t>
  </si>
  <si>
    <t>gorbarenko@poi.dvo.ru</t>
  </si>
  <si>
    <t>Vasilenko, Yuriy Pavlovich/C-3259-2018; Artemova, Antonina/T-4197-2017; Yanchenko, Elena/T-4241-2017; Artemova, Antonina/AAC-1491-2022; Gorbarenko, Sergey A./A-7055-2016; Yanchenko, Elena/AAD-1352-2022</t>
  </si>
  <si>
    <t>Vasilenko, Yuriy Pavlovich/0000-0002-2067-8869; Artemova, Antonina/0000-0002-6815-0633; Yanchenko, Elena/0000-0003-0808-3341; Artemova, Antonina/0000-0002-6815-0633; Yanchenko, Elena/0000-0003-0808-3341</t>
  </si>
  <si>
    <t>Russian Foundation for Basic Research [16-05-00127, 16-35-60019 mol_a_dk, 16-55-53048]; Russian state budget theme [7 AAAAA-17-1170301100330]; international Taiwan-FEB RAS grant [17-MHT-003]; Far Eastern Branch of RAS</t>
  </si>
  <si>
    <t>Russian Foundation for Basic Research(Russian Foundation for Basic Research (RFBR)Spanish Government); Russian state budget theme; international Taiwan-FEB RAS grant; Far Eastern Branch of RAS</t>
  </si>
  <si>
    <t>We are grateful to W.-C. Dullo, Ralf Tiedemann and Dirk Nurnberg (GEOMAR, Germany) for invitation to join the Sonne Cruise SO201-KALMAR Leg 2, providing sediment samples of the core 85 KL, and for long and fruitful cooperation. We thank Dr. Aleksandr Derkachev (Pacific Oceanological Institute, Russian Federation) for sharing the lithological description of core 85 KL. This work was supported by the Russian Foundation for Basic Research (16-05-00127, 16-35-60019 mol_a_dk and 16-55-53048), Russian state budget theme No 7 AAAAA-17-1170301100330 of POI FEB RAS and international Taiwan-FEB RAS grant. 17-MHT-003. The associated data have been uploaded to the website of the V. I. Il'ichev Pacific Oceanological Institute, Far Eastern Branch of RAS: https://box.poi.dvo.ru/owncloud/index.php/s/6RoJnT5S3GwrKuL/download.</t>
  </si>
  <si>
    <t>1040-6182</t>
  </si>
  <si>
    <t>1873-4553</t>
  </si>
  <si>
    <t>QUATERN INT</t>
  </si>
  <si>
    <t>Quat. Int.</t>
  </si>
  <si>
    <t>AUG 10</t>
  </si>
  <si>
    <t>10.1016/j.quaint.2019.07.016</t>
  </si>
  <si>
    <t>IZ7DU</t>
  </si>
  <si>
    <t>WOS:000487248200013</t>
  </si>
  <si>
    <t>He, YY; Zheng, Z; An, ML; Chen, H; Qu, CF; Liu, FM; Wang, YB; Miao, JL; Hou, XG</t>
  </si>
  <si>
    <t>He, Yingying; Zheng, Zhou; An, Meiling; Chen, Hao; Qu, Changfeng; Liu, Fangming; Wang, Yibin; Miao, Jinlai; Hou, Xuguang</t>
  </si>
  <si>
    <t>Molecular cloning and functional analysis of a Δ12-fatty acid desaturase from the Antarctic microalga Chlamydomonas sp. ICE-L</t>
  </si>
  <si>
    <t>3 BIOTECH</t>
  </si>
  <si>
    <t>Chlamydomonas sp; ICE-L; Fatty acid desaturase; Polyunsaturated fatty acid; Temperature stress; Salt stress</t>
  </si>
  <si>
    <t>SACCHAROMYCES-CEREVISIAE; FATTY-ACIDS; EXPRESSION; TEMPERATURE; METABOLISM; DELTA-12; GROWTH; LIPIDS; GENES; GREEN</t>
  </si>
  <si>
    <t>Chlamydomonas sp. ICE-L, which can thrive in extreme environments of the Antarctic, could represent a promising alternative for polyunsaturated fatty acid (PUFA) production. A new Delta(12)-fatty acid desaturase (FAD)-encoding gene (Delta(12)CiFAD), 1269 bp in size, was cloned from Chlamydomonas sp. ICE-L. Bioinformatics analysis showed that Delta(12)CiFAD-encoded protein was homologous to known FADs with conserved histidine motifs, and localized to the chloroplast. Functional analysis of Delta(12)CiFAD indicated that recombinant Synechococcus 6803 expressing Delta(12)CiFAD could accumulate C18:2, whereas recombinant Saccharomyces cerevisiae expressing this enzyme could not accumulate C18:2 or any other new fatty acids. These results indicate that Delta(12)CiFAD is a functional enzyme in the chloroplast that can adjust Chlamydomonas sp. ICE-L cell membrane fluidity to adapt to Antarctic extreme low-temperature environments, which give us insights into the frigostable and cold-resistant mechanisms of hypothermic organisms.</t>
  </si>
  <si>
    <t>[He, Yingying; Zheng, Zhou; An, Meiling; Chen, Hao; Miao, Jinlai] Qingdao Univ, Sch Basic Med, Qingdao 266071, Shandong, Peoples R China; [Zheng, Zhou; Qu, Changfeng; Liu, Fangming; Wang, Yibin; Miao, Jinlai] Minist Nat Resource, Inst Oceanog 1, Key Lab Marine Bioact Subst, Qingdao 266061, Shandong, Peoples R China; [Zheng, Zhou; Miao, Jinlai] Lab Marine Drugs &amp; Bioprod Qingdao, Natl Lab Marine Sci &amp; Technol, Qingdao 266237, Shandong, Peoples R China; [Hou, Xuguang] Shandong Univ Weihai, Marine Coll, Weihai 264209, Shandong, Peoples R China</t>
  </si>
  <si>
    <t>Qingdao University; Laoshan Laboratory; Shandong University</t>
  </si>
  <si>
    <t>Miao, JL (corresponding author), Qingdao Univ, Sch Basic Med, Qingdao 266071, Shandong, Peoples R China.;Miao, JL (corresponding author), Minist Nat Resource, Inst Oceanog 1, Key Lab Marine Bioact Subst, Qingdao 266061, Shandong, Peoples R China.;Miao, JL (corresponding author), Lab Marine Drugs &amp; Bioprod Qingdao, Natl Lab Marine Sci &amp; Technol, Qingdao 266237, Shandong, Peoples R China.;Hou, XG (corresponding author), Shandong Univ Weihai, Marine Coll, Weihai 264209, Shandong, Peoples R China.</t>
  </si>
  <si>
    <t>miaojinlai@fio.org.cn; richardhoukk@163.com</t>
  </si>
  <si>
    <t>He, Ying Ying/HZL-0137-2023; Zheng, Zhou/JJD-0602-2023; xin, liang/JFS-5770-2023</t>
  </si>
  <si>
    <t>He, Ying Ying/0000-0002-8759-3157;</t>
  </si>
  <si>
    <t>National Key Research and Development Program of China [2018YFD0901103, 2018YFD0900705]; China Ocean Mineral Resources RD Association [DY135-B2-14]; Natural Science Foundation of China [41576187, 41776203]; Natural Science Foundation of Shandong [ZR2019BD023]; Key Research and Development Program of Shandong Province [2018GHY115034, 2018YYSP024, 2016YYSP017, 2017GHY15112, 2018GHY115039]; Ningbo Public Service Platform for High-Value Utilization of Marine Biological Resources [NBHY-2017-P2]; Youth Fund Project of Shandong Natural Science Foundation [ZR2017QD008]</t>
  </si>
  <si>
    <t>National Key Research and Development Program of China; China Ocean Mineral Resources RD Association; Natural Science Foundation of China(National Natural Science Foundation of China (NSFC)); Natural Science Foundation of Shandong(Natural Science Foundation of Shandong Province); Key Research and Development Program of Shandong Province; Ningbo Public Service Platform for High-Value Utilization of Marine Biological Resources; Youth Fund Project of Shandong Natural Science Foundation</t>
  </si>
  <si>
    <t>This work was supported by the National Key Research and Development Program of China (No. 2018YFD0900705), the China Ocean Mineral Resources R&amp;D Association (No. DY135-B2-14), the National Key Research and Development Program of China (No. 2018YFD0901103), the Natural Science Foundation of China (No. 41576187, No. 41776203), the Natural Science Foundation of Shandong (No. ZR2019BD023), Key Research and Development Program of Shandong Province (No. 2018GHY115034, No. 2018YYSP024, No. 2016YYSP017, No. 2017GHY15112, No. 2018GHY115039), Ningbo Public Service Platform for High-Value Utilization of Marine Biological Resources (No. NBHY-2017-P2), and Youth Fund Project of Shandong Natural Science Foundation (ZR2017QD008).</t>
  </si>
  <si>
    <t>SPRINGER HEIDELBERG</t>
  </si>
  <si>
    <t>HEIDELBERG</t>
  </si>
  <si>
    <t>TIERGARTENSTRASSE 17, D-69121 HEIDELBERG, GERMANY</t>
  </si>
  <si>
    <t>2190-572X</t>
  </si>
  <si>
    <t>2190-5738</t>
  </si>
  <si>
    <t>3 Biotech</t>
  </si>
  <si>
    <t>10.1007/s13205-019-1858-6</t>
  </si>
  <si>
    <t>IQ2KM</t>
  </si>
  <si>
    <t>WOS:000480577400002</t>
  </si>
  <si>
    <t>Gourdal, M; Crabeck, O; Lizotte, M; Galindo, V; Gosselin, M; Babin, M; Scarratt, M; Levasseur, M</t>
  </si>
  <si>
    <t>Gourdal, Margaux; Crabeck, Odile; Lizotte, Martine; Galindo, Virginie; Gosselin, Michel; Babin, Marcel; Scarratt, Michael; Levasseur, Maurice</t>
  </si>
  <si>
    <t>Upward transport of bottom-ice dimethyl sulfide during advanced melting of arctic first-year sea ice</t>
  </si>
  <si>
    <t>ELEMENTA-SCIENCE OF THE ANTHROPOCENE</t>
  </si>
  <si>
    <t>DMS; Sea ice; Gas exchanges; Biogenic gas fluxes; Arctic</t>
  </si>
  <si>
    <t>RESOLUTE PASSAGE; ANTARCTIC WATERS; DMS; ALGAE; SULFUR; FLUX; DIMETHYLSULFONIOPROPIONATE; PHYTOPLANKTON; IMPACT; DIMETHYLSULPHONIOPROPIONATE</t>
  </si>
  <si>
    <t>This paper presents the first empirical estimates of dimethyl sulfide (DMS) gas fluxes across permeable sea ice in the Arctic. DMS is known to act as a major potential source of aerosols that strongly influence the Earth's radiative balance in remote marine regions during the ice-free season. Results from a sampling campaign, undertaken in 2015 between June 2 and June 28 in the ice-covered Western Baffin Bay, revealed the presence of high algal biomass in the bottom 0.1-m section of sea ice (21 to 380 mu g Chl a L-1) combined with the presence of high DMS concentrations (212-840 nmol L-1). While ice algae acted as local sources of DMS in bottom sea ice, thermohaline changes within the brine network, from gravity drainage to vertical stabilization, exerted strong control on the distribution of DMS within the interior of the ice. We estimated both the mean DMS molecular diffusion coefficient in brine (5.2 x 10(-5) cm(2)s(-1) +/- 51% relative S.D., n = 10) and the mean bulk transport coefficient within sea ice (33 x 10(-5) cm(2)s(-1) +/- 41% relative S.D., n = 10). The estimated DMS fluxes +/- S.D. from the bottom ice to the atmosphere ranged between 0.47 +/- 0.08 mu mol m(-2) d(-1) (n = 5, diffusion) and 0.40 +/- 0.15 mu mol m(-2) d(-1) (n = 5, bulk transport) during the vertically stable phase. These fluxes fall within the lower range of direct summer sea-to-air DMS fluxes reported in the Arctic. Our results indicate that upward transport of DMS, from the algal-rich bottom of first-year sea ice through the permeable sea ice, may represent an important pathway for this biogenic gas toward the atmosphere in ice-covered oceans in spring and summer.</t>
  </si>
  <si>
    <t>[Gourdal, Margaux; Lizotte, Martine; Babin, Marcel; Levasseur, Maurice] Univ Laval, CNRS, Quebec Ocean, Dept Biol, Quebec City, PQ, Canada; [Gourdal, Margaux; Lizotte, Martine; Babin, Marcel; Levasseur, Maurice] Univ Laval, CNRS, Unite Mixte Int TAKUVIK, Quebec City, PQ, Canada; [Crabeck, Odile] Univ East Anglia, Sch Environm, Ctr Ocean &amp; Atmospher Sci, Norwich, Norfolk, England; [Galindo, Virginie; Gosselin, Michel] Univ Quebec Rimouski, Inst Sci Mer Rimouski ISMER, Rimouski, PQ, Canada; [Scarratt, Michael] Fisheries &amp; Oceans Canada, Maurice Lamontagne Inst, Mont Joli, PQ, Canada</t>
  </si>
  <si>
    <t>Laval University; Laval University; University of East Anglia; University of Quebec; Universite du Quebec a Rimouski; Fisheries &amp; Oceans Canada</t>
  </si>
  <si>
    <t>Gourdal, M (corresponding author), Univ Laval, CNRS, Quebec Ocean, Dept Biol, Quebec City, PQ, Canada.;Gourdal, M (corresponding author), Univ Laval, CNRS, Unite Mixte Int TAKUVIK, Quebec City, PQ, Canada.</t>
  </si>
  <si>
    <t>gourdal.margaux@gmail.com</t>
  </si>
  <si>
    <t>; Gosselin, Michel/B-4477-2014; /Q-6028-2018</t>
  </si>
  <si>
    <t>Babin, Marcel/0000-0001-9233-2253; Gosselin, Michel/0000-0002-1044-0793; /0000-0003-1882-9303; Lizotte, Martine/0000-0002-7639-2819</t>
  </si>
  <si>
    <t>Quebec Ocean; Fondation Universite Laval; Takuvik UMI; Canada Excellence Chair in Remote Sensing of Canada's New - Arctic Frontier (Universte Laval); NETCARE; Quebec-Ocean; ANR [111112]; CNES [131425]; IPEV [1164]; CSA; Fondation Total; ArcticNet; LEFE; French Arctic Initiative (GreenEdge project); Natural Sciences and Engineering Research Council of Canada (NSERC); Fonds de Recherche du Quebec Nature et Technologies (FRQNT) through Quebec-Ocean; Canadian Museum of Nature</t>
  </si>
  <si>
    <t>Quebec Ocean; Fondation Universite Laval; Takuvik UMI; Canada Excellence Chair in Remote Sensing of Canada's New - Arctic Frontier (Universte Laval); NETCARE; Quebec-Ocean; ANR(Agence Nationale de la Recherche (ANR)); CNES(Centre National D'etudes Spatiales); IPEV; CSA; Fondation Total; ArcticNet; LEFE; French Arctic Initiative (GreenEdge project); Natural Sciences and Engineering Research Council of Canada (NSERC)(Natural Sciences and Engineering Research Council of Canada (NSERC)); Fonds de Recherche du Quebec Nature et Technologies (FRQNT) through Quebec-Ocean; Canadian Museum of Nature</t>
  </si>
  <si>
    <t>Financial support to Margaux Gourdal during her doctoral studies was provided by scholarships from Quebec Ocean, Fondation Universite Laval, Takuvik UMI and the Canada Excellence Chair in Remote Sensing of Canada's New - Arctic Frontier (Marcel Babin/Universte Laval) and stipends from NETCARE and Quebec-Ocean. The Green Edge project is funded by the following French and Canadian programs and agencies: ANR (Contract #111112), CNES (project #131425), IPEV (project #1164), CSA, Fondation Total, ArcticNet, LEFE and the French Arctic Initiative (GreenEdge project). Partial funding was also provided by the Natural Sciences and Engineering Research Council of Canada (NSERC) and the Fonds de Recherche du Quebec Nature et Technologies (FRQNT) through Quebec-Ocean. Funding support was also received from the Canadian Museum of Nature for cell count analysis.</t>
  </si>
  <si>
    <t>UNIV CALIFORNIA PRESS</t>
  </si>
  <si>
    <t>OAKLAND</t>
  </si>
  <si>
    <t>155 GRAND AVE, SUITE 400, OAKLAND, CA 94612-3758 USA</t>
  </si>
  <si>
    <t>2325-1026</t>
  </si>
  <si>
    <t>ELEMENTA-SCI ANTHROP</t>
  </si>
  <si>
    <t>Elementa-Sci. Anthrop.</t>
  </si>
  <si>
    <t>AUG 9</t>
  </si>
  <si>
    <t>10.1525/elementa.370</t>
  </si>
  <si>
    <t>IR7LA</t>
  </si>
  <si>
    <t>WOS:000481621100001</t>
  </si>
  <si>
    <t>Hupman, K; Visser, IN; Fyfe, J; Cawthorn, M; Forbes, G; Grabham, AA; Bout, R; Mathias, B; Benninghaus, E; Matucci, K; Cooper, T; Fletcher, L; Godoy, D</t>
  </si>
  <si>
    <t>Hupman, Krista; Visser, Ingrid N.; Fyfe, Jim; Cawthorn, Martin; Forbes, Giverny; Grabham, Alexander A.; Bout, Rick; Mathias, Brittany; Benninghaus, Ella; Matucci, Kimberly; Cooper, Tracy; Fletcher, London; Godoy, Daniel</t>
  </si>
  <si>
    <t>From Vagrant to Resident: occurrence, residency and births of leopard seals (Hydrurga leptonyx) in New Zealand waters</t>
  </si>
  <si>
    <t>NEW ZEALAND JOURNAL OF MARINE AND FRESHWATER RESEARCH</t>
  </si>
  <si>
    <t>Leopard seal; vagrant; New Zealand; occurrence; native; pinniped</t>
  </si>
  <si>
    <t>PACK-ICE SEALS; SEASONAL OCCURRENCE; WINTER DISPERSAL; FAMILY-PHOCIDAE; PRYDZ BAY; ABUNDANCE; ISLAND; BEHAVIOR; DENSITY; RECORDS</t>
  </si>
  <si>
    <t>In contrast to previous reports that leopard seals (Hydrurga leptonyx) are rare vagrants to New Zealand, we show that this species is a regular member of the marine fauna of this region. We present a first analysis from the New Zealand Leopard Seal Database - an extensive collation of 2,711 records of leopard seals within New Zealand between 1200 and 2018. Of these records, 51.2% (n = 1,408) were photographic. Leopard seal sightings have increased over time and been reported in all seasons and regions of New Zealand. Sightings are predominantly of adult individuals of good or excellent body condition, which differs to previous hypotheses suggesting that leopard seals visiting New Zealand shores are primarily juvenile animals in poor health condition. A total of 176 unique individuals have been identified in the New Zealand Leopard Seal Catalogue between 2014 and 2018 and preliminary results indicate that numbers per annum have continued to increase over time. Three leopard seal births and a number of juvenile animals (34% of the NZ records) have been documented. Considering the information presented here and the current definitions in the New Zealand Threat Classification System, the threat status of leopard seals within New Zealand waters should be reclassified from Vagrant to Resident.</t>
  </si>
  <si>
    <t>[Hupman, Krista] Natl Inst Water &amp; Atmospher Res, Wellington, New Zealand; [Hupman, Krista; Visser, Ingrid N.; Forbes, Giverny; Grabham, Alexander A.; Bout, Rick; Mathias, Brittany; Benninghaus, Ella; Matucci, Kimberly; Cooper, Tracy; Fletcher, London] LeopardSealsorg, Www LeopardSeals Org, Wellington, New Zealand; [Hupman, Krista; Godoy, Daniel] Massey Univ, Inst Nat &amp; Computat Sci, Coastal Marine Res Grp, Auckland, New Zealand; [Visser, Ingrid N.; Matucci, Kimberly] Orca Res Trust, Tutukaka, New Zealand; [Visser, Ingrid N.] Univ Canterbury, Ctr Antarctic Studies &amp; Res, Gateway Antarct, Christchurch, New Zealand; [Fyfe, Jim] Dept Conservat, John Wickliffe House, Dunedin, New Zealand; [Cawthorn, Martin] Cawthorn &amp; Associates, Porirua, New Zealand</t>
  </si>
  <si>
    <t>National Institute of Water &amp; Atmospheric Research (NIWA) - New Zealand; Massey University; University of Canterbury</t>
  </si>
  <si>
    <t>Hupman, K (corresponding author), Natl Inst Water &amp; Atmospher Res, Wellington, New Zealand.;Hupman, K (corresponding author), LeopardSealsorg, Www LeopardSeals Org, Wellington, New Zealand.;Hupman, K (corresponding author), Massey Univ, Inst Nat &amp; Computat Sci, Coastal Marine Res Grp, Auckland, New Zealand.</t>
  </si>
  <si>
    <t>krista.hupman@niwa.co.nz</t>
  </si>
  <si>
    <t>Visser, Ingrid Natasha/ABE-4929-2021</t>
  </si>
  <si>
    <t>Grabham, Alexander/0000-0002-2299-577X; Bout, Rick/0000-0002-5230-057X; Visser, Ingrid/0000-0001-8613-6598; Cooper, Tracy E./0000-0001-6713-0502; Benninghaus, Ella-Sophia/0009-0000-2534-8263; Fletcher, London/0000-0002-8078-4962</t>
  </si>
  <si>
    <t>0028-8330</t>
  </si>
  <si>
    <t>1175-8805</t>
  </si>
  <si>
    <t>NEW ZEAL J MAR FRESH</t>
  </si>
  <si>
    <t>N. Z. J. Mar. Freshw. Res.</t>
  </si>
  <si>
    <t>10.1080/00288330.2019.1619598</t>
  </si>
  <si>
    <t>Fisheries; Marine &amp; Freshwater Biology; Oceanography</t>
  </si>
  <si>
    <t>NH0RY</t>
  </si>
  <si>
    <t>WOS:000481231800001</t>
  </si>
  <si>
    <t>Menking, JA; Brook, EJ; Shackleton, SA; Severinghaus, JP; Dyonisius, MN; Petrenko, V; McConnell, JR; Rhodes, RH; Bauska, TK; Baggenstos, D; Marcott, S; Barker, S</t>
  </si>
  <si>
    <t>Menking, James A.; Brook, Edward J.; Shackleton, Sarah A.; Severinghaus, Jeffrey P.; Dyonisius, Michael N.; Petrenko, Vasilii; McConnell, Joseph R.; Rhodes, Rachael H.; Bauska, Thomas K.; Baggenstos, Daniel; Marcott, Shaun; Barker, Stephen</t>
  </si>
  <si>
    <t>Spatial pattern of accumulation at Taylor Dome during Marine Isotope Stage 4: stratigraphic constraints from Taylor Glacier</t>
  </si>
  <si>
    <t>CLIMATE OF THE PAST</t>
  </si>
  <si>
    <t>MCMURDO DRY VALLEYS; BLUE ICE AREA; ATMOSPHERIC CO2; ANTARCTIC ICE; POLAR ICE; CLIMATE-CHANGE; CHRONOLOGY AICC2012; LAST DEGLACIATION; EAST ANTARCTICA; STABLE-ISOTOPES</t>
  </si>
  <si>
    <t>New ice cores retrieved from the Taylor Glacier (Antarctica) blue ice area contain ice and air spanning the Marine Isotope Stage (MIS) 5-4 transition, a period of global cooling and ice sheet expansion. We determine chronologies for the ice and air bubbles in the new ice cores by visually matching variations in gas-and ice-phase tracers to pre-existing ice core records. The chronologies reveal an ice age-gas age difference (1 age) approaching 10 ka during MIS 4, implying very low snow accumulation in the Taylor Glacier accumulation zone. A revised chronology for the analogous section of the Taylor Dome ice core (84 to 55 ka), located to the south of the Taylor Glacier accumulation zone, shows that 1 age did not exceed 3 ka. The difference in 1 age between the two records during MIS 4 is similar in magnitude but opposite in direction to what is observed at the Last Glacial Maximum. This relationship implies that a spatial gradient in snow accumulation existed across the Taylor Dome region during MIS 4 that was oriented in the opposite direction of the accumulation gradient during the Last Glacial Maximum.</t>
  </si>
  <si>
    <t>[Menking, James A.; Brook, Edward J.] Oregon State Univ, Coll Earth Ocean &amp; Atmospher Sci, Corvallis, OR 97331 USA; [Shackleton, Sarah A.; Severinghaus, Jeffrey P.] Univ Calif San Diego, Scripps Inst Oceanog, La Jolla, CA 92037 USA; [Dyonisius, Michael N.; Petrenko, Vasilii] Univ Rochester, Dept Earth &amp; Environm Sci, Rochester, NY 14627 USA; [McConnell, Joseph R.] Desert Res Inst, Div Hydrol Sci, Reno, NV 89512 USA; [Rhodes, Rachael H.; Bauska, Thomas K.] Univ Cambridge, Dept Earth Sci, Cambridge CB2 3EQ, England; [Bauska, Thomas K.] British Antarctic Survey, Madingley Rd, Cambridge CB3 0ET, England; [Baggenstos, Daniel] Univ Bern, Climate &amp; Environm Phys, CH-3012 Bern, Switzerland; [Marcott, Shaun] Univ Wisconsin, Dept Geosci, Madison, WI 53706 USA; [Barker, Stephen] Cardiff Univ, Sch Earth &amp; Ocean Sci, Cardiff CF10 3AT, S Glam, Wales</t>
  </si>
  <si>
    <t>Oregon State University; University of California System; University of California San Diego; Scripps Institution of Oceanography; University of Rochester; Nevada System of Higher Education (NSHE); Desert Research Institute NSHE; University of Cambridge; UK Research &amp; Innovation (UKRI); Natural Environment Research Council (NERC); NERC British Antarctic Survey; University of Bern; University of Wisconsin System; University of Wisconsin Madison; Cardiff University</t>
  </si>
  <si>
    <t>Menking, JA (corresponding author), Oregon State Univ, Coll Earth Ocean &amp; Atmospher Sci, Corvallis, OR 97331 USA.</t>
  </si>
  <si>
    <t>james.menking@oregonstate.edu</t>
  </si>
  <si>
    <t>Stephen, Barker/C-2770-2009; Baggenstos, Daniel/AAK-5751-2021; Brook, Edward/AAB-7807-2021; Menking, James/AAY-2808-2020; Menking, James Andrew/GPX-8702-2022; Marcott, Shaun A/L-7098-2015</t>
  </si>
  <si>
    <t>Baggenstos, Daniel/0000-0001-9756-6884; Menking, James Andrew/0000-0002-5891-6711; Marcott, Shaun A/0000-0003-3264-0523; Rhodes, Rachael/0000-0001-7511-1969; Shackleton, Sarah/0000-0001-5927-1954; Severinghaus, Jeffrey/0000-0001-8883-3119; McConnell, Joseph/0000-0001-9051-5240</t>
  </si>
  <si>
    <t>National Science Foundation, Office of Polar Programs [PLR-1245821, PLR-1245659, PLR-1246148]; UK National Environmental Research Council [502625]; NERC [NE/J008133/1, bas0100034] Funding Source: UKRI</t>
  </si>
  <si>
    <t>National Science Foundation, Office of Polar Programs(National Science Foundation (NSF)); UK National Environmental Research Council; NERC(UK Research &amp; Innovation (UKRI)Natural Environment Research Council (NERC))</t>
  </si>
  <si>
    <t>This research has been supported by the National Science Foundation, Office of Polar Programs (grant nos. PLR-1245821, PLR-1245659, and PLR-1246148) and the UK National Environmental Research Council (grant no. 502625).</t>
  </si>
  <si>
    <t>1814-9324</t>
  </si>
  <si>
    <t>1814-9332</t>
  </si>
  <si>
    <t>CLIM PAST</t>
  </si>
  <si>
    <t>Clim. Past.</t>
  </si>
  <si>
    <t>AUG 8</t>
  </si>
  <si>
    <t>10.5194/cp-15-1537-2019</t>
  </si>
  <si>
    <t>Geosciences, Multidisciplinary; Meteorology &amp; Atmospheric Sciences</t>
  </si>
  <si>
    <t>Geology; Meteorology &amp; Atmospheric Sciences</t>
  </si>
  <si>
    <t>IP8IO</t>
  </si>
  <si>
    <t>Green Submitted, Green Accepted, gold</t>
  </si>
  <si>
    <t>WOS:000480290300002</t>
  </si>
  <si>
    <t>Todd, RE; Chavez, FP; Clayton, S; Cravatte, S; Goes, M; Greco, M; Ling, XP; Sprintall, J; Zilberman, NV; Archer, M; Arístegui, J; Balmaseda, M; Bane, JM; Baringer, MO; Barth, JA; Beal, LM; Brandt, P; Calil, PHR; Campos, E; Centurioni, LR; Chidichimo, MP; Cirano, M; Cronin, MF; Curchitser, EN; Davis, RE; Dengler, M; deYoung, B; Dong, SF; Escribano, R; Fassbender, AJ; Fawcett, SE; Feng, M; Goni, GJ; Gray, AR; Gutiérrez, D; Hebert, D; Hummels, R; Ito, S; Krug, M; Lacan, F; Laurindo, L; Lazar, A; Lee, CM; Lengaigne, M; Levine, NM; Middleton, J; Montes, I; Muglia, M; Nagai, T; Palevsky, HI; Palter, JB; Phillips, HE; Piola, A; Plueddemann, AJ; Qiu, B; Rodrigues, RR; Roughan, M; Rudnick, DL; Rykaczewski, RR; Saraceno, M; Seim, H; Sen Gupta, A; Shannon, L; Sloyan, BM; Sutton, AJ; Thompson, L; van der Plas, AK; Volkov, D; Wilkin, J; Zhang, DX; Zhang, LL</t>
  </si>
  <si>
    <t>Todd, Robert E.; Chavez, Francisco P.; Clayton, Sophie; Cravatte, Sophie; Goes, Marlos; Greco, Michelle; Ling, Xiaopei; Sprintall, Janet; Zilberman, Nathalie, V; Archer, Matthew; Aristegui, Javier; Balmaseda, Magdalena; Bane, John M.; Baringer, Molly O.; Barth, John A.; Beal, Lisa M.; Brandt, Peter; Calil, Paulo H. R.; Campos, Edmo; Centurioni, Luca R.; Chidichimo, Maria Paz; Cirano, Mauro; Cronin, Meghan F.; Curchitser, Enrique N.; Davis, Russ E.; Dengler, Marcus; deYoung, Brad; Dong, Shenfu; Escribano, Ruben; Fassbender, Andrea J.; Fawcett, Sarah E.; Feng, Ming; Goni, Gustavo J.; Gray, Alison R.; Gutierrez, Dimitri; Hebert, Dave; Hummels, Rebecca; Ito, Shin-ichi; Krug, Marjorlaine; Lacan, Francois; Laurindo, Lucas; Lazar, Alban; Lee, Craig M.; Lengaigne, Matthieu; Levine, Naomi M.; Middleton, John; Montes, Ivonne; Muglia, Mike; Nagai, Takeyoshi; Palevsky, Hilary, I; Palter, Jaime B.; Phillips, Helen E.; Piola, Alberto; Plueddemann, Albert J.; Qiu, Bo; Rodrigues, Regina R.; Roughan, Moninya; Rudnick, Daniel L.; Rykaczewski, Ryan R.; Saraceno, Martin; Seim, Harvey; Sen Gupta, Alex; Shannon, Lynne; Sloyan, Bernadette M.; Sutton, Adrienne J.; Thompson, LuAnne; van der Plas, Anja K.; Volkov, Denis; Wilkin, John; Zhang, Dongxiao; Zhang, Linlin</t>
  </si>
  <si>
    <t>Global Perspectives on Observing Ocean Boundary Current Systems</t>
  </si>
  <si>
    <t>western boundary current systems; eastern boundary current systems; ocean observing systems; time series; autonomous underwater gliders; drifters; remote sensing; moorings</t>
  </si>
  <si>
    <t>EAST AUSTRALIAN CURRENT; CALIFORNIA CURRENT SYSTEM; MERIDIONAL OVERTURNING CIRCULATION; SEA-SURFACE TEMPERATURE; HUMBOLDT CURRENT SYSTEM; SUBTROPICAL MODE WATER; NORTH-ATLANTIC OCEAN; CURRENT TRANSPORT VARIABILITY; FLORIDA CURRENT TRANSPORT; FREQUENCY INTERNAL WAVES</t>
  </si>
  <si>
    <t>Ocean boundary current systems are key components of the climate system, are home to highly productive ecosystems, and have numerous societal impacts. Establishment of a global network of boundary current observing systems is a critical part of ongoing development of the Global Ocean Observing System. The characteristics of boundary current systems are reviewed, focusing on scientific and societal motivations for sustained observing. Techniques currently used to observe boundary current systems are reviewed, followed by a census of the current state of boundary current observing systems globally. The next steps in the development of boundary current observing systems are considered, leading to several specific recommendations.</t>
  </si>
  <si>
    <t>[Todd, Robert E.; Plueddemann, Albert J.] Woods Hole Oceanog Inst, Woods Hole, MA 02543 USA; [Chavez, Francisco P.; Fassbender, Andrea J.] Monterey Bay Aquarium Res Inst, Moss Landing, CA USA; [Clayton, Sophie] Old Dominion Univ, Dept Ocean Earth &amp; Atmospher Sci, Norfolk, VA USA; [Cravatte, Sophie; Lacan, Francois] Univ Toulouse, UPS, CNRS, CNES,IRD,LEGOS, Toulouse, France; [Goes, Marlos; Baringer, Molly O.; Dong, Shenfu; Goni, Gustavo J.; Volkov, Denis] NOAA, Atlantic Oceanog &amp; Meteorol Lab, Miami, FL 33149 USA; [Goes, Marlos; Beal, Lisa M.; Laurindo, Lucas; Volkov, Denis] Univ Miami, Rosenstiel Sch Marine &amp; Atmospher Sci, 4600 Rickenbacker Causeway, Miami, FL 33149 USA; [Greco, Michelle; Gutierrez, Dimitri] Inst Mar del Peru, Lima, Peru; [Ling, Xiaopei] Ocean Univ China, Qingdao Natl Lab Marine Sci &amp; Technol, Qingdao, Shandong, Peoples R China; [Sprintall, Janet; Zilberman, Nathalie, V; Centurioni, Luca R.; Davis, Russ E.; Rudnick, Daniel L.] Univ Calif San Diego, Scripps Inst Oceanog, La Jolla, CA 92093 USA; [Archer, Matthew] CALTECH, Jet Prop Lab, Pasadena, CA USA; [Aristegui, Javier] Univ Las Palmas Gran Canaria, Inst Oceanog &amp; Cambio Global, Las Palmas Gran Canaria, Spain; [Balmaseda, Magdalena] European Ctr Medium Range Weather Forecasts, Reading, Berks, England; [Bane, John M.; Muglia, Mike; Seim, Harvey] Univ N Carolina, Dept Marine Sci, Chapel Hill, NC 27515 USA; [Barth, John A.] Oregon State Univ, Coll Earth Ocean &amp; Atmospher Sci, Corvallis, OR 97331 USA; [Brandt, Peter; Dengler, Marcus; Hummels, Rebecca] GEOMAR Helmholtz Ctr Ocean Res Kiel, Kiel, Germany; [Brandt, Peter] Univ Kiel, Fac Math &amp; Nat Sci, Kiel, Germany; [Calil, Paulo H. R.] Helmholtz Zentrum Geesthacht, Inst Coastal Res, Geesthacht, Germany; [Campos, Edmo] Univ Sao Paulo, Dept Oceanog Fis Quim &amp; Ecol, Sao Paulo, Brazil; [Chidichimo, Maria Paz; Piola, Alberto] Consejo Nacl Invest Cient &amp; Tecn, Serv Hidrog Naval, Buenos Aires, DF, Argentina; [Cirano, Mauro] Fed Univ Rio de Janeiro UFRJ, Inst Geosci, Dept Meteorol, Rio De Janeiro, Brazil; [Cronin, Meghan F.; Sutton, Adrienne J.; Zhang, Dongxiao] NOAA, Pacific Marine Environm Lab, 7600 Sand Point Way Ne, Seattle, WA 98115 USA; [Curchitser, Enrique N.] Rutgers State Univ, Deptartment Environm Sci, New Brunswick, NJ USA; [deYoung, Brad] Mem Univ Newfoundland, Dept Phys &amp; Phys Oceanog, St John, NF, Canada; [Escribano, Ruben] Univ Concepcion, Inst Milenio Oceanog, Concepcion, Chile; [Fawcett, Sarah E.] Univ Cape Town, Dept Oceanog, Cape Town, South Africa; [Feng, Ming] CSIRO, Oceans &amp; Atmosphere, Crawley, WA, Australia; [Gray, Alison R.; Thompson, LuAnne] Univ Washington, Sch Oceanog, Seattle, WA 98195 USA; [Hebert, Dave] Fisheries &amp; Oceans Canada, Dartmouth, NS, Canada; [Ito, Shin-ichi] Univ Tokyo, Atmosphere &amp; Ocean Res Inst, Kashiwa, Chiba, Japan; [Krug, Marjorlaine] CSIR, Cape Town, South Africa; [Lacan, Francois] Univ Toulouse, UPS, CNES, CNRS,LEGOS, Toulouse, France; [Lazar, Alban; Lengaigne, Matthieu] Sorbonne Univ, LOCEAN IPSL, Paris, France; [Lee, Craig M.] Univ Washington, Appl Phys Lab, Seattle, WA 98105 USA; [Levine, Naomi M.] Univ Southern Calif, Dept Biol Sci, Los Angeles, CA USA; [Middleton, John] South Australian Res &amp; Dev Inst, Aquat Sci, West Beach, SA, Australia; [Montes, Ivonne] Inst Geofis Peru, Lima, Peru; [Muglia, Mike] UNC Coastal Studies Inst, Wanchese, NC USA; [Nagai, Takeyoshi] Tokyo Univ Marine Sci &amp; Technol, Tokyo, Japan; [Palevsky, Hilary, I] Wellesley Coll, Wellesley, MA 02181 USA; [Palter, Jaime B.] Univ Rhode Isl, Grad Sch Oceanog, Narragansett, RI 02882 USA; [Phillips, Helen E.] Univ Tasmania, Inst Marine &amp; Antarctic Studies, Hobart, Tas, Australia; [Piola, Alberto; Saraceno, Martin] Univ Buenos Aires, Dept Ciencias Atmosfera &amp; Oceanos, Buenos Aires, DF, Argentina; [Qiu, Bo] Univ Hawaii Manoa, Sch Ocean &amp; Earth Sci &amp; Technol, Honolulu, HI 96822 USA; [Rodrigues, Regina R.] Univ Fed Santa Catarina, Dept Oceanog, Florianopolis, SC, Brazil; [Roughan, Moninya; Sen Gupta, Alex] Univ New South Wales, Sch Math &amp; Stat, Sydney, NSW, Australia; [Rykaczewski, Ryan R.] Univ South Carolina, Dept Biol Sci, Columbia, SC 29208 USA; [Saraceno, Martin] Consejo Nacl Invest Cient &amp; Tecn, Buenos Aires, DF, Argentina; [Shannon, Lynne] Univ Cape Town, Dept Biol Sci, Cape Town, South Africa; [Sloyan, Bernadette M.] CSIRO, Oceans &amp; Atmosphere, Hobart, Tas, Australia; [van der Plas, Anja K.] Minist Fisheries &amp; Marine Resources, Swakopmund, Namibia; [Wilkin, John] Rutgers State Univ, Dept Marine &amp; Coastal Sci, New Brunswick, NJ USA; [Zhang, Dongxiao] Univ Washington, Joint Inst Study Atmosphere &amp; Ocean, Seattle, WA 98195 USA; [Zhang, Linlin] Chinese Acad Sci, Inst Oceanol, Qingdao, Shandong, Peoples R China</t>
  </si>
  <si>
    <t>Woods Hole Oceanographic Institution; Monterey Bay Aquarium Research Institute; Old Dominion University; Universite de Toulouse; Universite Toulouse III - Paul Sabatier; Centre National de la Recherche Scientifique (CNRS); Institut de Recherche pour le Developpement (IRD); Laboratoire d'Etudes en Geophysique et oceanographie spatiales; National Oceanic Atmospheric Admin (NOAA) - USA; Atlantic Oceanographic &amp; Meteorological Laboratory (AOML); University of Miami; Instituto del Mar del Peru; Laoshan Laboratory; Ocean University of China; University of California System; University of California San Diego; Scripps Institution of Oceanography; National Aeronautics &amp; Space Administration (NASA); NASA Jet Propulsion Laboratory (JPL); California Institute of Technology; Universidad de Las Palmas de Gran Canaria; European Centre for Medium-Range Weather Forecasts (ECMWF); University of North Carolina; University of North Carolina Chapel Hill; Oregon State University; Helmholtz Association; GEOMAR Helmholtz Center for Ocean Research Kiel; University of Kiel; Helmholtz Association; Helmholtz-Zentrum Hereon; Universidade de Sao Paulo; Consejo Nacional de Investigaciones Cientificas y Tecnicas (CONICET); Servicio de Hidrografia Naval; Universidade Federal do Rio de Janeiro; National Oceanic Atmospheric Admin (NOAA) - USA; Rutgers University System; Rutgers University New Brunswick; Memorial University Newfoundland; Universidad de Concepcion; University of Cape Town; Commonwealth Scientific &amp; Industrial Research Organisation (CSIRO); University of Washington; University of Washington Seattle; Fisheries &amp; Oceans Canada; University of Tokyo; Council for Scientific &amp; Industrial Research (CSIR) - South Africa; Universite de Toulouse; Universite Toulouse III - Paul Sabatier; Centre National de la Recherche Scientifique (CNRS); Institut de Recherche pour le Developpement (IRD); Laboratoire d'Etudes en Geophysique et oceanographie spatiales; Museum National d'Histoire Naturelle (MNHN); Sorbonne Universite; University of Washington; University of Washington Seattle; University of Southern California; South Australian Research &amp; Development Institute (SARDI); Tokyo University of Marine Science &amp; Technology; Wellesley College; University of Rhode Island; University of Tasmania; University of Buenos Aires; University of Hawaii System; University of Hawaii Manoa; Universidade Federal de Santa Catarina (UFSC); University of New South Wales Sydney; University of South Carolina System; University of South Carolina Columbia; Consejo Nacional de Investigaciones Cientificas y Tecnicas (CONICET); University of Cape Town; Commonwealth Scientific &amp; Industrial Research Organisation (CSIRO); Rutgers University System; Rutgers University New Brunswick; University of Washington; University of Washington Seattle; Chinese Academy of Sciences; Institute of Oceanology, CAS</t>
  </si>
  <si>
    <t>Todd, RE (corresponding author), Woods Hole Oceanog Inst, Woods Hole, MA 02543 USA.</t>
  </si>
  <si>
    <t>rtodd@whoi.edu</t>
  </si>
  <si>
    <t>Archer, Matthew R/IQS-4558-2023; Baringer, Molly O/D-2277-2012; Sutton, Adrienne/C-7725-2015; Campos, edmo/G-6995-2012; Escribano, Ruben/IAN-0878-2023; Dengler, Marcus/A-7327-2014; Dong, Shenfu/I-4435-2013; Volkov, Denis/A-6079-2011; Piola, Alberto R/O-2280-2013; Phillips, Helen/I-3761-2013; Todd, Robert E/T-3536-2018; Thompson, LuAnne/AAA-1000-2020; Goni, Gustavo J/D-2017-2012; Rudnick, Daniel L/J-8948-2016; Todd, Robert/GWM-4486-2022; Cirano, Mauro/AAT-7082-2020; Cravatte, Sophie/AAI-4635-2021; Wilkin, John L/E-5343-2011; Lengaigne, Matthieu/K-4345-2013; Cronin, Meghan F./M-3155-2018; Zhang, Linlin/I-4970-2014; Brandt, Peter/C-8254-2013; Lengaigne, Matthieu/M-8321-2014; Archer, Matthew/AAL-8415-2021; Montes, Ivonne/AAM-6316-2020; Palter, Jaime B/B-9484-2011; Arístegui, Javier/D-5833-2013; Lacan, Francois/B-8032-2009; Qiu, Bo/D-9569-2017; Goes, Marlos/B-4273-2011; Hummels, Rebecca/A-3631-2015; Piola, Alberto/HZI-5475-2023; Rodrigues, Regina R./AAU-4018-2020; Ito, Shin-ichi/E-2981-2012; Sloyan, Bernadette/N-8989-2014; lazar, alban/B-7290-2013; Shannon, Lynne J/A-1612-2015; Roughan, Moninya/B-5563-2009; Feng, Ming/F-5411-2010; Montes, Ivonne/J-2638-2014; Calil, Paulo Henrique R./B-1816-2010; Sen Gupta, Alexander/B-7995-2011</t>
  </si>
  <si>
    <t>Sutton, Adrienne/0000-0002-7414-7035; Campos, edmo/0000-0001-6399-5496; Dengler, Marcus/0000-0001-5993-9088; Dong, Shenfu/0000-0001-8247-8072; Volkov, Denis/0000-0002-9290-0502; Phillips, Helen/0000-0002-2941-7577; Todd, Robert E/0000-0002-6854-7729; Thompson, LuAnne/0000-0001-8295-0533; Rudnick, Daniel L/0000-0002-2624-7074; Cirano, Mauro/0000-0002-0789-1120; Cravatte, Sophie/0000-0002-2439-8952; Lengaigne, Matthieu/0000-0002-0044-036X; Cronin, Meghan F./0000-0002-4703-8132; Zhang, Linlin/0000-0003-0247-7710; Brandt, Peter/0000-0002-9235-955X; Lengaigne, Matthieu/0000-0002-0044-036X; Arístegui, Javier/0000-0002-7526-7741; Lacan, Francois/0000-0001-6794-2279; Goes, Marlos/0000-0001-5874-8079; Hummels, Rebecca/0000-0002-3746-6213; Rodrigues, Regina R./0000-0001-8010-4018; Ito, Shin-ichi/0000-0002-3635-2580; Sloyan, Bernadette/0000-0003-0250-0167; lazar, alban/0000-0002-2079-6400; Escribano, Ruben/0000-0002-9843-7723; Nagai, Takeyoshi/0000-0001-6400-878X; Roughan, Moninya/0000-0003-3825-7533; Beal, Lisa/0000-0003-3678-5367; Palter, Jaime/0000-0002-2656-8062; Chidichimo, Maria Paz/0000-0002-4745-9017; Palevsky, Hilary/0000-0002-0488-4531; Krug, Marjolaine/0000-0002-5719-3240; Seim, Harvey/0000-0002-1562-0849; Feng, Ming/0000-0002-2855-7092; Fawcett, Sarah/0000-0002-0878-6496; Cardoso Laurindo, Lucas/0000-0002-2906-8397; Muglia, Michael/0000-0003-0914-9007; Levine, Naomi/0000-0002-4963-0535; Wilkin, John/0000-0002-5444-9466; Clayton, Sophie/0000-0001-7473-4873; Montes, Ivonne/0000-0002-4262-1804; Saraceno, Martin/0000-0002-5657-4420; Calil, Paulo Henrique R./0000-0001-6361-1747; Gray, Alison/0000-0002-1644-7654; Graco, Michelle Ivette/0000-0002-6193-3256; Sen Gupta, Alexander/0000-0001-5226-871X</t>
  </si>
  <si>
    <t>Andrew W. Mellon Foundation Endowed Fund for Innovative Research at WHOI; David and Lucile Packard Foundation; NSF; NOAA/AOML; China's National Key Research and Development Projects [2016YFA0601803]; National Natural Science Foundation of China [41490641, 41521091, U1606402]; Qingdao National Laboratory for Marine Science and Technology [2017ASKJ01]; NOAA's Global Ocean Monitoring and Observing Program [NA15OAR4320071]; Joint Institute for the Study of the Atmosphere and Ocean (JISAO) under NOAA [NA15OAR4320063]; IMOS; CSIRO's Decadal Climate Forecasting Project</t>
  </si>
  <si>
    <t>Andrew W. Mellon Foundation Endowed Fund for Innovative Research at WHOI; David and Lucile Packard Foundation(The David &amp; Lucile Packard Foundation); NSF(National Science Foundation (NSF)); NOAA/AOML(National Oceanic Atmospheric Admin (NOAA) - USA); China's National Key Research and Development Projects; National Natural Science Foundation of China(National Natural Science Foundation of China (NSFC)); Qingdao National Laboratory for Marine Science and Technology; NOAA's Global Ocean Monitoring and Observing Program; Joint Institute for the Study of the Atmosphere and Ocean (JISAO) under NOAA; IMOS; CSIRO's Decadal Climate Forecasting Project</t>
  </si>
  <si>
    <t>RT was supported by The Andrew W. Mellon Foundation Endowed Fund for Innovative Research at WHOI. FC was supported by the David and Lucile Packard Foundation. MGo was funded by NSF and NOAA/AOML. XL was funded by China's National Key Research and Development Projects (2016YFA0601803), the National Natural Science Foundation of China (41490641, 41521091, and U1606402), and the Qingdao National Laboratory for Marine Science and Technology (2017ASKJ01). JS was supported by NOAA's Global Ocean Monitoring and Observing Program (Award NA15OAR4320071). DZ was partially funded by the Joint Institute for the Study of the Atmosphere and Ocean (JISAO) under NOAA Cooperative Agreement NA15OAR4320063. BS was supported by IMOS and CSIRO's Decadal Climate Forecasting Project. We gratefully acknowledge the wide range of funding sources from many nations that have enabled the observations and analyses reviewed here.</t>
  </si>
  <si>
    <t>10.3389/fmars.2019.00423</t>
  </si>
  <si>
    <t>IO3BY</t>
  </si>
  <si>
    <t>WOS:000479256700001</t>
  </si>
  <si>
    <t>Wu, M; McCain, JSP; Rowland, E; Middag, R; Sandgren, M; Allen, AE; Bertrand, EM</t>
  </si>
  <si>
    <t>Wu, Miao; McCain, J. Scott P.; Rowland, Elden; Middag, Rob; Sandgren, Mats; Allen, Andrew E.; Bertrand, Erin M.</t>
  </si>
  <si>
    <t>Manganese and iron deficiency in Southern Ocean Phaeocystis antarctica populations revealed through taxon-specific protein indicators</t>
  </si>
  <si>
    <t>FRAGILARIOPSIS-CYLINDRUS BACILLARIOPHYCEAE; DIFFERENTIAL EXPRESSION ANALYSIS; SUPEROXIDE DISMUTASES; PHYTOPLANKTON GROWTH; OXIDATIVE STRESS; ATLANTIC SECTOR; TRACE-METALS; ROSS SEA; LIMITATION; MN</t>
  </si>
  <si>
    <t>Iron and light are recognized as limiting factors controlling Southern Ocean phytoplankton growth. Recent field-based evidence suggests, however, that manganese availability may also play a role. Here we examine the influence of iron and manganese on protein expression and physiology in Phaeocystis antarctica, a key Antarctic primary producer. We provide taxon-specific proteomic evidence to show that in-situ Southern Ocean Phaeocystis populations regularly experience stress due to combined low manganese and iron availability. In culture, combined low iron and manganese induce large-scale changes in the Phaeocystis proteome and result in reorganization of the photosynthetic apparatus. Natural Phaeocystis populations produce protein signatures indicating late-season manganese and iron stress, consistent with concurrently observed stimulation of chlorophyll production upon additions of manganese or iron. These results implicate manganese as an important driver of Southern Ocean productivity and demonstrate the utility of peptide mass spectrometry for identifying drivers of incomplete macronutrient consumption.</t>
  </si>
  <si>
    <t>[Wu, Miao; McCain, J. Scott P.; Rowland, Elden; Bertrand, Erin M.] Dalhousie Univ, Dept Biol, 1355 Oxford St,POB 15000, Halifax, NS B3H 4R2, Canada; [Wu, Miao; Sandgren, Mats] Swedish Univ Agr Sci, Dept Mol Sci, Box 7015750 07, Uppsala, Sweden; [Middag, Rob] NIOZ Royal Netherlands Inst Sea Res, Dept Ocean Syst, POB 59, NL-1790 AB Den Burg, Texel, Netherlands; [Middag, Rob] Univ Utrecht, POB 59, NL-1790 AB Den Burg, Texel, Netherlands; [Allen, Andrew E.] J Craig Venter Inst, Microbial &amp; Environm Genom, 4120 Capricorn Lane, La Jolla, CA 92037 USA; [Allen, Andrew E.] Univ Calif San Diego, Scripps Inst Oceanog, Integrat Oceanog Div, 9500 Gilman Dr, La Jolla, CA 92093 USA</t>
  </si>
  <si>
    <t>Dalhousie University; Swedish University of Agricultural Sciences; Utrecht University; Royal Netherlands Institute for Sea Research (NIOZ); Utrecht University; J. Craig Venter Institute; University of California System; University of California San Diego; Scripps Institution of Oceanography</t>
  </si>
  <si>
    <t>Bertrand, EM (corresponding author), Dalhousie Univ, Dept Biol, 1355 Oxford St,POB 15000, Halifax, NS B3H 4R2, Canada.</t>
  </si>
  <si>
    <t>erin.bertrand@dal.ca</t>
  </si>
  <si>
    <t>Allen, Andrew E/C-4896-2012; Middag, Rob/D-6423-2013</t>
  </si>
  <si>
    <t>Allen, Andrew E/0000-0001-5911-6081; Sandgren, Mats/0000-0002-2358-4534; McCain, J. Scott P./0000-0001-8437-1420; Bertrand, Erin/0000-0002-5950-6810; Middag, Rob/0000-0002-3326-530X</t>
  </si>
  <si>
    <t>NSERC CREATE Transatlantic Ocean Science and Technology Program; NSERC Discovery Grant [RGPIN-2015-05009]; Simons Foundation Grant [504183]; NSERC CGS Postgraduate scholarship; Swedish Research Council [2013-660]; NSF Polar Programs Fellowship; Gordon and Betty Moore Foundation Grant [GBMF3828]; [NSF-ANT-1043671]; [NSF-OCE-1756884]</t>
  </si>
  <si>
    <t>NSERC CREATE Transatlantic Ocean Science and Technology Program(Natural Sciences and Engineering Research Council of Canada (NSERC)); NSERC Discovery Grant(Natural Sciences and Engineering Research Council of Canada (NSERC)); Simons Foundation Grant; NSERC CGS Postgraduate scholarship(Natural Sciences and Engineering Research Council of Canada (NSERC)); Swedish Research Council(Swedish Research Council); NSF Polar Programs Fellowship; Gordon and Betty Moore Foundation Grant; ;</t>
  </si>
  <si>
    <t>We thank David Hutchins, Jeff Hoffman, Rachel Sipler, Jenna Spackeen, and Deborah Bronk, as well as Antarctic Support Contractors and the staff at McMurdo Station for support in the field; Jorg Behnke for culturing assistance; Loay Jabre and Julie LaRoche for helpful discussions; and Alejandro Cohen and the Dalhousie Core MS Facility for Orbitrap MS contributions. We are indebted to Sara Bender and Mak Saito for early access to Phaeocystis transcriptome assemblies. J.S.P.M. acknowledges support from the NSERC CREATE Transatlantic Ocean Science and Technology Program. This project was financially supported by NSERC Discovery Grant RGPIN-2015-05009 to E.M.B., Simons Foundation Grant 504183 to E.M.B., an NSERC CGS Postgraduate scholarship to J.S.P.M., Swedish Research Council for sustainable development Formas starting mobility grant 2013-660 to M.W., NSF Polar Programs Fellowship to E.M.B., NSF-ANT-1043671, NSF-OCE-1756884, and Gordon and Betty Moore Foundation Grant GBMF3828 to A.E.A.</t>
  </si>
  <si>
    <t>10.1038/s41467-019-11426-z</t>
  </si>
  <si>
    <t>IO2BW</t>
  </si>
  <si>
    <t>WOS:000479188900015</t>
  </si>
  <si>
    <t>Lee, CM; Starkweather, S; Eicken, H; Timmermans, ML; Wilkinson, J; Sandven, S; Dukhovskoy, D; Gerland, S; Grebmeier, J; Intrieri, JM; Kang, SH; McCammon, M; Nguyen, AT; Polyakov, I; Rabe, B; Sagen, H; Seeyave, S; Volkov, D; Beszczynska-Möller, A; Chafik, L; Dzieciuch, M; Goni, G; Hamre, T; King, AL; Olsen, A; Raj, RP; Rossby, T; Skagseth, O; Soiland, H; Sorensen, K</t>
  </si>
  <si>
    <t>Lee, Craig M.; Starkweather, Sandy; Eicken, Hajo; Timmermans, Mary-Louise; Wilkinson, Jeremy; Sandven, Stein; Dukhovskoy, Dmitry; Gerland, Sebastian; Grebmeier, Jacqueline; Intrieri, Janet M.; Kang, Sung-Ho; McCammon, Molly; Nguyen, An T.; Polyakov, Igor; Rabe, Benjamin; Sagen, Hanne; Seeyave, Sophie; Volkov, Denis; Beszczynska-Moller, Agnieszka; Chafik, Leon; Dzieciuch, Matthew; Goni, Gustavo; Hamre, Torill; King, Andrew Luke; Olsen, Are; Raj, Roshin P.; Rossby, Thomas; Skagseth, Oystein; Soiland, Henrik; Sorensen, Kai</t>
  </si>
  <si>
    <t>A Framework for the Development, Design and Implementation of a Sustained Arctic Ocean Observing System</t>
  </si>
  <si>
    <t>Arctic; observing system; Essential Ocean Variable; autonomous platforms; observing system design; societal benefit areas; Sustaining Arctic Observing Networks; Global Ocean Observing System</t>
  </si>
  <si>
    <t>SEA-ICE THICKNESS; FRESH-WATER; UNCERTAINTY QUANTIFICATION; SURFACE HEIGHT; CLIMATE-CHANGE; STRAIT; VARIABILITY; SATELLITE; NETWORKS; IMPACT</t>
  </si>
  <si>
    <t>Rapid Arctic warming drives profound change in the marine environment that have significant socio-economic impacts within the Arctic and beyond, including climate and weather hazards, food security, transportation, infrastructure planning and resource extraction. These concerns drive efforts to understand and predict Arctic environmental change and motivate development of an Arctic Region Component of the Global Ocean Observing System (ARCGOOS) capable of collecting the broad, sustained observations needed to support these endeavors. This paper provides a roadmap for establishing the ARCGOOS. ARCGOOS development must be underpinned by a broadly endorsed framework grounded in high-level policy drivers and the scientific and operational objectives that stem from them. This should be guided by a transparent, internationally accepted governance structure with recognized authority and organizational relationships with the national agencies that ultimately execute network plans. A governance model for ARCGOOS must guide selection of objectives, assess performance and fitness-to-purpose, and advocate for resources. A requirements-based framework for an ARCGOOS begins with the Societal Benefit Areas (SBAs) that underpin the system. SBAs motivate investments and define the system's science and operational objectives. Objectives can then be used to identify key observables and their scope. The domains of planning/policy, strategy, and tactics define scope ranging from decades and basins to focused observing with near real time data delivery. Patterns emerge when this analysis is integrated across an appropriate set of SBAs and science/operational objectives, identifying impactful variables and the scope of the measurements. When weighted for technological readiness and logistical feasibility, this can be used to select Essential ARCGOOS Variables, analogous to Essential Ocean Variables of the Global Ocean Observing System. The Arctic presents distinct needs and challenges, demanding novel observing strategies. Cost, traceability and ability to integrate region-specific knowledge have to be balanced, in an approach that builds on existing and new observing infrastructure. ARCGOOS should benefit from established data infrastructures following the Findable, Accessible, Interoperable, Reuseable Principles to ensure preservation and sharing of data and derived products. Linking to the Sustaining Arctic Observing Networks (SAON) process and involving Arctic stakeholders, for example through liaison with the International Arctic Science Committee (IASC), can help ensure success.</t>
  </si>
  <si>
    <t>[Lee, Craig M.] Univ Washington, Appl Phys Lab, Seattle, WA 98105 USA; [Starkweather, Sandy] Univ Colorado, Cooperat Inst Res Environm Sci, Boulder, CO 80309 USA; [Starkweather, Sandy; Intrieri, Janet M.] NOAA, Earth Syst Res Lab, Boulder, CO USA; [Eicken, Hajo; Polyakov, Igor] Univ Alaska Fairbanks, Int Arctic Res Ctr, Fairbanks, AK USA; [Timmermans, Mary-Louise] Yale Univ, Dept Geol &amp; Geophys, New Haven, CT USA; [Wilkinson, Jeremy] British Antarctic Survey, Cambridge, England; [Sandven, Stein; Sagen, Hanne; Hamre, Torill; Raj, Roshin P.] Nansen Environm &amp; Remote Sensing Ctr, Bergen, Norway; [Dukhovskoy, Dmitry] Florida State Univ, Ctr Ocean Atmospher Predict Studies, Tallahassee, FL 32306 USA; [Gerland, Sebastian] Norwegian Polar Res Inst, Fram Ctr, Tromso, Norway; [Grebmeier, Jacqueline] Univ Maryland, Ctr Environm Sci, Solomons, MD USA; [Kang, Sung-Ho] Korean Polar Res Inst, Incheon, South Korea; [McCammon, Molly] Alaska Ocean Observing Syst, Anchorage, AK USA; [Nguyen, An T.] Univ Texas Austin, Oder Inst, Austin, TX 78712 USA; [Rabe, Benjamin] Alfred Wegener Inst, Helmholtz Zentrum Polar &amp; Meeresforsch, Bremerhaven, Germany; [Seeyave, Sophie] Plymouth Marine Lab, Partnership Observat Global Oceans, Plymouth, Devon, England; [Volkov, Denis; Goni, Gustavo] NOAA, Phys Oceanog Div, Atlantic Oceanog &amp; Meteorol Lab, Miami, FL USA; [Volkov, Denis] Univ Miami, Cooperat Inst Marine &amp; Atmospher Studies, Miami, FL USA; [Beszczynska-Moller, Agnieszka] Polish Acad Sci, Inst Oceanol, Sopot, Poland; [Chafik, Leon] Stockholm Univ, Dept Meteorol, Stockholm, Sweden; [Chafik, Leon] Stockholm Univ, Bolin Ctr Climate Res, Stockholm, Sweden; [Dzieciuch, Matthew] Scripps Inst Oceanog, Inst Geophys &amp; Planetary Phys, La Jolla, CA USA; [King, Andrew Luke; Sorensen, Kai] Norwegian Inst Water Res, Marine Biogeochem &amp; Oceanog, Oslo, Norway; [Olsen, Are] Univ Bergen, Bjerknes Ctr Climate Res, Bergen, Norway; [Rossby, Thomas] Univ Rhode Isl, Grad Sch Oceanog, Narragansett, RI 02882 USA; [Skagseth, Oystein; Soiland, Henrik] Inst Marine Res, Oceanog &amp; Climate, Bergen, Norway</t>
  </si>
  <si>
    <t>University of Washington; University of Washington Seattle; University of Colorado System; University of Colorado Boulder; National Oceanic Atmospheric Admin (NOAA) - USA; University of Alaska System; University of Alaska Fairbanks; Yale University; UK Research &amp; Innovation (UKRI); Natural Environment Research Council (NERC); NERC British Antarctic Survey; Nansen Environmental &amp; Remote Sensing Center (NERSC); State University System of Florida; Florida State University; Norwegian Polar Institute; University System of Maryland; University of Maryland Center for Environmental Science; University of Texas System; University of Texas Austin; Helmholtz Association; Alfred Wegener Institute, Helmholtz Centre for Polar &amp; Marine Research; Plymouth Marine Laboratory; National Oceanic Atmospheric Admin (NOAA) - USA; Atlantic Oceanographic &amp; Meteorological Laboratory (AOML); University of Miami; Polish Academy of Sciences; Institute of Oceanology of the Polish Academy of Sciences; Stockholm University; University of California System; University of California San Diego; Scripps Institution of Oceanography; Norwegian Institute for Water Research (NIVA); University of Bergen; Bjerknes Centre for Climate Research; University of Rhode Island; Institute of Marine Research - Norway</t>
  </si>
  <si>
    <t>Lee, CM (corresponding author), Univ Washington, Appl Phys Lab, Seattle, WA 98105 USA.</t>
  </si>
  <si>
    <t>craiglee@uw.edu</t>
  </si>
  <si>
    <t>Dzieciuch, Matthew/AAM-6469-2021; Dzieciuch, Matthew/F-9342-2013; Timmermans, Mary-Louise/N-5983-2014; Volkov, Denis/A-6079-2011; Chafik, Léon/GZK-6599-2022; Goni, Gustavo J/D-2017-2012; Intrieri, Janet/D-5608-2015; Dukhovskoy, Dmitry S/I-9391-2017; Grebmeier, Jacqueline/L-9805-2013; Rabe, Benjamin/G-2999-2011; Olsen, Are/A-1511-2011</t>
  </si>
  <si>
    <t>Dzieciuch, Matthew/0000-0001-7926-7602; Volkov, Denis/0000-0002-9290-0502; Grebmeier, Jacqueline/0000-0001-7624-3568; Rabe, Benjamin/0000-0001-5794-9856; Hamre, Torill/0000-0001-8784-9100; Beszczynska-Moller, Agnieszka/0000-0002-8108-6306; Sandven, Stein/0000-0002-8023-5779; Nguyen, An/0000-0002-6033-3726; Seeyave, Sophie/0000-0002-4583-2869; , Roshin/0000-0001-5863-5269; Sagen, Hanne/0000-0002-1554-775X; Olsen, Are/0000-0003-1696-9142</t>
  </si>
  <si>
    <t>US Office of Naval Research [N00014-16-1-2377]; US National Oceanic and Atmospheric Administration - Arctic Research Program; HYCOM NOPP [N00014-15-1-2594]; European Union [727890]; Atlantic Oceanographic and Meteorological Laboratory under Cooperative Institute for Marine and Atmospheric Studies of the University of Miami; NOAA [NA10OAR4320143]; US National Science Foundation Arctic Observing Network grant [1702456]; National Oceanic and Atmospheric Administration grant [CINAR 22309.02]; Norwegian Polar Institute's project The Fram Strait Arctic Outflow Observatory; Swedish National Space Agency [133/17]; INTAROS project; Directorate For Geosciences; Office of Polar Programs (OPP) [1702456] Funding Source: National Science Foundation; NERC [bas0100032] Funding Source: UKRI</t>
  </si>
  <si>
    <t>US Office of Naval Research(Office of Naval Research); US National Oceanic and Atmospheric Administration - Arctic Research Program; HYCOM NOPP; European Union(European Union (EU)); Atlantic Oceanographic and Meteorological Laboratory under Cooperative Institute for Marine and Atmospheric Studies of the University of Miami; NOAA(National Oceanic Atmospheric Admin (NOAA) - USA); US National Science Foundation Arctic Observing Network grant; National Oceanic and Atmospheric Administration grant(National Oceanic Atmospheric Admin (NOAA) - USA); Norwegian Polar Institute's project The Fram Strait Arctic Outflow Observatory; Swedish National Space Agency(Swedish National Space Agency (SNSA)); INTAROS project; Directorate For Geosciences; Office of Polar Programs (OPP)(National Science Foundation (NSF)NSF - Directorate for Geosciences (GEO)); NERC(UK Research &amp; Innovation (UKRI)Natural Environment Research Council (NERC))</t>
  </si>
  <si>
    <t>CL was supported by the US Office of Naval Research under the grant N00014-16-1-2377. SSt was supported by the US National Oceanic and Atmospheric Administration - Arctic Research Program. DD was supported by HYCOM NOPP (Award No. N00014-15-1-2594). SSa, TH, HS, AK, KS, and AB-M were supported by INTAROS project. This project has received funding from the European Union's Horizon 2020 Research and Innovation Programme under the grant agreement number 727890. BR strongly benefited from the work within the German Helmholtz Association strategic investment Frontiers in Arctic Marine Monitoring (FRAM). DV was supported by the Atlantic Oceanographic and Meteorological Laboratory under the auspices of the Cooperative Institute for Marine and Atmospheric Studies of the University of Miami and NOAA (cooperative agreement NA10OAR4320143). JG was supported by the US National Science Foundation Arctic Observing Network grant #1702456 and National Oceanic and Atmospheric Administration grant #CINAR 22309.02. SG was supported in part by the Norwegian Polar Institute's project The Fram Strait Arctic Outflow Observatory. LC was supported by the Swedish National Space Agency (Dnr: 133/17).</t>
  </si>
  <si>
    <t>10.3389/fmars.2019.00451</t>
  </si>
  <si>
    <t>IO3CE</t>
  </si>
  <si>
    <t>WOS:000479257300001</t>
  </si>
  <si>
    <t>Newman, L; Heil, P; Trebilco, R; Katsumata, K; Constable, A; van Wijk, E; Assmann, K; Beja, J; Bricher, P; Colemans, R; Costa, D; Diggs, S; Farneti, R; Fawcett, S; Gille, ST; Hendry, KR; Henley, S; Hofmann, E; Maksym, T; MazIoff, M; Meijers, A; Meredith, MM; Moreau, S; Ozsor, B; Robertson, R; Schloss, I; Schofield, O; Shi, JX; Sikes, E; Smith, IJ; Swart, S; Wahlin, A; Williams, G; Williams, MJM; Herraiz-Borreguero, L; Kern, S; Liesers, J; Massom, RA; Melbourne-Thomas, J; Miloslavich, P; Spreen, G</t>
  </si>
  <si>
    <t>Newman, Louise; Heil, Petra; Trebilco, Rowan; Katsumata, Katsuro; Constable, Andrew; van Wijk, Esmee; Assmann, Karen; Beja, Joana; Bricher, Phillippa; Colemans, Richard; Costa, Daniel; Diggs, Steve; Farneti, Riccardo; Fawcett, Sarah; Gille, Sarah T.; Hendry, Katharine R.; Henley, Sian; Hofmann, Eileen; Maksym, Ted; MazIoff, Matthew; Meijers, Andrew; Meredith, Michael M.; Moreau, Sebastian; Ozsor, Burcu; Robertson, Robin; Schloss, Irene; Schofield, Oscar; Shi, Jiuxin; Sikes, Elisabeth; Smith, Inga J.; Swart, Sebastiaan; Wahlin, Anna; Williams, Guy; Williams, Michael J. M.; Herraiz-Borreguero, Laura; Kern, Stefan; Liesers, Jan; Massom, Robert A.; Melbourne-Thomas, Jessica; Miloslavich, Patricia; Spreen, Gunnar</t>
  </si>
  <si>
    <t>Delivering Sustained, Coordinated, and Integrated Observations of the Southern Ocean for Global Impact</t>
  </si>
  <si>
    <t>Southern Ocean; observations; modeling; ocean-climate interactions; ecosystem-based management; long-term monitoring; international coordination</t>
  </si>
  <si>
    <t>ANTARCTIC SEA-ICE; MERIDIONAL OVERTURNING CIRCULATION; MODELS HISTORICAL BIAS; CIRCUMPOLAR DEEP-WATER; BOTTOM WATER; CLIMATE-CHANGE; FOOD-WEB; FRESH-WATER; WEDDELL SEA; ROSS SEA</t>
  </si>
  <si>
    <t>The Southern Ocean is disproportionately important in its effect on the Earth system, impacting climatic, biogeochemical, and ecological systems, which makes recent observed changes to this system cause for global concern. The enhanced understanding and improvements in predictive skill needed for understanding and projecting future states of the Southern Ocean require sustained observations. Over the last decade, the Southern Ocean Observing System (SOOS) has established networks for enhancing regional coordination and research community groups to advance development of observing system capabilities. These networks support delivery of the SOOS 20-year vision, which is to develop a circumpolar system that ensures time series of key variables, and delivers the greatest impact from data to all key end-users. Although the Southern Ocean remains one of the least-observed ocean regions, enhanced international coordination and advances in autonomous platforms have resulted in progress toward sustained observations of this region. Since 2009, the Southern Ocean community has deployed over 5700 observational platforms south of 40 ffi S. Large-scale, multi-year or sustained, multidisciplinary efforts have been supported and are now delivering observations of essential variables at space and time scales that enable assessment of changes being observed in Southern Ocean systems. The improved observational coverage, however, is predominantly for the open ocean, encompasses the summer, consists of primarily physical oceanographic variables, and covers surface to 2000 m. Significant gaps remain in observations of the ice-impacted ocean, the sea ice, depths &gt;2000 m, the air-ocean-ice interface, biogeochemical and biological variables, and for seasons other than summer. Addressing these data gaps in a sustained way requires parallel advances in coordination networks, cyberinfrastructure and data management tools, observational platform and sensor technology, two-way platform interrogation and data-transmission technologies, modeling frameworks, intercalibration experiments, and development of internationally agreed sampling standards and requirements of key variables. This paper presents a community statement on the major scientific and observational progress of the last decade, and importantly, an assessment of key priorities for the coming decade, toward achieving the SOOS vision and delivering essential data to all end-users.</t>
  </si>
  <si>
    <t>[Newman, Louise; Bricher, Phillippa] Univ Tasmania, Coll Sci &amp; Engn, Inst Marine &amp; Antarctic Studies, Southern Ocean Observing Syst Int Project Off, Hobart, Tas, Australia; [Heil, Petra; Constable, Andrew; Massom, Robert A.; Melbourne-Thomas, Jessica] Australian Antarctic Div, Kingston, Tas, Australia; [Heil, Petra; Trebilco, Rowan; Constable, Andrew; van Wijk, Esmee; Colemans, Richard; Williams, Guy; Liesers, Jan; Massom, Robert A.; Melbourne-Thomas, Jessica] Univ Tasmania, Antarctic Climate &amp; Ecosyst Cooperat Res Ctr, Hobart, Tas, Australia; [Trebilco, Rowan; van Wijk, Esmee; Herraiz-Borreguero, Laura; Melbourne-Thomas, Jessica] CSIRO, Oceans &amp; Atmosphere, Hobart, ACT, Australia; [Katsumata, Katsuro] Japan Agcy Marine Earth Sci &amp; Technol, Res &amp; Dev Ctr Global Change, Yokosuka, Kanagawa, Japan; [Assmann, Karen; Swart, Sebastiaan; Wahlin, Anna] Univ Gothenburg, Dept Marine Sci, Gothenburg, Sweden; [Beja, Joana] British Oceanog Data Ctr, Liverpool, Merseyside, England; [Colemans, Richard; Williams, Guy; Liesers, Jan; Miloslavich, Patricia] Univ Tasmania, Coll Sci &amp; Engn, Inst Marine &amp; Antarctic Studies, Hobart, Tas, Australia; [Costa, Daniel] Univ Calif Santa Cruz, Dept Ecol &amp; Evolutionary Biol, Santa Cruz, CA 95064 USA; [Diggs, Steve; Gille, Sarah T.; MazIoff, Matthew] Univ Calif San Diego, Scripps Inst Oceanog, La Jolla, CA 92093 USA; [Farneti, Riccardo] Abdus Salam Int Ctr Theoret Phys, Earth Syst Phys Sect, Trieste, Italy; [Fawcett, Sarah; Swart, Sebastiaan] Univ Cape Town, Fac Sci, Dept Oceanog, Cape Town, South Africa; [Hendry, Katharine R.] Univ Bristol, Sch Earth Sci, Bristol, Avon, England; [Henley, Sian] Univ Edinburgh, Sch Geosci, Edinburgh, Midlothian, Scotland; [Hofmann, Eileen] Old Dominion Univ, Ctr Coastal Phys Oceanog, Norfolk, VA USA; [Maksym, Ted] Woods Hole Oceanog Inst, Woods Hole, MA 02543 USA; [Meijers, Andrew; Meredith, Michael M.] British Antarctic Survey, Cambridge, England; [Moreau, Sebastian] Norwegian Polar Res Inst, Tromso, Norway; [Ozsor, Burcu] Istanbul Tech Univ, Polar Res Ctr, Istanbul, Turkey; [Robertson, Robin] Xiamen Univ Malaysia, China ASEAN Coll Marine Sci CAMS, Sepang, Malaysia; [Schloss, Irene] Inst Antartico Argentino, Buenos Aires, DF, Argentina; [Schloss, Irene] Consejo Nacl Invest Cient &amp; Tecn, Ctr Austral Invest Cient CADIC, Ushuaia, Argentina; [Schloss, Irene] Univ Nacl Tierra del Fuego, Ushuaia, Argentina; [Schofield, Oscar; Sikes, Elisabeth] Rutgers State Univ, Sch Environm &amp; Biol Sci, Dept Marine &amp; Coastal Sci, New Brunswick, NJ USA; [Shi, Jiuxin] Ocean Univ China, Key Lab Phys Oceanog, Qingdao, Shandong, Peoples R China; [Smith, Inga J.] Univ Otago, Dept Phys, Dunedin, New Zealand; [Williams, Michael J. M.] Natl Inst Water &amp; Atmospher Res, Wellington, New Zealand; [Herraiz-Borreguero, Laura] Ctr Southern Hemisphere Oceans Res, Hobart, Tas, Australia; [Kern, Stefan] Univ Hamburg, Integrated Climate Data, Ctr Earth Syst Res &amp; Sustainabil, Hamburg, Germany; [Miloslavich, Patricia] Univ Simon Bolivar, Dept Estudios Ambientales, Caracas, Venezuela; [Spreen, Gunnar] Univ Bremen, Inst Environm Phys, Bremen, Germany</t>
  </si>
  <si>
    <t>University of Tasmania; Australian Antarctic Division; University of Tasmania; Antarctic Climate &amp; Ecosystems Cooperative Research Centre (ACE CRC); Commonwealth Scientific &amp; Industrial Research Organisation (CSIRO); Japan Agency for Marine-Earth Science &amp; Technology (JAMSTEC); University of Gothenburg; NERC National Oceanography Centre; University of Tasmania; University of California System; University of California Santa Cruz; University of California System; University of California San Diego; Scripps Institution of Oceanography; Abdus Salam International Centre for Theoretical Physics (ICTP); University of Cape Town; University of Bristol; University of Edinburgh; Old Dominion University; Woods Hole Oceanographic Institution; UK Research &amp; Innovation (UKRI); Natural Environment Research Council (NERC); NERC British Antarctic Survey; Norwegian Polar Institute; Istanbul Technical University; Xiamen University Malaysia Campus; Instituto Antartico Argentino; Consejo Nacional de Investigaciones Cientificas y Tecnicas (CONICET); Rutgers University System; Rutgers University New Brunswick; Ocean University of China; University of Otago; National Institute of Water &amp; Atmospheric Research (NIWA) - New Zealand; University of Hamburg; Simon Bolivar University; University of Bremen</t>
  </si>
  <si>
    <t>Newman, L (corresponding author), Univ Tasmania, Coll Sci &amp; Engn, Inst Marine &amp; Antarctic Studies, Southern Ocean Observing Syst Int Project Off, Hobart, Tas, Australia.</t>
  </si>
  <si>
    <t>newman@soos.aq</t>
  </si>
  <si>
    <t>Katsumata, Katsuro/AAR-5034-2020; Spreen, Gunnar/A-4533-2010; Ozsoy, Burcu/AAH-5348-2020; Trebilco, Rowan/I-5311-2012; Newman, Louise/HNI-7544-2023; Shi, Jiuxin/AAK-5495-2021; Sikes, Elisabeth/HPE-8194-2023; Melbourne-Thomas, Jess/N-2437-2019; van Wijk, Esmee/AAB-2451-2020; Farneti, Riccardo/B-5183-2011; Coleman, Richard/H-4425-2012; Herraiz-Borreguero, Laura/D-5795-2015; Wahlin, Anna/U-3790-2017; Hendry, Katharine/E-4793-2011; Swart, Sebastiaan/U-5498-2017</t>
  </si>
  <si>
    <t>Katsumata, Katsuro/0000-0002-4683-7610; Spreen, Gunnar/0000-0003-0165-8448; Ozsoy, Burcu/0000-0003-4320-1796; Trebilco, Rowan/0000-0001-9712-8016; Shi, Jiuxin/0000-0002-5825-8894; Melbourne-Thomas, Jess/0000-0001-6585-876X; van Wijk, Esmee/0000-0002-9375-4383; Moreau, Sebastien/0000-0001-9446-812X; Heil, Petra/0000-0003-2078-0342; Sikes, Elisabeth/0000-0003-2900-3283; Kern, Stefan/0000-0001-7281-3746; Farneti, Riccardo/0000-0001-7781-6436; Coleman, Richard/0000-0002-9731-7498; Newman, Louise/0000-0001-9523-8713; Miloslavich, Patricia/0000-0001-5409-1401; Diggs, Stephen/0000-0003-3814-6104; Herraiz-Borreguero, Laura/0000-0002-4455-801X; Wahlin, Anna/0000-0003-1799-6476; Massom, Robert/0000-0003-1533-5084; Hendry, Katharine/0000-0002-0790-5895; Fawcett, Sarah/0000-0002-0878-6496; Beja, Joana/0000-0002-5196-8447; Meredith, Michael/0000-0002-7342-7756; Swart, Sebastiaan/0000-0002-2251-8826</t>
  </si>
  <si>
    <t>Australian Government's Cooperative Research Centers Program through the Antarctica Climate and Ecosystems Cooperative Research Centre; International Space Science Institute [406]; Australian Antarctica Science projects [4301, 4390]; NERC [NE/K010034/1, bas0100033] Funding Source: UKRI</t>
  </si>
  <si>
    <t>Australian Government's Cooperative Research Centers Program through the Antarctica Climate and Ecosystems Cooperative Research Centre; International Space Science Institute; Australian Antarctica Science projects; NERC(UK Research &amp; Innovation (UKRI)Natural Environment Research Council (NERC))</t>
  </si>
  <si>
    <t>PH was supported by the Australian Government's Cooperative Research Centers Program through the Antarctica Climate and Ecosystems Cooperative Research Centre, and the International Space Science Institute's team grant #406. This work contributes to the Australian Antarctica Science projects 4301 and 4390.</t>
  </si>
  <si>
    <t>10.3389/fmars.2019.00433</t>
  </si>
  <si>
    <t>IO3CC</t>
  </si>
  <si>
    <t>Green Published, Green Accepted, Green Submitted, gold</t>
  </si>
  <si>
    <t>WOS:000479257100001</t>
  </si>
  <si>
    <t>Trimborn, S; Thoms, S; Karitter, P; Bischof, K</t>
  </si>
  <si>
    <t>Trimborn, Scarlett; Thoms, Silke; Karitter, Pascal; Bischof, Kai</t>
  </si>
  <si>
    <t>Ocean acidification and high irradiance stimulate the photo-physiological fitness, growth and carbon production of the Antarctic cryptophyte Geminigera cryophila</t>
  </si>
  <si>
    <t>PHYTOPLANKTON COMMUNITIES; INORGANIC CARBON; CLIMATE-CHANGE; LIGHT; PENINSULA; DIATOM; WEST; TEMPERATURE; SEAWATER; CO2</t>
  </si>
  <si>
    <t>Ecophysiological studies on Antarctic crypto-phytes to assess whether climatic changes such as ocean acidification and enhanced stratification affect their growth in Antarctic coastal waters in the future are lacking so far. This is the first study that investigates the combined effects of the increasing availability of pCO(2) (400 and 1000 mu atm) and irradiance (20, 200 and 500 mu mol photons m(-2) s(-1)) on growth, elemental composition and photophysiology of the Antarctic cryptophyte Geminigera cryophila. Under ambient pCO(2), this species was characterized by a pronounced sensitivity to increasing irradiance with complete growth inhibition at the highest light intensity. Interestingly, when grown under high pCO(2) this negative light effect vanished, and it reached the highest rates of growth and particulate organic carbon production at the highest irradiance compared to the other tested experimental conditions. Our results for G. cryophila reveal beneficial effects of ocean acidification in conjunction with enhanced irradiance on growth and photosynthesis. Hence, cryptophytes such as G. cryophila may be potential winners of climate change, potentially thriving better in more stratified and acidic coastal waters and contributing in higher abundance to future phytoplankton assemblages of coastal Antarctic waters.</t>
  </si>
  <si>
    <t>[Trimborn, Scarlett; Thoms, Silke; Karitter, Pascal] Alfred Wegener Inst, Biogeosci Sect, EcoTrace, D-27568 Bremerhaven, Germany; [Trimborn, Scarlett; Bischof, Kai] Univ Bremen, Dept Biol Chem 2, Marine Bot, D-28359 Bremen, Germany</t>
  </si>
  <si>
    <t>Trimborn, S (corresponding author), Alfred Wegener Inst, Biogeosci Sect, EcoTrace, D-27568 Bremerhaven, Germany.;Trimborn, S (corresponding author), Univ Bremen, Dept Biol Chem 2, Marine Bot, D-28359 Bremen, Germany.</t>
  </si>
  <si>
    <t>scarlett.trimborn@awi.de</t>
  </si>
  <si>
    <t>Trimborn, Scarlett/0000-0003-1434-9927; Bischof, Kai/0000-0002-4497-1920; Karitter, Pascal/0000-0003-1446-4714</t>
  </si>
  <si>
    <t>Helmholtz Association [VH-NG-901]</t>
  </si>
  <si>
    <t>Helmholtz Association(Helmholtz Association)</t>
  </si>
  <si>
    <t>This research has been supported by the Helmholtz Association (grant no. VH-NG-901).</t>
  </si>
  <si>
    <t>AUG 7</t>
  </si>
  <si>
    <t>10.5194/bg-16-2997-2019</t>
  </si>
  <si>
    <t>IW8NV</t>
  </si>
  <si>
    <t>gold, Green Submitted</t>
  </si>
  <si>
    <t>WOS:000485251800001</t>
  </si>
  <si>
    <t>Sloyan, BM; Wanninkhof, R; Kramp, M; Johnson, GC; Talley, LD; Tanhua, T; McDonagh, E; Cusack, C; O'Rourke, E; McGovern, E; Katsumata, K; Diggs, S; Hummon, J; Ishii, M; Azetsu-Scott, K; Boss, E; Ansorge, I; Perez, FF; Mercier, H; Williams, MJM; Anderson, L; Lee, JH; Murata, A; Kouketsu, S; Jeansson, E; Hoppema, M; Campos, E</t>
  </si>
  <si>
    <t>Sloyan, Bernadette M.; Wanninkhof, Rik; Kramp, Martin; Johnson, Gregory C.; Talley, Lynne D.; Tanhua, Toste; McDonagh, Elaine; Cusack, Caroline; O'Rourke, Eleanor; McGovern, Evin; Katsumata, Katsuro; Diggs, Steve; Hummon, Julia; Ishii, Masao; Azetsu-Scott, Kumiko; Boss, Emmanuel; Ansorge, Isabelle; Perez, Fiz F.; Mercier, Herle; Williams, Michael J. M.; Anderson, Leif; Lee, Jae Hak; Murata, Akihiko; Kouketsu, Shinya; Jeansson, Emil; Hoppema, Mario; Campos, Edmo</t>
  </si>
  <si>
    <t>The Global Ocean Ship-Based Hydrographic Investigations Program (GO-SHIP): A Platform for Integrated Multidisciplinary Ocean Science</t>
  </si>
  <si>
    <t>GO-SHIP; ship-based observations; multidisciplinary ocean research; contemporaneous ocean observations; global ocean change and variability; health; essential ocean variables; essential climate variables</t>
  </si>
  <si>
    <t>OXYGEN UTILIZATION RATES; ANTARCTIC BOTTOM WATER; TRANSIT-TIME DISTRIBUTIONS; WESTERN SOUTH ATLANTIC; SEA-LEVEL RISE; ANTHROPOGENIC CO2; OVERTURNING CIRCULATION; DISSOLVED-OXYGEN; TEMPORAL-CHANGES; PACIFIC-OCEAN</t>
  </si>
  <si>
    <t>The Global Ocean Ship-Based Hydrographic Investigations Program (GO-SHIP) provides a globally coordinated network and oversight of 55 sustained decadal repeat hydrographic reference lines. GO-SHIP is part of the global ocean/climate observing systems (GOOS/GCOS) for study of physical oceanography, the ocean carbon, oxygen and nutrient cycles, and marine biogeochemistry. GO-SHIP enables assessment of the ocean sequestration of heat and carbon, changing ocean circulation and ventilation patterns, and their effects on ocean health and Earth's climate. Rapid quality control and open data release along with incorporation of the GO-SHIP effort in the Joint Technical Commission for Oceanography and Marine Meteorology (JCOMM) in situ Observing Programs Support Center (JCOMMOPS) have increased the profile of, and participation in, the program and led to increased data use for a range of efforts. In addition to scientific discovery, GO-SHIP provides climate quality observations for ongoing calibration of measurements from existing and new autonomous platforms. This includes biogeochemical observations for the nascent array of biogeochemical (BGC)-Argo floats; temperature and salinity for Deep Argo; and salinity for the core Argo array. GO-SHIP provides the relevant suite of global, full depth, high quality observations and co-located deployment opportunities that, for the foreseeable future, remain crucial to maintenance and evolution of Argo's unique contribution to climate science. The evolution of GO-SHIP from a program primarily focused on physical climate to increased emphasis on ocean health and sustainability has put an emphasis on the addition of essential ocean variables for biology and ecosystems in the program measurement suite. In conjunction with novel automated measurement systems, ocean color, particulate matter, and phytoplankton enumeration are being explored as GO-SHIP variables. The addition of biological and ecosystem measurements will enable GO-SHIP to determine trends and variability in these key indicators of ocean health. The active and adaptive community has sustained the network, quality and relevance of the global repeat hydrography effort through societally important scientific results, increased exposure, and interoperability with new efforts and opportunities within the community. Here we provide key recommendations for the continuation and growth of GO-SHIP in the next decade.</t>
  </si>
  <si>
    <t>[Sloyan, Bernadette M.] CSIRO, Oceans &amp; Atmosphere, Hobart, Tas, Australia; [Wanninkhof, Rik] NOAA, Atlantic Oceanog &amp; Meteorol Lab, Miami, FL 33149 USA; [Kramp, Martin] WMO IOC UNESCO, JCOMMOPS, Brest, France; [Johnson, Gregory C.] NOAA, Pacific Menne Environm Lab, Seattle, WA USA; [Talley, Lynne D.; Diggs, Steve] Univ Calif San Diego, Scripps Inst Oceanog, La Jolla, CA 92093 USA; [Tanhua, Toste] GEOMAR Helmholtz Ctr Ocean Res Kiel, Kiel, Germany; [McDonagh, Elaine] Natl Oceanog Ctr, Southampton, Hants, England; [Cusack, Caroline; O'Rourke, Eleanor; McGovern, Evin] Marine Inst, Galway, Ireland; [Katsumata, Katsuro; Murata, Akihiko; Kouketsu, Shinya] JAMSTEC, Global Chem &amp; Phys Oceanog Grp, Yokosuka, Kanagawa, Japan; [Hummon, Julia] Univ Hawaii, SOEST, Honolulu, HI 96822 USA; [Ishii, Masao] Meteorol Res Inst, JMA, Tsukuba, Ibaraki, Japan; [Azetsu-Scott, Kumiko] Bedford Inst Oceanog, Dartmouth, NS, Canada; [Boss, Emmanuel] Univ Maine, Sch Marine Sci, Orono, ME USA; [Ansorge, Isabelle] Univ Cape Town, Dept Oceanog, Cape Town, South Africa; [Perez, Fiz F.] CSIC, IIM, Vigo, Spain; [Mercier, Herle] Univ Brest, Ctr Bretagne, Ifremer, CNRS, Plouzane, France; [Williams, Michael J. M.] Natl Inst Water &amp; Atmospher Res, Wellington, New Zealand; [Anderson, Leif] Univ Gothenburg, Dept Marine Sci, Gothenburg, Sweden; [Lee, Jae Hak] Korea Inst Ocean Sci &amp; Technol, Busan, South Korea; [Jeansson, Emil] NORCE Norwegian Res Ctr AS, Bjerkins Ctr Climate Res, Bergen, Norway; [Hoppema, Mario] Helmholtz Ctr Polar &amp; Marine Res, Alfred Wegener Inst, Bremerhaven, Germany; [Campos, Edmo] Univ Sao Paulo, Oceanog Inst, Sao Paulo, Brazil; [Campos, Edmo] Amer Univ Sharjah, Gulf Environm Res Inst, Sharjah, U Arab Emirates</t>
  </si>
  <si>
    <t>Commonwealth Scientific &amp; Industrial Research Organisation (CSIRO); National Oceanic Atmospheric Admin (NOAA) - USA; Atlantic Oceanographic &amp; Meteorological Laboratory (AOML); National Oceanic Atmospheric Admin (NOAA) - USA; University of California System; University of California San Diego; Scripps Institution of Oceanography; Helmholtz Association; GEOMAR Helmholtz Center for Ocean Research Kiel; NERC National Oceanography Centre; Marine Institute Ireland; Japan Agency for Marine-Earth Science &amp; Technology (JAMSTEC); University of Hawaii System; Meteorological Research Institute - Japan; Bedford Institute of Oceanography; University of Maine System; University of Maine Orono; University of Cape Town; Consejo Superior de Investigaciones Cientificas (CSIC); CSIC - Instituto de Investigaciones Marinas (IIM); Ifremer; Universite de Bretagne Occidentale; Centre National de la Recherche Scientifique (CNRS); National Institute of Water &amp; Atmospheric Research (NIWA) - New Zealand; University of Gothenburg; Korea Institute of Ocean Science &amp; Technology (KIOST); Norwegian Research Centre (NORCE); Helmholtz Association; Alfred Wegener Institute, Helmholtz Centre for Polar &amp; Marine Research; Universidade de Sao Paulo; American University of Sharjah</t>
  </si>
  <si>
    <t>Sloyan, BM (corresponding author), CSIRO, Oceans &amp; Atmosphere, Hobart, Tas, Australia.;Wanninkhof, R (corresponding author), NOAA, Atlantic Oceanog &amp; Meteorol Lab, Miami, FL 33149 USA.;Kramp, M (corresponding author), WMO IOC UNESCO, JCOMMOPS, Brest, France.</t>
  </si>
  <si>
    <t>Bernadette.Sloyan@csiro.au; rik.wanninkhof@noaa.gov; mkramp@jcommops.org</t>
  </si>
  <si>
    <t>Fernandez Perez, Fiz/B-9001-2011; Tanhua, Toste/HLX-5402-2023; Katsumata, Katsuro/AAR-5034-2020; Boss, Emmanuel/C-5765-2009; Sloyan, Bernadette/N-8989-2014; Boss, Emmanuel/AAF-2336-2019; Johnson, Gregory C/I-6559-2012; ANSORGE, ISABELLE/AAY-7396-2020; Campos, edmo/G-6995-2012; MERCIER, Herle/L-4161-2015</t>
  </si>
  <si>
    <t>Fernandez Perez, Fiz/0000-0003-4836-8974; Katsumata, Katsuro/0000-0002-4683-7610; Boss, Emmanuel/0000-0002-8334-9595; Sloyan, Bernadette/0000-0003-0250-0167; Johnson, Gregory C/0000-0002-8023-4020; Campos, edmo/0000-0001-6399-5496; McDonagh, Elaine/0000-0002-8813-4585; Kouketsu, Shinya/0000-0002-8217-5888; Talley, Lynne/0000-0003-1574-729X; McGovern, Evin/0000-0002-7565-0126; Diggs, Stephen/0000-0003-3814-6104; Ansorge, Isabelle/0000-0001-7071-8147; MERCIER, Herle/0000-0002-1940-617X</t>
  </si>
  <si>
    <t>Australian Government Department of the Environment; CSIRO through the National Environmental Science Program; CSIROs Decadal Climate Forecasting Project; NOAA office of Oceanic and Atmospheric Research; NOAA Ocean Observations and Monitoring Division (OOMD) [100007298]; United States NSF Ocean Sciences [OCE_1437015]; EU Horizon 2020 grant [633211]; United Kingdom NERC National Capability ORCHESTRA project [NE/N018095/1]; United Kingdom NERC National Capability CLASS project [NE/R015953/1]; Marine Research Programme of the Irish Government</t>
  </si>
  <si>
    <t>Australian Government Department of the Environment(Australian Government); CSIRO through the National Environmental Science Program; CSIROs Decadal Climate Forecasting Project; NOAA office of Oceanic and Atmospheric Research(National Oceanic Atmospheric Admin (NOAA) - USA); NOAA Ocean Observations and Monitoring Division (OOMD); United States NSF Ocean Sciences; EU Horizon 2020 grant(Horizon 2020); United Kingdom NERC National Capability ORCHESTRA project; United Kingdom NERC National Capability CLASS project; Marine Research Programme of the Irish Government</t>
  </si>
  <si>
    <t>BS was supported by the Australian Government Department of the Environment and CSIRO through the National Environmental Science Program and CSIROs Decadal Climate Forecasting Project. RW and GJ were supported by the NOAA office of Oceanic and Atmospheric Research, including the Ocean Observations and Monitoring Division (OOMD), funding reference #100007298. PMEL Contribution Number 4864. LT was supported by the United States NSF Ocean Sciences OCE_1437015. TT and CC were supported by the EU Horizon 2020 grant agreement 633211, AtlantOS. ElM was supported by the United Kingdom NERC National Capability ORCHESTRA (NE/N018095/1) and CLASS (NE/R015953/1) projects. EO'R, EMcG, and CC were supported under the Marine Research Programme of the Irish Government.</t>
  </si>
  <si>
    <t>10.3389/fmars.2019.00445</t>
  </si>
  <si>
    <t>IO0MO</t>
  </si>
  <si>
    <t>WOS:000479073200001</t>
  </si>
  <si>
    <t>Padgham, M; Boeing, G; Cooley, D; Tierney, N; Sumner, M; Phan, TG; Beare, R</t>
  </si>
  <si>
    <t>Padgham, Mark; Boeing, Geoff; Cooley, David; Tierney, Nicholas; Sumner, Michael; Phan, Thanh G.; Beare, Richard</t>
  </si>
  <si>
    <t>An Introduction to Software Tools, Data, and Services for Geospatial Analysis of Stroke Services</t>
  </si>
  <si>
    <t>FRONTIERS IN NEUROLOGY</t>
  </si>
  <si>
    <t>geospatial; software; data; review; stroke; emergency clot retrieval</t>
  </si>
  <si>
    <t>ENDOVASCULAR TREATMENT; ISCHEMIC-STROKE; THROMBECTOMY; RETRIEVAL</t>
  </si>
  <si>
    <t>Background: There is interest in the use geospatial data for development of acute stroke services given the importance of timely access to acute reperfusion therapy. This paper aims to introduce clinicians and citizen scientists to the possibilities offered by open source softwares (R and Python) for analyzing geospatial data. It is hoped that this introduction will stimulate interest in the field as well as generate ideas for improving stroke services. Method: Instructions on installation of libraries for R and Python, source codes and links to census data are provided in a notebook format to enhance experience with running the software. The code illustrates different aspects of using geospatial analysis: (1) creation of choropleth (thematic) map which depicts estimate of stroke cases per post codes; (2) use of map to help define service regions for rehabilitation after stroke. Results: Choropleth map showing estimate of stroke per post codes and service boundary map for rehabilitation after stroke. Conclusions The examples in this article illustrate the use of a range of components that underpin geospatial analysis. By providing an accessible introduction to these areas, clinicians and researchers can create code to answer clinically relevant questions on topics such as service delivery and service demand.</t>
  </si>
  <si>
    <t>[Padgham, Mark] Act Transport Futures, Munster, Germany; [Boeing, Geoff] Northeastern Univ, Sch Publ Policy &amp; Urban Affairs, Boston, MA 02115 USA; [Cooley, David] Symbolix Pty Ltd, Melbourne, Vic, Australia; [Tierney, Nicholas] Monash Univ, Dept Econometr &amp; Business Stat, Melbourne, Vic, Australia; [Sumner, Michael] Australian Antarctic Div, Dept Environm &amp; Energy, Kingston, Tas, Australia; [Phan, Thanh G.] Monash Univ, Clin Trials Imaging &amp; Informat, Div Stroke, Melbourne, Vic, Australia; [Phan, Thanh G.] Monash Univ, Aging Res Grp, Melbourne, Vic, Australia; [Phan, Thanh G.] Monash Med Ctr, Stroke Unit, Melbourne, Vic, Australia; [Beare, Richard] Monash Univ, Dept Med, Melbourne, Vic, Australia; [Beare, Richard] Murdoch Childrens Res Inst, Dev Imaging, Melbourne, Vic, Australia</t>
  </si>
  <si>
    <t>Northeastern University; Melbourne Genomics Health Alliance; Monash University; Australian Antarctic Division; Melbourne Genomics Health Alliance; Monash University; Monash University; Melbourne Genomics Health Alliance; Melbourne Genomics Health Alliance; Monash University; Monash University; Murdoch Children's Research Institute; Melbourne Genomics Health Alliance</t>
  </si>
  <si>
    <t>Beare, R (corresponding author), Monash Univ, Dept Med, Melbourne, Vic, Australia.;Beare, R (corresponding author), Murdoch Childrens Res Inst, Dev Imaging, Melbourne, Vic, Australia.</t>
  </si>
  <si>
    <t>Richard.Beare@monash.edu</t>
  </si>
  <si>
    <t>Boeing, Geoff/P-3238-2019; Sumner, Michael D/J-3478-2013</t>
  </si>
  <si>
    <t>Boeing, Geoff/0000-0003-1851-6411; Sumner, Michael/0000-0002-2471-7511; Phan, Thanh/0000-0003-3400-6323; Beare, Richard/0000-0002-7530-5664</t>
  </si>
  <si>
    <t>1664-2295</t>
  </si>
  <si>
    <t>FRONT NEUROL</t>
  </si>
  <si>
    <t>Front. Neurol.</t>
  </si>
  <si>
    <t>10.3389/fneur.2019.00743</t>
  </si>
  <si>
    <t>Clinical Neurology; Neurosciences</t>
  </si>
  <si>
    <t>Neurosciences &amp; Neurology</t>
  </si>
  <si>
    <t>IO1PS</t>
  </si>
  <si>
    <t>WOS:000479155000001</t>
  </si>
  <si>
    <t>Lavers, JL; Hutton, I; Bond, AL</t>
  </si>
  <si>
    <t>Lavers, Jennifer L.; Hutton, Ian; Bond, Alexander L.</t>
  </si>
  <si>
    <t>Clinical Pathology of Plastic Ingestion in Marine Birds and Relationships with Blood Chemistry</t>
  </si>
  <si>
    <t>FLESH-FOOTED SHEARWATERS; WEDGE-TAILED SHEARWATERS; PUFFINUS-CARNEIPES; TRACE-METALS; DEBRIS; SEABIRDS; MICROPLASTICS; ACCUMULATION; ADSORPTION; POLLUTANTS</t>
  </si>
  <si>
    <t>Pollution of the environment with plastic debris is a significant and rapidly expanding threat to biodiversity due to its abundance, durability, and persistence. Current knowledge of the negative effects of debris on wildlife is largely based on consequences that are readily observed, such as entanglement or starvation. Many interactions with debris, however, result in less visible and poorly documented sublethal effects, and as a consequence, the true impact of plastic is underestimated. We investigated the sublethal effects of ingested plastic in Flesh-footed Shearwaters (Ardenna carneipes) using blood chemistry parameters as a measure of bird health. The presence of plastic had a significant negative effect on bird morphometrics and blood calcium levels and a positive relationship with the concentration of uric acid, cholesterol, and amylase. That we found blood chemistry parameters being related to plastic pollution is one of the few examples to date of the sublethal effects of marine debris and highlights that superficially healthy individuals may still experience the negative consequences of ingesting plastic debris. Moving beyond crude measures, such as reduced body mass, to physiological parameters will provide much needed insight into the nuanced and less visible effects of plastic.</t>
  </si>
  <si>
    <t>[Lavers, Jennifer L.; Bond, Alexander L.] Univ Tasmania, Inst Marine &amp; Antarctic Studies, Battery Point, Tas 7004, Australia; [Hutton, Ian] Lord Howe Isl Museum, Lord Howe Isl, NSW 2898, Australia; [Bond, Alexander L.] Nat Hist Museum, Dept Life Sci, Bird Grp, Tring HP23 6AP, Herts, England</t>
  </si>
  <si>
    <t>University of Tasmania; Natural History Museum London</t>
  </si>
  <si>
    <t>Lavers, JL (corresponding author), Univ Tasmania, Inst Marine &amp; Antarctic Studies, Battery Point, Tas 7004, Australia.</t>
  </si>
  <si>
    <t>Jennifer.Lavers@utas.edu.au</t>
  </si>
  <si>
    <t>Lavers, Jennifer/O-4831-2017; Lavers, Jennifer/IWM-5417-2023; Bond, Alexander L/A-3786-2010</t>
  </si>
  <si>
    <t>Lavers, Jennifer/0000-0001-7596-6588; Bond, Alexander/0000-0003-2125-7238</t>
  </si>
  <si>
    <t>Detached Foundation; Living Ocean; Trading Consultants Ltd</t>
  </si>
  <si>
    <t>Detached Foundation, L. Bryce, Living Ocean, and Trading Consultants Ltd generously provided funding for this project. Samples were collected with the permission of the Lord Howe Island Board (LHIB02/14 and 06/16) and New South Wales Office of Environment and Heritage (SL100169) under the approval of University of Tasmania Animal Ethics (A13836 and A14130). Analytical and logistical support was provided by the Australian Bird and Bat Banding Scheme, J. Benjamin, P. Clive, B. Doneley, B. and I. Fulton, J. Harris (Mayfair Veterinary Clinic), S. Jaensch, P. Sharp, S. Stuckenbrock, and V. Wilkinson (Zoological Society of London). Comments from two anonymous reviewers improved earlier drafts.</t>
  </si>
  <si>
    <t>AUG 6</t>
  </si>
  <si>
    <t>10.1021/acs.est.9b02098</t>
  </si>
  <si>
    <t>IP9LC</t>
  </si>
  <si>
    <t>WOS:000480370600077</t>
  </si>
  <si>
    <t>Rippin, M; Borchhardt, N; Karsten, U; Becker, B</t>
  </si>
  <si>
    <t>Rippin, Martin; Borchhardt, Nadine; Karsten, Ulf; Becker, Burkhard</t>
  </si>
  <si>
    <t>Cold Acclimation Improves the Desiccation Stress Resilience of Polar Strains of Klebsormidium (Streptophyta)</t>
  </si>
  <si>
    <t>cold acclimation; desiccation stress; Klebsormidium; polar regions; transcriptomics</t>
  </si>
  <si>
    <t>BIOLOGICAL SOIL CRUSTS; GREEN-ALGA KLEBSORMIDIUM; HEAT-SHOCK PROTEINS; GENE-EXPRESSION; DROUGHT STRESS; WATER-STRESS; HIGH LIGHT; TEMPERATURE; TOLERANCE; ARABIDOPSIS</t>
  </si>
  <si>
    <t>Biological soil crusts (BSCs) are complex communities of autotrophic, heterotrophic, and saprotrophic (micro)organisms. In the polar regions, these biocrust communities have essential ecological functions such as primary production, nitrogen fixation, and ecosystem engineering while coping with extreme environmental conditions (temperature, desiccation, and irradiation). The microalga Klebsormidium is commonly found in BSCs all across the globe. The ecophysiological resilience of various Klebsormidium species to desiccation and other stresses has been studied intensively. Here we present the results of transcriptomic analyses of two different Klebsormidium species, K. dissectum and K. flaccidum, isolated from Antarctic and Arctic BSCs. We performed desiccation stress experiments at two different temperatures mimicking fluctuations associated with global change. Cultures grown on agar plates were desiccated on membrane filters at 10% relative air humidity until the photosynthetic activity as reflected in the effective quantum yield of photosystem II [Y(II)] ceased. For both species, the response to dehydration was much faster at the higher temperature. At the transcriptome level both species responded more strongly to the desiccation stress at the higher temperature suggesting that adaptation to cold conditions enhanced the resilience of both algae to desiccation stress. Interestingly, the two different species responded differently to the applied desiccation stress with respect to the number as well as function of genes showing differential gene expression. The portion of differentially expressed genes shared between both taxa was surprisingly low indicating that both Klebsormidium species adapted independently to the harsh conditions of Antarctica and the Arctic, respectively. Overall, our results indicate that environmental acclimation has a great impact on gene expression and the response to desiccation stress in Klebsormidium.</t>
  </si>
  <si>
    <t>[Rippin, Martin; Becker, Burkhard] Univ Cologne, Dept Biol, Bot Inst, Cologne, Germany; [Borchhardt, Nadine; Karsten, Ulf] Univ Rostock, Dept Biol, Rostock, Germany</t>
  </si>
  <si>
    <t>University of Cologne; University of Rostock</t>
  </si>
  <si>
    <t>Becker, B (corresponding author), Univ Cologne, Dept Biol, Bot Inst, Cologne, Germany.;Karsten, U (corresponding author), Univ Rostock, Dept Biol, Rostock, Germany.</t>
  </si>
  <si>
    <t>ulf.karsten@uni-rostock.de; b.becker@uni-koeln.de</t>
  </si>
  <si>
    <t>Becker, Burkhard/I-4022-2012</t>
  </si>
  <si>
    <t>Becker, Burkhard/0000-0002-7965-1396; Rippin, Martin/0000-0003-4362-0122</t>
  </si>
  <si>
    <t>Deutsche Forschungsgemeinschaft (DFG) [BE1779/18-1, KA899/23-1]; Deutsche Forschungsgemeinschaft (DFG), Priority Program 1158 Antarctic Research</t>
  </si>
  <si>
    <t>Deutsche Forschungsgemeinschaft (DFG)(German Research Foundation (DFG)); Deutsche Forschungsgemeinschaft (DFG), Priority Program 1158 Antarctic Research(German Research Foundation (DFG))</t>
  </si>
  <si>
    <t>This study was funded by the Deutsche Forschungsgemeinschaft (DFG) within the project Polarcrust (BE1779/18-1, KA899/23-1) as a part of the Priority Program 1158  Antarctic Research.</t>
  </si>
  <si>
    <t>10.3389/fmicb.2019.01730</t>
  </si>
  <si>
    <t>IN7VP</t>
  </si>
  <si>
    <t>WOS:000478890200001</t>
  </si>
  <si>
    <t>Smith, GC; Allard, R; Babin, M; Bertino, L; Chevallier, M; Corlett, G; Crout, J; Davidson, F; Delille, B; Gille, ST; Hebert, D; Hyder, P; Intrieri, J; Lagunas, J; Larnicol, G; Kaminski, T; Kater, B; Kauker, F; Marec, C; Mazloff, M; Metzger, EJ; Mordy, C; O'Carroll, A; Olsen, SM; Phelps, M; Posey, P; Prandi, P; Rehm, E; Reid, P; Rigor, I; Sandven, S; Shupe, M; Swart, S; Smedstad, OM; Solomon, A; Storto, A; Thibaut, P; Toole, J; Wood, K; Xie, JP; Yang, QH</t>
  </si>
  <si>
    <t>Smith, Gregory C.; Allard, Richard; Babin, Marcel; Bertino, Laurent; Chevallier, Matthieu; Corlett, Gary; Crout, Julia; Davidson, Fraser; Delille, Bruno; Gille, Sarah T.; Hebert, David; Hyder, Patrick; Intrieri, Janet; Lagunas, Jose; Larnicol, Gilles; Kaminski, Thomas; Kater, Belinda; Kauker, Frank; Marec, Claudie; Mazloff, Matthew; Metzger, E. Joseph; Mordy, Calvin; O'Carroll, Anne; Olsen, Steffen M.; Phelps, Michael; Posey, Pamela; Prandi, Pierre; Rehm, Eric; Reid, Phillip; Rigor, Ignatius; Sandven, Stein; Shupe, Matthew; Swart, Sebastiaan; Smedstad, Ole Martin; Solomon, Amy; Storto, Andrea; Thibaut, Pierre; Toole, John; Wood, Kevin; Xie, Jiping; Yang, Qinghua</t>
  </si>
  <si>
    <t>WWRP PPP Steering Grp</t>
  </si>
  <si>
    <t>Polar Ocean Observations: A Critical Gap in the Observing System and Its Effect on Environmental Predictions From Hours to a Season</t>
  </si>
  <si>
    <t>polar observations; operational oceanography; ocean data assimilation; ocean modeling; forecasting; sea ice; air-sea-ice fluxes; YOPP</t>
  </si>
  <si>
    <t>ICE MASS-BALANCE; ARCTIC-OCEAN; SOUTHERN-OCEAN; GLOBAL OCEAN; DATA ASSIMILATION; CANADA BASIN; EARTH SYSTEM; EDDY FIELD; THICKNESS; SATELLITE</t>
  </si>
  <si>
    <t>There is a growing need for operational oceanographic predictions in both the Arctic and Antarctic polar regions. In the former, this is driven by a declining ice cover accompanied by an increase in maritime traffic and exploitation of marine resources. Oceanographic predictions in the Antarctic are also important, both to support Antarctic operations and also to help elucidate processes governing sea ice and ice shelf stability. However, a significant gap exists in the ocean observing system in polar regions, compared to most areas of the global ocean, hindering the reliability of ocean and sea ice forecasts. This gap can also be seen from the spread in ocean and sea ice reanalyses for polar regions which provide an estimate of their uncertainty. The reduced reliability of polar predictions may affect the quality of various applications including search and rescue, coupling with numerical weather and seasonal predictions, historical reconstructions (reanalysis), aquaculture and environmental management including environmental emergency response. Here, we outline the status of existing near-real time ocean observational efforts in polar regions, discuss gaps, and explore perspectives for the future. Specific recommendations include a renewed call for open access to data, especially real-time data, as a critical capability for improved sea ice and weather forecasting and other environmental prediction needs. Dedicated efforts are also needed to make use of additional observations made as part of the Year of Polar Prediction (YOPP; 2017-2019) to inform optimal observing system design. To provide a polar extension to the Argo network, it is recommended that a network of ice-borne sea ice and upper-ocean observing buoys be deployed and supported operationally in ice-covered areas together with autonomous profiling floats and gliders (potentially with ice detection capability) in seasonally ice covered seas. Finally, additional efforts to better measure and parameterize surface exchanges in polar regions are much needed to improve coupled environmental prediction.</t>
  </si>
  <si>
    <t>[Smith, Gregory C.] Environm &amp; Climate Change Canada, Meteorol Res Div, Environm Numer Predict Res Sect, Dorval, PQ, Canada; [Allard, Richard; Hebert, David; Metzger, E. Joseph] US Naval Res Lab, Stennis Space Ctr, Bay St Louis, MS USA; [Babin, Marcel; Lagunas, Jose; Marec, Claudie; Rehm, Eric] Univ Laval, CNRS, UMI 3376, Takuvik, Quebec City, PQ, Canada; [Bertino, Laurent; Sandven, Stein; Xie, Jiping] Nansen Environm &amp; Remote Sensing Ctr, Bergen, Norway; [Chevallier, Matthieu] Mateo France, Div Marine &amp; Oceanog, Toulouse, France; [Chevallier, Matthieu] Univ Toulouse, CNRS, Meteo France, CNRM, Toulouse, France; [Corlett, Gary; O'Carroll, Anne] European Org Exploitat Meteorol Satellites, Darmstadt, Germany; [Crout, Julia; Phelps, Michael; Posey, Pamela; Smedstad, Ole Martin] Perspecta Inc, Stennis Space Ctr, Bay St Louis, MS USA; [Davidson, Fraser] Fisheries &amp; Oceans Canada, Northwest Atlantic Fisheries Ctr, St John, NF, Canada; [Delille, Bruno] Univ Liege, Chem Oceanog Unit, Liege, Belgium; [Gille, Sarah T.; Mazloff, Matthew] Univ Calif San Diego, Scripps Inst Oceanog, La Jolla, CA 92093 USA; [Hyder, Patrick] Met Off, Exeter, Devon, England; [Intrieri, Janet; Shupe, Matthew] NOAA, Phys Sci Div, Earth Syst Res Lab, Boulder, CO USA; [Larnicol, Gilles; Prandi, Pierre; Thibaut, Pierre] Collette Localisat Satellites, Toulouse, France; [Kaminski, Thomas] Invers Lab, Hamburg, Germany; [Kater, Belinda] Arcadis Nederland BV, Zwolle, Netherlands; [Kauker, Frank] Ocean Atmosphere Syst, Hamburg, Germany; [Kauker, Frank] Alfred Wegener Inst Polar &amp; Marine Res, Bremerhaven, Germany; [Marec, Claudie] CNRS, Lab Oceanog Phys &amp; Spatiale, UMR 6523, IFREMER,IRD,UBO, Piouzane, France; [Mordy, Calvin; Wood, Kevin] Univ Washington, Joint Inst Study Atmosphere &amp; Oceans, Seattle, WA 98195 USA; [Olsen, Steffen M.] Danish Meteorol Inst, Copenhagen, Denmark; [Reid, Phillip] Bur Meteorol, Hobart, Tas, Australia; [Rigor, Ignatius] Univ Washington, Polar Sci Ctr, Seattle, WA 98195 USA; [Shupe, Matthew] Univ Colorado, Cooperat Inst Res Environm Sci, Boulder, CO 80309 USA; [Swart, Sebastiaan] Univ Gothenburg, Dept Marine Sci, Gothenburg, Sweden; [Swart, Sebastiaan] Univ Cape Town, Dept Oceanog, Rondebosch, South Africa; [Solomon, Amy] NOAA, Earth Syst Res Lab, Boulder, CO USA; [Storto, Andrea] Ctr Maritime Res &amp; Expt, La Spezia, Italy; [Toole, John] Woods Hole Oceanog Inst, Woods Hole, MA 02543 USA; [Yang, Qinghua] Sun Yat Sen Univ, Guangdong Prov Key Lab Climate Change &amp; Nat Disas, Sch Atmospher Sci, Zhuhai, Peoples R China; [WWRP PPP Steering Grp] Polar Predict Project PPP Steering Grp, WWRP, Beijing, Peoples R China</t>
  </si>
  <si>
    <t>Environment &amp; Climate Change Canada; Laval University; Nansen Environmental &amp; Remote Sensing Center (NERSC); Meteo France; Meteo France; Universite de Toulouse; Centre National de la Recherche Scientifique (CNRS); European Organisation for the Exploitation of Meteorological Satellites; Fisheries &amp; Oceans Canada; University of Liege; University of California System; University of California San Diego; Scripps Institution of Oceanography; Met Office - UK; National Oceanic Atmospheric Admin (NOAA) - USA; University of Hamburg; University Medical Center Hamburg-Eppendorf; Arcadis; Helmholtz Association; Alfred Wegener Institute, Helmholtz Centre for Polar &amp; Marine Research; Centre National de la Recherche Scientifique (CNRS); Ifremer; Institut de Recherche pour le Developpement (IRD); Universite de Bretagne Occidentale; University of Washington; University of Washington Seattle; Danish Meteorological Institute DMI; Bureau of Meteorology - Australia; University of Washington; University of Washington Seattle; University of Colorado System; University of Colorado Boulder; University of Gothenburg; University of Cape Town; National Oceanic Atmospheric Admin (NOAA) - USA; Woods Hole Oceanographic Institution; Sun Yat Sen University</t>
  </si>
  <si>
    <t>Smith, GC (corresponding author), Environm &amp; Climate Change Canada, Meteorol Res Div, Environm Numer Predict Res Sect, Dorval, PQ, Canada.</t>
  </si>
  <si>
    <t>Gregory.Smith2@canada.ca</t>
  </si>
  <si>
    <t>Shupe, Matthew/F-8754-2011; Mordy, Calvin W/J-6808-2017; Jung, Thomas/J-5239-2012; Allard, Rick/AAD-4177-2022; Storto, Andrea/AAH-3823-2019; Solomon, Amy B/L-8988-2013; Mazloff, Matthew/AAG-6463-2019; Bertino, Laurent/H-9395-2014; Swart, Sebastiaan/U-5498-2017; Delille, Bruno/C-3486-2008</t>
  </si>
  <si>
    <t>Jung, Thomas/0000-0002-2651-1293; Storto, Andrea/0000-0003-3856-8905; Mazloff, Matthew/0000-0002-1650-5850; Bertino, Laurent/0000-0002-1220-7207; Babin, Marcel/0000-0001-9233-2253; PHELPS, MICHAEL/0000-0003-3318-4734; Xie, Jiping/0000-0002-8602-2774; Rehm, Eric/0000-0002-8417-538X; Swart, Sebastiaan/0000-0002-2251-8826; Delille, Bruno/0000-0003-0502-8101; Claudie, MAREC/0000-0001-5805-9820; Lagunas-Morales, Jose/0000-0002-6902-3476; Sandven, Stein/0000-0002-8023-5779</t>
  </si>
  <si>
    <t>French project NAOS; ANR [111112]; CNES [131425]; IPEV [1164]; CSA; Fondation Total; ArcticNet; French Arctic Initiative (GreenEdge project); European Union's Horizon 2020 Research and Innovation Program [727890]; European Space Agency [4000117710/16/I-NB]; Wallenberg Academy Fellowship [WAF 2015.0186]; NAOS; Canadian Foundation for Innovation [FCI-30124]; LEFE; European Commission; U.S. National Science Foundation; ONR; NSF [PLR-1425989, OCE 1658001]; NOAA ESRL Physical Sciences Division; CMEMS; WMO trust fund; AWI; NRL Research Option  Determining the Impact of Sea Ice Thickness on the Arctic's Naturally Changing Environment (DISTANCE), ONR 6.2 Data Assimilation [0602435N]; CNES; ESA</t>
  </si>
  <si>
    <t>French project NAOS; ANR(Agence Nationale de la Recherche (ANR)); CNES(Centre National D'etudes Spatiales); IPEV; CSA; Fondation Total; ArcticNet; French Arctic Initiative (GreenEdge project); European Union's Horizon 2020 Research and Innovation Program(Horizon 2020); European Space Agency(European Space Agency); Wallenberg Academy Fellowship; NAOS; Canadian Foundation for Innovation(Canada Foundation for Innovation); LEFE; European Commission(European Union (EU)European Commission Joint Research Centre); U.S. National Science Foundation(National Science Foundation (NSF)); ONR(Office of Naval Research); NSF(National Science Foundation (NSF)); NOAA ESRL Physical Sciences Division(National Oceanic Atmospheric Admin (NOAA) - USA); CMEMS; WMO trust fund; AWI; NRL Research Option  Determining the Impact of Sea Ice Thickness on the Arctic's Naturally Changing Environment (DISTANCE), ONR 6.2 Data Assimilation; CNES(Centre National D'etudes Spatiales); ESA(European Space Agency)</t>
  </si>
  <si>
    <t>The development of the new generation of floats (PRO-ICE) to be operated under ice was funded by the French project NAOS. Twelve PRO-ICE were funded by NAOS and nine by the Canadian Foundation for Innovation (FCI-30124). The GreenEdge project is funded by the following French and Canadian programs and agencies: ANR (Contract #111112), CNES (project #131425), IPEV (project #1164), CSA, Fondation Total, ArcticNet, LEFE and the French Arctic Initiative (GreenEdge project). The INTAROS project has received funding from the European Union's Horizon 2020 Research and Innovation Program under grant agreement No. 727890. The setup of the ArcMBA system and the experiment described in section Quantitative Network Design were funded by the European Space Agency through its support to science element (contract #4000117710/16/I-NB). SSw was supported by a Wallenberg Academy Fellowship (WAF 2015.0186). The work at CLS (GL, PPr, and PT) has been funded by internal investment, in relation with on-going CNES and ESA funded studies making use of radar data over Polar regions. EMODNET (BK) is funded by the European Commission. NRL Funding (for RA, JC, DH, EM, PPo, OS) provided by NRL Research Option  Determining the Impact of Sea Ice Thickness on the Arctic's Naturally Changing Environment (DISTANCE), ONR 6.2 Data Assimilation and under program element 0602435N (JC, RA, DH). JT's Arctic research activities are supported by the U.S. National Science Foundation and ONR. SG was funded by NSF grants/awards PLR-1425989 and OCE 1658001. IR is funded by contributors to the US IABP (including CG, DOE, NASA, NIC, NOAA, NSF, ONR). CAFS is supported by the NOAA ESRL Physical Sciences Division (AS and JI). LB and JX are funded by CMEMS. The WWRP PPP Steering Group is funded by a WMO trust fund with support from AWI for the ICO. The publication fee is provided by ECCC.</t>
  </si>
  <si>
    <t>10.3389/fmars.2019.00429</t>
  </si>
  <si>
    <t>IN5RO</t>
  </si>
  <si>
    <t>Green Submitted, Green Published, gold, Green Accepted</t>
  </si>
  <si>
    <t>WOS:000478734500001</t>
  </si>
  <si>
    <t>Malherbe, C; Hutchinson, IB; McHugh, M; Lerman, H; Harris, LV; Ingley, R; Edwards, HMG; Parnell, J; Eppe, G</t>
  </si>
  <si>
    <t>Malherbe, C.; Hutchinson, I. B.; McHugh, M.; Lerman, H.; Harris, L. V.; Ingley, R.; Edwards, H. M. G.; Parnell, J.; Eppe, G.</t>
  </si>
  <si>
    <t>Minerals and microstructure identification using Raman instruments: Evaluation of field and laboratory data in preparation for space mission</t>
  </si>
  <si>
    <t>JOURNAL OF RAMAN SPECTROSCOPY</t>
  </si>
  <si>
    <t>ExoMars; habitability; Raman spectroscopy</t>
  </si>
  <si>
    <t>SPECTROSCOPIC DETECTION; ANTARCTIC HABITATS; SPECTROMETER; CAROTENOIDS; BIOMARKERS; SIGNATURES; SPECTRA; DESERT</t>
  </si>
  <si>
    <t>Two rovers will be launched in 2020 for robotic exploration missions on Mars: the ESA/Roscosmos ExoMars and the NASA Mars 2020 missions. Both missions will include Raman instruments to characterize the habitable of Mars and to search for molecular evidence of past and present life. In preparation for these missions and to characterize the scientific information that will eventually return from Mars, terrestrial analogue samples of rock formations on Mars are studied in detail. During this study, we compared Raman spectra obtained from different samples of geological matrixes, including specimens of silicate, sulfate, carbonates, and sulfurs, with two Raman instruments. Raman data were obtained in the field with a portable instrument operating with a 785-nm laser. Based on fast data analyses in the field, a selection of samples were collected and were further analyzed using a benchtop confocal instrument operated in the laboratory and with two excitation lasers at 532 and 785 nm. We illustrate the possible interference from sharp fluorescence associated with rare earth element present in trace amount in minerals. In addition, carbonaceous compounds and beta-carotene, a highly Raman-active biomarker, were also detected by Raman spectroscopy in association with specific minerals. In the context of planetary exploration, we discuss the capacity for specific mineral matrixes to sustain life under extreme conditions. We also discuss that Raman imaging, although not ready yet for space application with miniaturized spectroscopy, could significantly help in discussing the possible biotic origin of carbonaceous residues, especially by the association of molecular signatures with the localized microstructure.</t>
  </si>
  <si>
    <t>[Malherbe, C.; Eppe, G.] Univ Liege, Mass Spectrometry Lab, MolSys Res Unit, Dept Chem, Liege, Belgium; [Malherbe, C.; Hutchinson, I. B.; McHugh, M.; Lerman, H.; Harris, L. V.; Ingley, R.; Edwards, H. M. G.] Univ Leicester, Dept Phys &amp; Astron, Leicester, Leics, England; [Malherbe, C.] Univ Liege, Dept Geol, Early Life Traces &amp; Evolut Lab, UR Astrobiol, Liege, Belgium; [Parnell, J.] Univ Aberdeen, Sch Geosci, Aberdeen, Scotland</t>
  </si>
  <si>
    <t>University of Liege; University of Leicester; University of Liege; University of Aberdeen</t>
  </si>
  <si>
    <t>Malherbe, C (corresponding author), Univ Liege, Mass Spectrometry Lab, MolSys Res Unit, Dept Chem, Liege, Belgium.</t>
  </si>
  <si>
    <t>c.malherbe@uliege.be</t>
  </si>
  <si>
    <t>Lerman, Hannah/0000-0002-4753-5913; MALHERBE, Cedric/0000-0001-5146-6706</t>
  </si>
  <si>
    <t>MolSys Research Unit; F.R.S.-FNRS Council; UK Space Agency</t>
  </si>
  <si>
    <t>MolSys Research Unit; F.R.S.-FNRS Council(Fonds de la Recherche Scientifique - FNRS); UK Space Agency</t>
  </si>
  <si>
    <t>0377-0486</t>
  </si>
  <si>
    <t>1097-4555</t>
  </si>
  <si>
    <t>J RAMAN SPECTROSC</t>
  </si>
  <si>
    <t>J. Raman Spectrosc.</t>
  </si>
  <si>
    <t>10.1002/jrs.5685</t>
  </si>
  <si>
    <t>Spectroscopy</t>
  </si>
  <si>
    <t>NP7UC</t>
  </si>
  <si>
    <t>WOS:000479979100001</t>
  </si>
  <si>
    <t>Cui, XB; Liu, JX; Tian, YX; Sun, B; Li, RX; Markov, A; Lv, D; Hai, G; Qiao, G; Feng, TT</t>
  </si>
  <si>
    <t>Cui, Xiangbin; Liu, Jiaxin; Tian, Yixiang; Sun, Bo; Li, Rongxing; Markov, Alexey; Lv, Da; Hai, Gang; Qiao, Gang; Feng, Tiantian</t>
  </si>
  <si>
    <t>GIS-Supported Airfield Selection near Zhongshan Station, East Antarctica, based on Multi-Mission Remote Sensing Data</t>
  </si>
  <si>
    <t>MARINE GEODESY</t>
  </si>
  <si>
    <t>Airfield; blue ice; remote sensing; site selection</t>
  </si>
  <si>
    <t>BLUE-ICE AREAS; ETM PLUS; LAND; SNOW</t>
  </si>
  <si>
    <t>As Antarctica attracts increasing attention in global climate change studies, the demand for field expeditions has increased in recent decades. Aircraft has become the most efficient mode of transportation because of the advantages of short travel times over long distances, access to unreachable locations and capability to carry different types of sensors to obtain large areal coverages. However, few studies have been published regarding Antarctic airfield site selection for heavy-wheeled aircraft. In this paper, we present methods and results of blue-ice airfield preliminary selection near Zhongshan station, East Antarctica. The geographic information system (GIS)-based method is supported by multi-mission high-resolution images from the ZY-3, WorldView-2 and Landsat-8 satellites along with existing remote sensing products. Ground truth observations were integrated with satellite panchromatic and spectral information to identify runway candidate areas. The information inferred by remote sensing data, including firn type, ice movement, surface slope and ice fracture, is used for evaluation of the airfield selection rules. Finally, the rankings and recommendations of runway candidates were performed in a GIS analysis environment. The site selection approach developed in this paper can be applied in preconstruction studies of other similar cryosphere environments to provide appropriate candidates for a final stage field investigation.</t>
  </si>
  <si>
    <t>[Cui, Xiangbin; Sun, Bo] Polar Res Inst China, Shanghai, Peoples R China; [Liu, Jiaxin; Tian, Yixiang; Li, Rongxing; Lv, Da; Hai, Gang; Qiao, Gang; Feng, Tiantian] Tongji Univ, Ctr Spatial Informat Sci &amp; Sustainable Dev Applic, Shanghai, Peoples R China; [Liu, Jiaxin; Tian, Yixiang; Li, Rongxing; Lv, Da; Hai, Gang; Qiao, Gang; Feng, Tiantian] Tongji Univ, Coll Surveying &amp; Geoinformat, Shanghai, Peoples R China; [Markov, Alexey] Jilin Univ, Polar Res Ctr, Coll Construct Engn, Changchun, Jilin, Peoples R China</t>
  </si>
  <si>
    <t>Polar Research Institute of China; Tongji University; Tongji University; Jilin University</t>
  </si>
  <si>
    <t>Tian, YX; Li, RX (corresponding author), Tongji Univ, Ctr Spatial Informat Sci &amp; Sustainable Dev Applic, Shanghai, Peoples R China.</t>
  </si>
  <si>
    <t>tianyixiang@tongji.edu.cn; rli@tongji.edu.cn</t>
  </si>
  <si>
    <t>Qiao, Gang/AAU-5717-2020; sun, bo/JFA-9978-2023; Markov, Alexey/E-1695-2014</t>
  </si>
  <si>
    <t>Qiao, Gang/0000-0002-2010-6238</t>
  </si>
  <si>
    <t>National Key Research and Development Program of China [2017YFA0603102]; National Science Foundation of China [41730102, 41776186]; Fundamental Research Funds for the Central Universities [22120170152]; Beijing Normal University in China</t>
  </si>
  <si>
    <t>National Key Research and Development Program of China; National Science Foundation of China(National Natural Science Foundation of China (NSFC)); Fundamental Research Funds for the Central Universities(Fundamental Research Funds for the Central Universities); Beijing Normal University in China</t>
  </si>
  <si>
    <t>We would like to acknowledge both reviewers for their constructive and helpful comments and suggestions for improving the quality of our manuscript. This research was supported by the National Key Research and Development Program of China (2017YFA0603102), the National Science Foundation of China (41730102, 41776186), and the Fundamental Research Funds for the Central Universities (22120170152). Data from the National Ice Data Center (NSIDC) in USA and Beijing Normal University in China are greatly appreciated.</t>
  </si>
  <si>
    <t>0149-0419</t>
  </si>
  <si>
    <t>1521-060X</t>
  </si>
  <si>
    <t>MAR GEOD</t>
  </si>
  <si>
    <t>Mar. Geod.</t>
  </si>
  <si>
    <t>10.1080/01490419.2019.1645770</t>
  </si>
  <si>
    <t>Geochemistry &amp; Geophysics; Oceanography; Remote Sensing</t>
  </si>
  <si>
    <t>IS5QD</t>
  </si>
  <si>
    <t>WOS:000480163900001</t>
  </si>
  <si>
    <t>Spicer, JI; Morley, SA; Bozinovic, F</t>
  </si>
  <si>
    <t>Spicer, John I.; Morley, Simon A.; Bozinovic, Francisco</t>
  </si>
  <si>
    <t>Physiological diversity, biodiversity patterns and global climate change: testing key hypotheses involving temperature and oxygen Introduction</t>
  </si>
  <si>
    <t>PHILOSOPHICAL TRANSACTIONS OF THE ROYAL SOCIETY B-BIOLOGICAL SCIENCES</t>
  </si>
  <si>
    <t>Editorial Material</t>
  </si>
  <si>
    <t>macrophysiology; biodiversity gradients; ecological physiology; conservation physiology</t>
  </si>
  <si>
    <t>THERMAL TOLERANCE; POLAR GIGANTISM; PERFORMANCE; ECOLOGY; MACROPHYSIOLOGY; ADAPTATION; MECHANISM; SIZE</t>
  </si>
  <si>
    <t>Documenting and explaining global patterns of biodiversity in time and space have fascinated and occupied biologists for centuries. Investigation of the importance of these patterns, and their underpinning mechanisms, has gained renewed vigour and importance, perhaps becoming pre-eminent, as we attempt to predict the biological impacts of global climate change. Understanding the physiological features that determine, or constrain, a species' geographical range and how they respond to a rapidly changing environment is critical. While the ecological patterns are crystallizing, explaining the role of physiology has just begun. The papers in this volume are the primary output from a Satellite Meeting of the Society of Experimental Biology Annual Meeting, held in Florence in July 2018. The involvement of two key environmental factors, temperature and oxygen, was explored through the testing of key hypotheses. The aim of the meeting was to improve our knowledge of large-scale geographical differences in physiology, e.g. metabolism, growth, size and subsequently our understanding of the role and vulnerability of those physiologies to global climate warming. While such an aim is of heuristic interest, in the midst of our current biodiversity crisis, it has an urgency that is difficult to overstate. This article is part of the theme issue 'Physiological diversity, biodiversity patterns and global climate change: testing key hypotheses involving temperature and oxygen'.</t>
  </si>
  <si>
    <t>[Spicer, John I.] Univ Plymouth, Sch Biol &amp; Marine Sci, Marine Biol &amp; Ecol Res Ctr, Plymouth PL4 8AA, Devon, England; [Morley, Simon A.] British Antarctic Survey, Nat Environm Res Council, Madingley Rd, Cambridge CB3 0ET, England; [Bozinovic, Francisco] Pontificia Univ Catolica Chile, Dept Ecol, Ctr Appl Ecol &amp; Sustainabil, Fac Ciencias Biol, Santiago 6513677, Chile</t>
  </si>
  <si>
    <t>University of Plymouth; UK Research &amp; Innovation (UKRI); Natural Environment Research Council (NERC); NERC British Antarctic Survey; Pontificia Universidad Catolica de Chile</t>
  </si>
  <si>
    <t>Spicer, JI (corresponding author), Univ Plymouth, Sch Biol &amp; Marine Sci, Marine Biol &amp; Ecol Res Ctr, Plymouth PL4 8AA, Devon, England.</t>
  </si>
  <si>
    <t>j.i.spicer@plymouth.ac.uk</t>
  </si>
  <si>
    <t>Spicer, John/0000-0002-6861-4039</t>
  </si>
  <si>
    <t>[CONICYT PIA/BASAL FB 0002]; [FONDECYT 1170017]; NERC [bas0100036] Funding Source: UKRI</t>
  </si>
  <si>
    <t>; ; NERC(UK Research &amp; Innovation (UKRI)Natural Environment Research Council (NERC))</t>
  </si>
  <si>
    <t>F.B. acknowledges support from grant nos. CONICYT PIA/BASAL FB 0002 and FONDECYT 1170017.</t>
  </si>
  <si>
    <t>ROYAL SOC</t>
  </si>
  <si>
    <t>6-9 CARLTON HOUSE TERRACE, LONDON SW1Y 5AG, ENGLAND</t>
  </si>
  <si>
    <t>0962-8436</t>
  </si>
  <si>
    <t>1471-2970</t>
  </si>
  <si>
    <t>PHILOS T R SOC B</t>
  </si>
  <si>
    <t>Philos. Trans. R. Soc. B-Biol. Sci.</t>
  </si>
  <si>
    <t>AUG 5</t>
  </si>
  <si>
    <t>10.1098/rstb.2019.0032</t>
  </si>
  <si>
    <t>IF8GZ</t>
  </si>
  <si>
    <t>Green Published, Bronze, Green Submitted</t>
  </si>
  <si>
    <t>WOS:000473329200009</t>
  </si>
  <si>
    <t>Zhang, F; Cao, SA; Gao, Y; He, JF</t>
  </si>
  <si>
    <t>Zhang, Fang; Cao, Shunan; Gao, Yuan; He, Jianfeng</t>
  </si>
  <si>
    <t>Distribution and environmental correlations of picoeukaryotes in an Arctic fjord (Kongsfjorden, Svalbard) during the summer</t>
  </si>
  <si>
    <t>POLAR RESEARCH</t>
  </si>
  <si>
    <t>Chlorophytes; hydrography; water masses; nutrients</t>
  </si>
  <si>
    <t>ATLANTIC WATER INFLOW; WEST SPITSBERGEN; MARINE; KROSSFJORDEN; ASSEMBLAGES; PHYLOGENY; ECOSYSTEM; SYSTEM; OCEAN</t>
  </si>
  <si>
    <t>Picoeukaryotes are numerous in the summer in the High-Arctic fjord Kongsfjorden, in western Spitsbergen, Svalbard. However, little research has been conducted on the community structure and diversity of picoeukaryotes. We conducted a detailed investigation of the distribution and environmental correlations of picoeukaryotes in Kongsfjorden in July 2012, using 454-pyrosequencing of 18S rDNA and redundant analysis. Eight classes were classified with proportions larger than 1%. These were Mamiellophyceae, Chrysophyceae, Spirotrichea, Telonemea, Cryptophyceae, Bolidophyceae, Picomonadea and Dictyochophyceae. Five genera were classified, with Micromonas (55.6%) and Bathycoccus (7.8%) as the dominant genera. The diversity and composition of the picoeukaryote community were very distinct in different water masses sampled in the water column (i.e., vertically), but were not distinct from station to station (i.e., horizontally). Biodiversity was greater in the Atlantic waters than in glacial waters. Mamiellophyceae, Bolidophyceae, Picomonadea and Dictyochophyceae had significantly different distributions (p &lt; 0.01) in the three water masses (surface water, intermediate water and transformed Atlantic Water). Nitrogen, salinity and temperature were the first three primary environmental factors shaping the community structure of picoeukaryotes.</t>
  </si>
  <si>
    <t>[Zhang, Fang; Cao, Shunan; Gao, Yuan; He, Jianfeng] Polar Res Inst China, State Ocean Adm, Key Lab Polar Sci, Shanghai, Peoples R China; [Gao, Yuan] Xiamen Univ, Coll Ocean &amp; Earth Sci, Xiamen, Fujian, Peoples R China</t>
  </si>
  <si>
    <t>Polar Research Institute of China; Xiamen University</t>
  </si>
  <si>
    <t>Zhang, F (corresponding author), Polar Res Inst China, SOA Key Lab Polar Sci, Shanghai 200136, Peoples R China.</t>
  </si>
  <si>
    <t>zhangfang@pric.org.cn</t>
  </si>
  <si>
    <t>GAO, YUAN/HMP-5961-2023; Gao, Yuanhao/KFS-3943-2024; Gao, yuan/HLH-1794-2023</t>
  </si>
  <si>
    <t>National Natural Science Foundation of Shanghai [16ZR1439800]; Natural Science Foundation of China [41206189]; Chinese Projects for Investigations and Assessments of the Arctic and Antarctic</t>
  </si>
  <si>
    <t>National Natural Science Foundation of Shanghai; Natural Science Foundation of China(National Natural Science Foundation of China (NSFC)); Chinese Projects for Investigations and Assessments of the Arctic and Antarctic</t>
  </si>
  <si>
    <t>This work was supported by the National Natural Science Foundation of Shanghai (16ZR1439800), the Natural Science Foundation of China (41206189) and the Chinese Projects for Investigations and Assessments of the Arctic and Antarctic (CHINARE2011-20).</t>
  </si>
  <si>
    <t>OPEN ACADEMIA AB</t>
  </si>
  <si>
    <t>SPANGA</t>
  </si>
  <si>
    <t>STORMBYVAGEN 6, SPANGA, SE-163 55, SWEDEN</t>
  </si>
  <si>
    <t>0800-0395</t>
  </si>
  <si>
    <t>1751-8369</t>
  </si>
  <si>
    <t>POLAR RES</t>
  </si>
  <si>
    <t>Polar Res.</t>
  </si>
  <si>
    <t>10.33265/polar.v38.3390</t>
  </si>
  <si>
    <t>Ecology; Geosciences, Multidisciplinary; Oceanography</t>
  </si>
  <si>
    <t>Environmental Sciences &amp; Ecology; Geology; Oceanography</t>
  </si>
  <si>
    <t>IS1HP</t>
  </si>
  <si>
    <t>WOS:000481904100001</t>
  </si>
  <si>
    <t>Spicer, JI; Morley, SA</t>
  </si>
  <si>
    <t>Spicer, John I.; Morley, Simon A.</t>
  </si>
  <si>
    <t>Will giant polar amphipods be first to fare badly in an oxygen-poor ocean? Testing hypotheses linking oxygen to body size</t>
  </si>
  <si>
    <t>oxygen limitation hypothesis; Symmorphosis; respiratory advantage hypothesis; oxyregulation; gigantism; global climate change</t>
  </si>
  <si>
    <t>THERMAL LIMITS; CLIMATE-CHANGE; GIGANTISM; CRUSTACEA; TEMPERATURE; PHYSIOLOGY; HISTORY; GUT</t>
  </si>
  <si>
    <t>It has been suggested that giant Antarctic marine invertebrates will be particularly vulnerable to declining O-2 levels as our ocean warms in line with current climate change predictions. Our study provides some support for this oxygen limitation hypothesis, with larger body sizes being generally more sensitive to O-2 reductions than smaller body sizes. However, it also suggests that the overall picture is a little more complex. We tested predictions from three different, but overlapping, O-2-related hypotheses accounting for gigantism, using four Antarctic amphipod species encompassing a wide range of body sizes. We found a significant effect of body size, but also of species, in their respiratory responses to acutely declining O-2 tensions. The more active lifestyle of intermediate-sized Prostebbingia brevicornis was supported by a better respiratory performance than predicted by the oxygen limitation hypothesis alone, but consistent with the symmorphosis hypothesis. We suggest that giant polar amphipods are likely to be some of the first to fare badly in an O-2-poor ocean. However, the products of past evolutionary innovation, such as respiratory pigments that enhance O-2-transport and novel gas exchange structures, may in some species offset any respiratory disadvantages of either large or small body size. This article is part of the theme issue 'Physiological diversity, biodiversity patterns and global climate change: testing key hypotheses involving temperature and oxygen'.</t>
  </si>
  <si>
    <t>[Spicer, John I.] Univ Plymouth, Sch Biol &amp; Marine Sci, Marine Biol &amp; Ecol Res Ctr, Plymouth PL4 8AA, Devon, England; [Morley, Simon A.] British Antarctic Survey, Nat Environm Res Council, Madingley Rd, Cambridge CB3 0ET, England</t>
  </si>
  <si>
    <t>University of Plymouth; UK Research &amp; Innovation (UKRI); Natural Environment Research Council (NERC); NERC British Antarctic Survey</t>
  </si>
  <si>
    <t>NERC CASS award [124]; NERC core funding; NERC [bas0100036, dml011000] Funding Source: UKRI</t>
  </si>
  <si>
    <t>NERC CASS award; NERC core funding; NERC(UK Research &amp; Innovation (UKRI)Natural Environment Research Council (NERC))</t>
  </si>
  <si>
    <t>J.I.S. was supported by an NERC CASS award (no. 124) and S.A.M. was supported by NERC core funding to the British Antarctic Survey's 'Biodiversity, Adaptation and Evolution' Team.</t>
  </si>
  <si>
    <t>10.1098/rstb.2019.0034</t>
  </si>
  <si>
    <t>Green Submitted, Green Published, Bronze</t>
  </si>
  <si>
    <t>WOS:000473329200010</t>
  </si>
  <si>
    <t>Pulliainen, J; Cheng, B; Qiu, YB</t>
  </si>
  <si>
    <t>Pulliainen, Jouni; Cheng, Bin; Qiu, Yubao</t>
  </si>
  <si>
    <t>Sustainable earth observations for the Arctic, the Antarctic and the high-altitude mountain cold regions</t>
  </si>
  <si>
    <t>INTERNATIONAL JOURNAL OF DIGITAL EARTH</t>
  </si>
  <si>
    <t>[Pulliainen, Jouni] Finnish Meteorol Inst, Arctic Res Ctr, Helsinki, Finland; [Cheng, Bin] Finnish Meteorol Inst, Helsinki, Finland; [Qiu, Yubao] Chinese Acad Sci, Inst Remote Sensing &amp; Digital Earth, Beijing, Peoples R China</t>
  </si>
  <si>
    <t>Finnish Meteorological Institute; Finnish Meteorological Institute; Chinese Academy of Sciences; The Institute of Remote Sensing &amp; Digital Earth, CAS</t>
  </si>
  <si>
    <t>Qiu, YB (corresponding author), Chinese Acad Sci, Inst Remote Sensing &amp; Digital Earth, Beijing, Peoples R China.</t>
  </si>
  <si>
    <t>qiuyb@radi.ac.cn</t>
  </si>
  <si>
    <t>Pulliainen, Jouni/Y-4810-2019; Qiu, Yubao/P-8103-2016</t>
  </si>
  <si>
    <t>Pulliainen, Jouni/0000-0003-1157-2920; Qiu, Yubao/0000-0003-1313-6313</t>
  </si>
  <si>
    <t>1753-8947</t>
  </si>
  <si>
    <t>1753-8955</t>
  </si>
  <si>
    <t>INT J DIGIT EARTH</t>
  </si>
  <si>
    <t>Int. J. Digit. Earth</t>
  </si>
  <si>
    <t>AUG 3</t>
  </si>
  <si>
    <t>10.1080/17538947.2019.1633737</t>
  </si>
  <si>
    <t>Geography, Physical; Remote Sensing</t>
  </si>
  <si>
    <t>Physical Geography; Remote Sensing</t>
  </si>
  <si>
    <t>IK4QS</t>
  </si>
  <si>
    <t>WOS:000476572000001</t>
  </si>
  <si>
    <t>Yu, LJ; Yang, QH; Zhou, MY; Lenschow, DH; Wang, XQ; Zhao, JC; Sun, QZ; Tian, ZX; Shen, H; Zhang, L</t>
  </si>
  <si>
    <t>Yu, Lejiang; Yang, Qinghua; Zhou, Mingyu; Lenschow, Donald H.; Wang, Xianqiao; Zhao, Jiechen; Sun, Qizhen; Tian, Zhongxiang; Shen, Hui; Zhang, Lin</t>
  </si>
  <si>
    <t>The variability of surface radiation fluxes over landfast sea ice near Zhongshan station, east Antarctica during austral spring</t>
  </si>
  <si>
    <t>Surface radiation flux; Antarctic; sea ice; diurnal cycle; synoptic and intraseasonal variability; el nino southern oscillation (ENSO)</t>
  </si>
  <si>
    <t>ENERGY BALANCE; ALBEDO MEASUREMENTS; SOUTHERN-OCEAN; PRYDZ BAY; CLIMATE; BUDGET; THICKNESS; LARSEN</t>
  </si>
  <si>
    <t>Surface radiative fluxes over landfast sea ice off Zhongshan station have been measured in austral spring for five springs between 2010 and 2015. Downward and upward solar radiation vary diurnally with maximum amplitudes of 473 and 290 W m(-2), respectively. The maximum and minimum long-wave radiation values of the mean diurnal cycle are 218 and 210 W m(-2) for downward radiation, 277 and 259 W m(-2) for upward radiation and 125 and -52 W m(-2) for net radiation. The albedo has a U-shaped mean diurnal cycle with a minimum of 0.64 at noon. Sea ice thickness is in the growth phase for most spring days, but can be disturbed by synoptic processes. The surface temperature largely determines the occurrence of ice melting. Surface downward and upward long-wave radiation show synoptic oscillations with a 5-8 day period and intraseasonal variability with a 12-45 day period. The amplitudes of the diurnal, synoptic and intraseasonal variability show some differences during the five austral springs considered here. The intraseasonal and synoptic variability of downward and upward long-wave radiation are associated with the variability of cloud cover and surface temperature induced by the atmospheric circulation.</t>
  </si>
  <si>
    <t>[Yu, Lejiang; Zhou, Mingyu] Polar Res Inst China, State Ocean Adm, Key Lab Polar Sci, Shanghai, Peoples R China; [Yang, Qinghua; Zhou, Mingyu; Wang, Xianqiao; Zhao, Jiechen; Sun, Qizhen; Tian, Zhongxiang; Shen, Hui; Zhang, Lin] Natl Marine Environm Forecasting Ctr, Key Lab Res Marine Hazards Forecasting, Beijing, Peoples R China; [Lenschow, Donald H.] Natl Ctr Atmospher Res, POB 3000, Boulder, CO 80307 USA</t>
  </si>
  <si>
    <t>Polar Research Institute of China; National Marine Environmental Forecasting Center; National Center Atmospheric Research (NCAR) - USA</t>
  </si>
  <si>
    <t>Yang, QH (corresponding author), Natl Marine Environm Forecasting Ctr, Key Lab Res Marine Hazards Forecasting, Beijing, Peoples R China.</t>
  </si>
  <si>
    <t>yqh@nmefc.gov.cn</t>
  </si>
  <si>
    <t>Wang, Xianqiao/E-5252-2010; Li, Zexi/KFA-6939-2024; zhang, lin/Z-5221-2019; Zhao, Jiechen/KHV-9905-2024</t>
  </si>
  <si>
    <t>Yang, Qinghua/0000-0002-7114-2036; Yu, Lejiang/0000-0003-0535-1937</t>
  </si>
  <si>
    <t>National Natural Science Foundation of China [41376005, 41606222]; Chinese Polar Environmental Comprehensive Investigation and Assessment Program [CHI-NARE2017-04-04]; U.S. National Science Foundation</t>
  </si>
  <si>
    <t>National Natural Science Foundation of China(National Natural Science Foundation of China (NSFC)); Chinese Polar Environmental Comprehensive Investigation and Assessment Program; U.S. National Science Foundation(National Science Foundation (NSF))</t>
  </si>
  <si>
    <t>This study was supported by the National Natural Science Foundation of China [nos. 41376005, 41606222], the Chinese Polar Environmental Comprehensive Investigation and Assessment Program under contract [no. CHI-NARE2017-04-04]. The National Center for Atmospheric Research is sponsored by the U.S. National Science Foundation.</t>
  </si>
  <si>
    <t>10.1080/17538947.2017.1304458</t>
  </si>
  <si>
    <t>WOS:000476572000002</t>
  </si>
  <si>
    <t>Ouyang, L; Hui, FM; Zhu, LX; Cheng, X; Cheng, B; Shokr, M; Zhao, JC; Ding, MH; Zeng, T</t>
  </si>
  <si>
    <t>Ouyang, Lunxi; Hui, Fengming; Zhu, Lixian; Cheng, Xiao; Cheng, Bin; Shokr, Mohammed; Zhao, Jiechen; Ding, Minghu; Zeng, Tao</t>
  </si>
  <si>
    <t>The spatiotemporal patterns of sea ice in the Bohai Sea during the winter seasons of 2000-2016</t>
  </si>
  <si>
    <t>Sea ice; the Bohai Sea; global warming; ice thickness; ice extent</t>
  </si>
  <si>
    <t>SURFACE-TEMPERATURE; THICKNESS; MODIS; RETRIEVAL; SATELLITE; ALGORITHM; SALINITY; PRODUCT</t>
  </si>
  <si>
    <t>In this study, sea ice thickness (SIT) and sea ice extent (SIE) in the Bohai Sea from 2000 to 2016 were investigated. A surface heat balance equation was applied to calculate SIT using ice surface temperatures estimated from the Moderate Resolution Imaging Spectroradiometer (MODIS) data with input from air temperature and wind speed from reanalyzing weather data. No trend was found in SIT during 2000-2016. The mean SIT and SIE during this period were 5.58 +/- 0.86 cm and 23x10(3)+/- 8x10(3) km(2), respectively. The largest SIT and SIE periods were observed during the second half of January and the first half of February, respectively. The Spearman correlation coefficient between mean ice thickness and average air temperature from 21 automatic weather stations around the Bohai Sea was -0.94 (P &lt; .005), and the coefficient between median ice extent and negative accumulated temperature was -0.503 (P &lt; .001). The rate of increase in air temperature around the Bohai Sea is 0.271 degrees C per decade in winter for 1979-2016 (P &lt; .05), which is much lower than that in northern polar area (0.648 degrees C per decade). This rate has not resulted in a decreasing trend in SIT and SIE for the past 16 years in the Bohai Sea.</t>
  </si>
  <si>
    <t>[Ouyang, Lunxi; Hui, Fengming; Zhu, Lixian; Cheng, Xiao] Beijing Normal Univ, State Key Lab Remote Sensing Sci, Beijing 100875, Peoples R China; [Ouyang, Lunxi; Hui, Fengming; Zhu, Lixian; Cheng, Xiao] Beijing Normal Univ, Coll Global Change &amp; Earth Syst Sci, Beijing 100875, Peoples R China; [Hui, Fengming; Cheng, Xiao] Beijing Normal Univ, Joint Ctr Global Change Studies, Beijing, Peoples R China; [Cheng, Bin] Finnish Meteorol Inst, Helsinki, Finland; [Shokr, Mohammed] Environm Canada, Sci &amp; Technol Branch, Toronto, ON, Canada; [Zhao, Jiechen] Natl Marine Environm Forecasting Ctr, Key Lab Res Marine Hazards Forecasting SOA, Beijing, Peoples R China; [Ding, Minghu] Chinese Acad Meteorol Sci, State Key Lab Severe Weather, Beijing, Peoples R China; [Zeng, Tao] State Ocean Adm, Natl Satellite Ocean Applicat Serv, Beijing, Peoples R China</t>
  </si>
  <si>
    <t>Beijing Normal University; Beijing Normal University; Beijing Normal University; Finnish Meteorological Institute; Environment &amp; Climate Change Canada; National Marine Environmental Forecasting Center; China Meteorological Administration; Chinese Academy of Meteorological Sciences (CAMS); National Satellite Ocean Application Service</t>
  </si>
  <si>
    <t>Hui, FM (corresponding author), Beijing Normal Univ, State Key Lab Remote Sensing Sci, Beijing 100875, Peoples R China.;Hui, FM (corresponding author), Beijing Normal Univ, Coll Global Change &amp; Earth Syst Sci, Beijing 100875, Peoples R China.</t>
  </si>
  <si>
    <t>huifm@bnu.edu.cn</t>
  </si>
  <si>
    <t>Zhao, Jiechen/KHV-9905-2024; Ding, Minghu/AFU-3600-2022</t>
  </si>
  <si>
    <t>Ding, Minghu/0000-0002-1142-6598</t>
  </si>
  <si>
    <t>National Natural Science Foundation of China [41676176, 41676182, 41428603]; Chinese Polar Environment Comprehensive Investigation and Assessment Program; Chinese Arctic and Antarctic Administration</t>
  </si>
  <si>
    <t>National Natural Science Foundation of China(National Natural Science Foundation of China (NSFC)); Chinese Polar Environment Comprehensive Investigation and Assessment Program; Chinese Arctic and Antarctic Administration</t>
  </si>
  <si>
    <t>This work was supported by the Chinese Arctic and Antarctic Administration, National Natural Science Foundation of China (Grant Nos. 41676176, 41676182 and 41428603), and Chinese Polar Environment Comprehensive Investigation and Assessment Program.</t>
  </si>
  <si>
    <t>10.1080/17538947.2017.1365957</t>
  </si>
  <si>
    <t>WOS:000476572000004</t>
  </si>
  <si>
    <t>Vorrath, ME; Müller, J; Esper, O; Mollenhauer, G; Haas, C; Schefuss, E; Fahl, K</t>
  </si>
  <si>
    <t>Vorrath, Maria-Elena; Mueller, Juliane; Esper, Oliver; Mollenhauer, Gesine; Haas, Christian; Schefuss, Enno; Fahl, Kirsten</t>
  </si>
  <si>
    <t>Highly branched isoprenoids for Southern Ocean sea ice reconstructions: a pilot study from the Western Antarctic Peninsula</t>
  </si>
  <si>
    <t>NORTHWESTERN WEDDELL SEA; DIATOM BIOMARKER IP25; SURFACE SEDIMENTS; BRANSFIELD STRAIT; HOLOCENE CLIMATE; HBI ALKENES; ABIOTIC DEGRADATION; GENUS RHIZOSOLENIA; ATLANTIC SECTOR; FRAM STRAIT</t>
  </si>
  <si>
    <t>Organic geochemical and micropaleontological analyses of surface sediments collected in the southern Drake Passage and the Bransfield Strait, Western Antarctic Peninsula, enable a proxy-based reconstruction of recent sea ice conditions in this climate-sensitive area. We study the distribution of the sea ice biomarker IPSO25, and biomarkers of open marine environments such as more unsaturated highly branched isoprenoid alkenes and phytosterols. Comparison of the sedimentary distribution of these biomarker lipids with sea ice data obtained from satellite observations and diatom-based sea ice estimates provide for an evaluation of the suitability of these biomarkers to reflect recent sea surface conditions. The distribution of IPSO25 supports earlier suggestions that the source diatom seems to be common in near-coastal environments characterized by annually recurring sea ice cover, while the distribution of the other biomarkers is highly variable. Offsets between sea ice estimates deduced from the abundance of biomarkers and satellite-based sea ice data are attributed to the different time intervals recorded within the sediments and the instrumental records from the study area, which experienced rapid environmental changes during the past 100 years. To distinguish areas characterized by permanently ice-free conditions, seasonal sea ice cover and extended sea ice cover, we apply the concept of the PIP25 index from the Arctic Ocean to our data and introduce the term PIPSO25 as a potential sea ice proxy. While the trends in PIPSO25 are generally consistent with satellite sea ice data and winter sea ice concentrations in the study area estimated by diatom transfer functions, more studies on the environmental significance of IPSO25 as a Southern Ocean sea ice proxy are needed before this biomarker can be applied for semi-quantitative sea ice reconstructions.</t>
  </si>
  <si>
    <t>[Vorrath, Maria-Elena; Mueller, Juliane; Esper, Oliver; Mollenhauer, Gesine; Haas, Christian; Fahl, Kirsten] Helmholtz Ctr Polar &amp; Marine Res, Alfred Wegener Inst, Bremerhaven, Germany; [Mueller, Juliane; Mollenhauer, Gesine; Schefuss, Enno] Univ Bremen, MARUM Ctr Marine Environm Sci, Bremen, Germany; [Mueller, Juliane] Univ Bremen, Dept Geosci, Bremen, Germany</t>
  </si>
  <si>
    <t>Helmholtz Association; Alfred Wegener Institute, Helmholtz Centre for Polar &amp; Marine Research; University of Bremen; University of Bremen</t>
  </si>
  <si>
    <t>Vorrath, ME (corresponding author), Helmholtz Ctr Polar &amp; Marine Res, Alfred Wegener Inst, Bremerhaven, Germany.</t>
  </si>
  <si>
    <t>maria-elena.vorrath@awi.de</t>
  </si>
  <si>
    <t>Vorrath, Maria-Elena/AAS-4675-2020; Schefuß, Enno/A-7101-2015; Mollenhauer, Gesine/AAD-8167-2019; Haas, Christian/L-5279-2016; Muller, Juliane/L-1875-2013</t>
  </si>
  <si>
    <t>Vorrath, Maria-Elena/0000-0001-7208-1186; Schefuß, Enno/0000-0002-5960-930X; Mollenhauer, Gesine/0000-0001-5138-564X; Haas, Christian/0000-0002-7674-3500; Fahl, Dr., Kirsten/0000-0001-9317-4656; Muller, Juliane/0000-0003-0724-4131</t>
  </si>
  <si>
    <t>[VH-NG-1101]</t>
  </si>
  <si>
    <t>We thank the captain, crew and chief scientist Frank Lamy of RV Polarstern cruise PS97, and the following supporters: Mandy Kiel and Denise Diekstall (technicians), Lester Lembke-Jene (biology, dating), Liz Bonk and Hendrik Grotheer (from MICADAS), Max Mues (sample preparation), Nicoletta Ruggieri (lab support), and Walter Luttmer (lab support). Simon Belt is acknowledged for providing the 7-HND internal standard for HBI quantification. We also acknowledge the two anonymous reviewers and the editor for their constructive and detailed comments. Financial support was provided through the Helmholtz Research grant VH-NG-1101.</t>
  </si>
  <si>
    <t>AUG 2</t>
  </si>
  <si>
    <t>10.5194/bg-16-2961-2019</t>
  </si>
  <si>
    <t>IN4AT</t>
  </si>
  <si>
    <t>WOS:000478618200001</t>
  </si>
  <si>
    <t>Rosa, R; Pissarra, V; Borges, FO; Xavier, J; Gleadall, IG; Golikov, A; Bello, G; Morais, L; Lishchenkos, F; Roura, A; Judkins, H; Ibáñez, CM; Piatkowski, U; Vecchione, M; Villanueva, R</t>
  </si>
  <si>
    <t>Rosa, Rui; Pissarra, Vasco; Borges, Francisco O.; Xavier, Jose; Gleadall, Ian G.; Golikov, Alexey; Bello, Giambattista; Morais, Liliane; Lishchenkos, Fedor; Roura, Alvaro; Judkins, Heather; Ibanez, Christian M.; Piatkowski, Uwe; Vecchione, Michael; Villanueva, Roger</t>
  </si>
  <si>
    <t>Global Patterns of Species Richness in Coastal Cephalopods</t>
  </si>
  <si>
    <t>biogeography; mollusk; cephalopod; cuttlefish; squid; octopus; species richness</t>
  </si>
  <si>
    <t>SOUTHERN-OCEAN; BIODIVERSITY HOTSPOTS; REEF FISHES; HISTORICAL BIOGEOGRAPHY; COMPLEX CEPHALOPODA; CLIMATE-CHANGE; DIVERSITY; ZOOGEOGRAPHY; OCTOPODIDAE; PREDICTORS</t>
  </si>
  <si>
    <t>Within the context of global climate change and overfishing of fish stocks, there is some evidence that cephalopod populations are benefiting from this changing setting. These invertebrates show enhanced phenotypic flexibility and are found from polar regions to the tropics. Yet, the global patterns of species richness in coastal cephalopods are not known. Here, among the 370 identified-species, 164 are octopuses, 96 are cuttlefishes, 54 are bobtails and bottletails, 48 are inshore squids and 8 are pygmy squids. The most diverse ocean is the Pacific (with 213 cephalopod species), followed by the Indian (146 species) and Atlantic (95 species). The least diverse are the Southern (15 species) and the Arctic (12 species) Oceans. Endemism is higher in the Southern Ocean (87%) and lower in the Arctic (25%), which reflects the younger age and the Atlantification of the latter. The former is associated with an old lineage of octopuses that diverged around 33 Mya. Within the 232 ecoregions considered, the highest values of octopus and cuttlefish richness are observed in the Central Kuroshio Current ecoregion (with a total of 64 species), followed by the East China Sea (59 species). This pattern suggests dispersal in the Central Indo-Pacific (CIP) associated with the highly productive Oyashio/Kuroshio current system. In contrast, inshore squid hotspots are found within the CIP, namely in the Sunda Shelf Province, which may be linked to the occurrence of an ancient intermittent biogeographic barrier: a land bridge formed during the Pleistocene which severely restricted water flow between the Pacific and Indian Oceans, thereby facilitating squid fauna differentiation. Another marked pattern is a longitudinal richness cline from the Central (CIP) toward the Eastern Indo-Pacific (EIP) realm, with central Pacific archipelagos as evolutionary dead ends. In the Atlantic Ocean, closure of the Atrato Seaway (at the Isthmus of Panama) and Straits of Gibraltar (Mediterranean Sea) are historical processes that may explain the contemporary Caribbean octopus richness and Mediterranean sepiolid endemism, respectively. Last, we discuss how the life cycles and strategies of cephalopods may allow them to adapt quickly to future climate change and extend the borealization of their distribution.</t>
  </si>
  <si>
    <t>[Rosa, Rui; Pissarra, Vasco; Borges, Francisco O.] Univ Lisbon, Fac Ciencias, Lab Maritimo Guia, MARE Marine &amp; Environm Sci Ctr, Lisbon, Portugal; [Xavier, Jose] Univ Coimbra, Dept Life Sci, MARE Marine &amp; Environm Sci Ctr, Coimbra, Portugal; [Xavier, Jose] NERC, British Antarctic Survey, Cambridge, England; [Gleadall, Ian G.] Tohoku Univ, Grad Sch Agr Sci, Aobayama Campus, Sendai, Miyagi, Japan; [Golikov, Alexey] Kazan Fed Univ, Dept Zool, Kazan, Russia; [Bello, Giambattista] Arion, Mola Di Bari, Italy; [Morais, Liliane] Univ Lisbon, Fac Med, Inst Environm Hlth, Lisbon, Portugal; [Lishchenkos, Fedor] AN Severtsov Inst Ecol &amp; Evolut, Lab Ecol &amp; Morphol Marine Invertebrates, Moscow, Russia; [Roura, Alvaro] CSIC, Inst Invest Marinas, Vigo, Spain; [Judkins, Heather] Univ S Florida, Dept Biol Sci, St Petersburg, FL USA; [Ibanez, Christian M.] Univ Andres Bello, Fac Ciencias Vida, Dept Ecol &amp; Biodiversidad, Santiago, Chile; [Piatkowski, Uwe] Helmholtz Ctr Ocean Res Kiel, GEOMAR, Kiel, Germany; [Vecchione, Michael] Smithsonian Inst, Natl Museum Nat Hist, Natl Systemat Lab, Natl Marine Fisheries Serv, Washington, DC 20560 USA; [Villanueva, Roger] CSIC, Inst Ciencies Mar, Barcelona, Spain</t>
  </si>
  <si>
    <t>Universidade de Lisboa; Universidade de Coimbra; UK Research &amp; Innovation (UKRI); Natural Environment Research Council (NERC); NERC British Antarctic Survey; Tohoku University; Kazan Federal University; Universidade de Lisboa; Russian Academy of Sciences; Saratov Scientific Center of the Russian Academy of Sciences; Severtsov Institute of Ecology &amp; Evolution; Consejo Superior de Investigaciones Cientificas (CSIC); CSIC - Instituto de Investigaciones Marinas (IIM); State University System of Florida; University of South Florida; Universidad Andres Bello; Helmholtz Association; GEOMAR Helmholtz Center for Ocean Research Kiel; National Oceanic Atmospheric Admin (NOAA) - USA; Smithsonian Institution; Smithsonian National Museum of Natural History; Consejo Superior de Investigaciones Cientificas (CSIC); CSIC - Centro Mediterraneo de Investigaciones Marinas y Ambientales (CMIMA); CSIC - Instituto de Ciencias del Mar (ICM)</t>
  </si>
  <si>
    <t>Rosa, R (corresponding author), Univ Lisbon, Fac Ciencias, Lab Maritimo Guia, MARE Marine &amp; Environm Sci Ctr, Lisbon, Portugal.</t>
  </si>
  <si>
    <t>rrosa@fc.ul.pt</t>
  </si>
  <si>
    <t>Lishchenko, Fedor/AAY-2419-2021; Borges, Francisco/J-4028-2019; Villanueva, Roger/D-6911-2011; Lishchenko, Fedor/AAR-2800-2021; Golikov, Alexey/T-3504-2019; Bello, Giambattista/HMD-4143-2023; Rosa, Rui/A-4580-2009; Xavier, José/KFB-6739-2024; Ibáñez, Christian/AGK-8830-2022; Roura, Alvaro/L-6754-2014; Piatkowski, Uwe/G-4161-2011</t>
  </si>
  <si>
    <t>Lishchenko, Fedor/0000-0001-8340-346X; Borges, Francisco/0000-0002-3911-0421; Villanueva, Roger/0000-0001-8122-3449; Golikov, Alexey/0000-0002-1596-2857; Rosa, Rui/0000-0003-2801-5178; Ibáñez, Christian/0000-0002-7390-2617; Roura, Alvaro/0000-0003-3532-6759; Morais, Liliane/0000-0003-2934-3632; /0000-0002-9621-6660; Piatkowski, Uwe/0000-0003-1558-5817; Pissarra, Vasco/0000-0002-4959-5848</t>
  </si>
  <si>
    <t>Fundacao para a Ciencia e Tecnologia (FCT) [UID/MAR/04292/2019]; IF Development grant [IF/01373/2013]; Japan Science and Technology Agency [J130000263]; Spanish Ministry of Education and Culture [PRX17/00090]; Portuguese Program MAR2020 - project VALPRAD [MAR-01.04.02-FEAMP-0007]; Spanish Ministry of Science (OCTOSET Project) [RTI2018-097908-B-I00]; NERC [bas010011] Funding Source: UKRI</t>
  </si>
  <si>
    <t>Fundacao para a Ciencia e Tecnologia (FCT)(Fundacao para a Ciencia e a Tecnologia (FCT)); IF Development grant; Japan Science and Technology Agency(Japan Science &amp; Technology Agency (JST)); Spanish Ministry of Education and Culture(Spanish Government); Portuguese Program MAR2020 - project VALPRAD; Spanish Ministry of Science (OCTOSET Project); NERC(UK Research &amp; Innovation (UKRI)Natural Environment Research Council (NERC))</t>
  </si>
  <si>
    <t>This study was supported by the Fundacao para a Ciencia e Tecnologia (FCT), through the strategic project UID/MAR/04292/2019 granted to MARE, the IF Development grant awarded to RR (IF/01373/2013). IG was supported by a grant from the Japan Science and Technology Agency (J130000263). RV was supported by the Spanish Ministries of Education and Culture (Grant No. PRX17/00090) and Science (OCTOSET Project RTI2018-097908-B-I00). This study was also supported by the Portuguese Program MAR2020 - project VALPRAD (MAR-01.04.02-FEAMP-0007).</t>
  </si>
  <si>
    <t>10.3389/fmars.2019.00469</t>
  </si>
  <si>
    <t>IN5QY</t>
  </si>
  <si>
    <t>WOS:000478732900002</t>
  </si>
  <si>
    <t>Alerstam, T; Bckman, J; Grnroos, J; Olofsson, P; Strandberg, R</t>
  </si>
  <si>
    <t>Alerstam, Thomas; Backman, Johan; Gronroos, Johanna; Olofsson, Patrik; Strandberg, Roine</t>
  </si>
  <si>
    <t>Hypotheses and tracking results about the longest migration: The case of the arctic tern</t>
  </si>
  <si>
    <t>ECOLOGY AND EVOLUTION</t>
  </si>
  <si>
    <t>Antarctica; arctic tern; bird migration; global migration; population segregation</t>
  </si>
  <si>
    <t>STERNA-PARADISAEA; FLIGHT PERFORMANCE; PATTERNS</t>
  </si>
  <si>
    <t>The arctic tern Sterna paradisaea completes the longest known annual return migration on Earth, traveling between breeding sites in the northern arctic and temperate regions and survival/molt areas in the Antarctic pack-ice zone. Salomonsen (1967, Biologiske Meddelelser, Copenhagen Danske Videnskabernes Selskab, 24, 1) put forward a hypothetical comprehensive interpretation of this global migration pattern, suggesting food distribution, wind patterns, sea ice distribution, and molt habits as key ecological and evolutionary determinants. We used light-level geolocators to record 12 annual journeys by eight individuals of arctic terns breeding in the Baltic Sea. Migration cycles were evaluated in light of Salomonsen's hypotheses and compared with results from geolocator studies of arctic tern populations from Greenland, Netherlands, and Alaska. The Baltic terns completed a 50,000 km annual migration circuit, exploiting ocean regions of high productivity in the North Atlantic, Benguela Current, and the Indian Ocean between southern Africa and Australia (sometimes including the Tasman Sea). They arrived about 1 November in the Antarctic zone at far easterly longitudes (in one case even at the Ross Sea) subsequently moving westward across 120-220 degrees of longitude toward the Weddell Sea region. They departed from here in mid-March on a fast spring migration up the Atlantic Ocean. The geolocator data revealed unexpected segregation in time and space between tern populations in the same flyway. Terns from the Baltic and Netherlands traveled earlier and to significantly more easterly longitudes in the Indian Ocean and Antarctic zone than terns from Greenland. We suggest an adaptive explanation for this pattern. The global migration system of the arctic tern offers an extraordinary possibility to understand adaptive values and constraints in complex pelagic life cycles, as determined by environmental conditions (marine productivity, wind patterns, low-pressure trajectories, pack-ice distribution), inherent factors (flight performance, molt, flocking), and effects of predation/piracy and competition.</t>
  </si>
  <si>
    <t>[Alerstam, Thomas; Backman, Johan; Strandberg, Roine] Lund Univ, Dept Biol, Ecol Bldg, SE-22362 Lund, Sweden; [Gronroos, Johanna] Kristianstad Univ, Fac Nat Sci, Kristianstad, Sweden</t>
  </si>
  <si>
    <t>Lund University; Kristianstad University</t>
  </si>
  <si>
    <t>Alerstam, T (corresponding author), Lund Univ, Dept Biol, Ecol Bldg, SE-22362 Lund, Sweden.</t>
  </si>
  <si>
    <t>thomas.alerstam@biol.lu.se</t>
  </si>
  <si>
    <t>Alerstam, Thomas/0000-0001-5329-4514</t>
  </si>
  <si>
    <t>Kungliga Fysiografiska Sallskapet i Lund; Svenska Forskningsradet Formas; Vetenskapsradet; Skanes ornitologiska forening; Nordostra skanes fagelklubb; Hogskolan Kristianstad; Lunds djurskyddsfond; Helge Ax: son Johnsons Stiftelse; Centre for animal movement research [349-20078690]; Gyllenstiernska Krapperupstiftelsen</t>
  </si>
  <si>
    <t>Kungliga Fysiografiska Sallskapet i Lund; Svenska Forskningsradet Formas(Swedish Research Council Formas); Vetenskapsradet(Swedish Research Council); Skanes ornitologiska forening; Nordostra skanes fagelklubb; Hogskolan Kristianstad; Lunds djurskyddsfond; Helge Ax: son Johnsons Stiftelse; Centre for animal movement research; Gyllenstiernska Krapperupstiftelsen</t>
  </si>
  <si>
    <t>Kungliga Fysiografiska Sallskapet i Lund; Svenska Forskningsradet Formas; Vetenskapsradet; Skanes ornitologiska forening; Nordostra skanes fagelklubb; Hogskolan Kristianstad; Lunds djurskyddsfond; Helge Ax: son Johnsons Stiftelse; Centre for animal movement research, Grant/Award Number: 349-20078690; Gyllenstiernska Krapperupstiftelsen</t>
  </si>
  <si>
    <t>2045-7758</t>
  </si>
  <si>
    <t>ECOL EVOL</t>
  </si>
  <si>
    <t>Ecol. Evol.</t>
  </si>
  <si>
    <t>10.1002/ece3.5459</t>
  </si>
  <si>
    <t>Ecology; Evolutionary Biology</t>
  </si>
  <si>
    <t>Environmental Sciences &amp; Ecology; Evolutionary Biology</t>
  </si>
  <si>
    <t>IY0JX</t>
  </si>
  <si>
    <t>WOS:000479975100001</t>
  </si>
  <si>
    <t>Soriano, G; Del-Castillo-Alonso, MA; Monforte, L; Núñez-Olivera, E; Martinez-Abaigar, J</t>
  </si>
  <si>
    <t>Soriano, Gonzalo; Del-Castillo-Alonso, Maria-Angeles; Monforte, Laura; Nunez-Olivera, Encarnacion; Martinez-Abaigar, Javier</t>
  </si>
  <si>
    <t>Acclimation of Bryophytes to Sun Conditions, in Comparison to Shade Conditions, Is Influenced by Both Photosynthetic and Ultraviolet Radiations</t>
  </si>
  <si>
    <t>FRONTIERS IN PLANT SCIENCE</t>
  </si>
  <si>
    <t>acclimation; bryophytes; chlorophyll; flavonoids; Marchantia; sclerophylly; ultraviolet radiation; xanthophylls</t>
  </si>
  <si>
    <t>UV-B RADIATION; ABSORBING COMPOUNDS; AQUATIC LIVERWORT; PIGMENT COMPOSITION; CELL COMPARTMENTATION; ANTARCTIC LIVERWORT; LIGHT RESPONSES; PLANTS; MOSSES; FLAVONOIDS</t>
  </si>
  <si>
    <t>We studied the acclimation modalities of bryophytes to sun and shade under ambient or close-to-ambient conditions, measuring variables usually influenced by photosynthetically active (PAR) and ultraviolet (UV) radiations. Our aim was to elucidate to what extent the responses to changing radiations were influenced by PAR and UV wavelengths. For this aim, we used three taxonomically and structurally different species: the thalloid liverwort Marchantia polymorpha subsp. polymorpha, the leafy liverwort Jungermannia exsertifolia subsp. cordifolia, and the moss Fontinalis antipyretica. In the field, liverworts were more radiation-responsive than the moss, and the thalloid liverwort was more responsive than the leafy liverwort. Sun plants of M. polymorpha showed, in comparison to shade plants, higher sclerophylly, lower Chl a + b contents, higher Chl a/b ratios, higher (antheraxanthin + zeaxanthin)/(violaxanthin + antheraxanthin + zeaxanthin) ratios (xanthophyll index), lower F-v/F-m values, higher contents of methanol-soluble vacuolar UV-absorbing compounds (soluble UVACs), higher values of the ratio between the contents of methanol-insoluble cell wall-bound UVACs (insoluble UVACs) and soluble UVACs, higher contents of soluble luteolin and apigenin derivatives and riccionidin A, and higher contents of insoluble p-coumaric and ferulic acids. Overall, these responses reduced light absorption, alleviated overexcitation, increased photoprotection through non-photochemical energy dissipation, increased UV protection through UV screening and antioxidant capacity, and denoted photoinhibition. J. exsertifolia showed moderate differences between sun and shade plants, while responses of F. antipyretica were rather diffuse. The increase in the xanthophyll index was the most consistent response to sun conditions, occurring in the three species studied. The responses of soluble UVACs were generally clearer than those of insoluble UVACs, probably because insoluble UVACs are relatively immobilized in the cell wall. These modalities of radiation acclimation were reliably summarized by principal components analysis. Using the most radiation-responsive species in the field (M. polymorpha), we found, under close-to-ambient greenhouse conditions, that sclerophylly and Chl a + b content were only influenced by PAR, F-v/F-m, and luteolin and apigenin derivatives were only determined by UV, and xanthophyll index was influenced by both radiation types. Thus, responses of bryophytes to radiation can be better interpreted considering the influence of both PAR and UV radiation.</t>
  </si>
  <si>
    <t>[Soriano, Gonzalo; Del-Castillo-Alonso, Maria-Angeles; Monforte, Laura; Nunez-Olivera, Encarnacion; Martinez-Abaigar, Javier] Univ La Rioja, Fac Sci &amp; Technol, Logrono, Spain</t>
  </si>
  <si>
    <t>Universidad de La Rioja</t>
  </si>
  <si>
    <t>Martinez-Abaigar, J (corresponding author), Univ La Rioja, Fac Sci &amp; Technol, Logrono, Spain.</t>
  </si>
  <si>
    <t>javier.martinez@unirioja.es</t>
  </si>
  <si>
    <t>Martinez-Abaigar, Javier/L-7000-2014; Soriano, Gonzalo/A-1353-2019</t>
  </si>
  <si>
    <t>Martinez-Abaigar, Javier/0000-0002-9762-9862; Soriano, Gonzalo/0000-0002-1728-7656; DEL CASTILLO ALONSO, MARIA ANGELES/0000-0003-4027-3313</t>
  </si>
  <si>
    <t>Spanish Ministry of Economy and Competitiveness (MINECO); European Regional Development Fund (ERDF) [CGL201454127-P]; University of La Rioja</t>
  </si>
  <si>
    <t>Spanish Ministry of Economy and Competitiveness (MINECO)(Spanish Government); European Regional Development Fund (ERDF)(European Union (EU)); University of La Rioja</t>
  </si>
  <si>
    <t>This study was supported by the Spanish Ministry of Economy and Competitiveness (MINECO) in combination with the European Regional Development Fund (ERDF) (Project CGL201454127-P). University of La Rioja contributed with PhD grants of Plan Propio 2013 and 2014 to GS and M-AD-C-A, respectively.</t>
  </si>
  <si>
    <t>1664-462X</t>
  </si>
  <si>
    <t>FRONT PLANT SCI</t>
  </si>
  <si>
    <t>Front. Plant Sci.</t>
  </si>
  <si>
    <t>10.3389/fpls.2019.00998</t>
  </si>
  <si>
    <t>Plant Sciences</t>
  </si>
  <si>
    <t>IN3VV</t>
  </si>
  <si>
    <t>WOS:000478605400001</t>
  </si>
  <si>
    <t>Ojeda, J; Marambio, J; Rosenfeld, S; Contador, T; Rozzi, R; Mansilla, A</t>
  </si>
  <si>
    <t>Ojeda, Jaime; Marambio, Johanna; Rosenfeld, Sebastian; Contador, Tamara; Rozzi, Ricardo; Mansilla, Andres</t>
  </si>
  <si>
    <t>Seasonal changes of macroalgae assemblages on the rocky shores of the Cape Horn Biosphere Reserve, Sub-Antarctic Channels, Chile</t>
  </si>
  <si>
    <t>AQUATIC BOTANY</t>
  </si>
  <si>
    <t>Wet biomass; Seaweeds; Seasonal; Sub-Antarctic; Rocky shore</t>
  </si>
  <si>
    <t>SPATIOTEMPORAL VARIATION; COMMUNITY STRUCTURE; BEAGLE CHANNEL; PATTERNS; ALGAE; DIVERSITY; MAGELLAN; ECOLOGY; RHODOPHYTA; ABUNDANCE</t>
  </si>
  <si>
    <t>The Magellanic Sub-Antarctic Channels ecoregion supports one of the greatest number of macroalgae species in South America. In this ecoregion, the majority of macroalgae research has been associated with spatial ecology. In contrast, the temporal scale has received little attention. Here, we report the seasonal changes of taxa richness, wet biomass and assemblage structure for intertidal macroalgae in Robalo Bay (55 degrees S), situated within the Cape Horn Biosphere Reserve. Overall, forty-nine macroalgae taxa were identified. We found a higher taxa richness and wet biomass in the summer than in the winter, but the strength of seasonal variations varied spatially across intertidal sites and levels. A similar seasonal pattern was detected with multivariate analysis. The seasonal changes are explained by the rise of seasonal algae such as Adenocystis utricularis. In turn, we found temporally-persistent algae such as Ceramium virgatum and Nothogenia fastigiata which did not show sharp seasonal variation. In conclusion, we suggest that macroalgal seasonality might be strongly modulated by coupled factors such as light, nutrient availability, sea surface temperature, relative humidity, and species composition. These factors would support an increase of taxa richness and wet biomass in the summertime on the rocky shores in high latitudes of South America.</t>
  </si>
  <si>
    <t>[Ojeda, Jaime; Marambio, Johanna; Rosenfeld, Sebastian; Mansilla, Andres] Univ Magallanes, Fac Ciencias, LEMAS, Avda Bulnes 01855,Casilla 113-D, Punta Arenas, Chile; [Ojeda, Jaime] Univ Victoria, Sch Environm Studies, Victoria, BC, Canada; [Ojeda, Jaime; Marambio, Johanna; Rosenfeld, Sebastian; Contador, Tamara; Rozzi, Ricardo; Mansilla, Andres] IEB, Santiago, Chile; [Contador, Tamara; Rozzi, Ricardo] Univ Magallanes, Omora Emobot Pk, Teniente Munoz 396, Puerto Williams, Chile; [Contador, Tamara; Rozzi, Ricardo] Univ North Texas, Dept Philosophy &amp; Relig Studies, Subantarctic Biocultural Conservat Program, Denton, TX 76203 USA; [Contador, Tamara; Rozzi, Ricardo] Univ North Texas, Dept Biol Sci, Denton, TX 76203 USA; [Contador, Tamara] Nucleo Milenio Invas Salmonids INVASAL, Concepcion, Chile; [Marambio, Johanna] Univ Bremen, Sci Fac, Bremen, Germany</t>
  </si>
  <si>
    <t>Universidad de Magallanes; University of Victoria; Universidad de Magallanes; University of North Texas System; University of North Texas Denton; University of North Texas System; University of North Texas Denton; University of Bremen</t>
  </si>
  <si>
    <t>Ojeda, J (corresponding author), Univ Magallanes, Fac Ciencias, LEMAS, Avda Bulnes 01855,Casilla 113-D, Punta Arenas, Chile.</t>
  </si>
  <si>
    <t>jaime.ojeda@umag.cl; johanna.marambio@yahoo.com; rosenfeld.sebastian@yahoo.com; tamara.contador@umag.cl; Ricardo.Rozzi@unt.edu; andres.mansilla@umag.cl</t>
  </si>
  <si>
    <t>Contador, Tamara/AAC-2161-2021; Rozzi, Ricardo/G-1047-2012; Ojeda, Jaime/HHN-1455-2022</t>
  </si>
  <si>
    <t>Contador, Tamara/0000-0002-0250-9877; Rozzi, Ricardo/0000-0001-5265-8726; Mansilla, Andres/0000-0003-3505-7018; Rosenfeld, Sebastian/0000-0002-4363-8018; ojeda, jaime/0000-0003-3863-9750</t>
  </si>
  <si>
    <t>Institute of Ecology and Biodiversity by ICM scholarship project [P05-002]; CONICYT [PFB-23]; Basal Funding CONICYT [AFB170008]; Institute of Ecology and Biodiversity (IEB-Chile) [ICM P05-002]; IEB-Chile by Scholarship of Program BASAL PFB [23-2008]</t>
  </si>
  <si>
    <t>Institute of Ecology and Biodiversity by ICM scholarship project; CONICYT(Comision Nacional de Investigacion Cientifica y Tecnologica (CONICYT)); Basal Funding CONICYT; Institute of Ecology and Biodiversity (IEB-Chile); IEB-Chile by Scholarship of Program BASAL PFB</t>
  </si>
  <si>
    <t>The authors thank Universidad de Magallanes by logistical support, and especially group work in Puerto Williams city: Francisca Massardo, Ximena Arango, Cristobal Pizarro and Rodrigo Molina. J. Ojeda thanks the Institute of Ecology and Biodiversity by ICM scholarship project, code P05-002 and CONICYT PFB-23. S. We thank support from Basal Funding CONICYT AFB170008. Rosenfeld would like to thank the Scholarship provided by the Institute of Ecology and Biodiversity (IEB-Chile) (code ICM P05-002). J. Marambio thanks the IEB-Chile by Scholarship of Program BASAL PFB code 23-2008. J. Ojeda thanks the contributions of Nicolas Butorovic and Servicio Hidrografico de la Armada de Chile (SHOA-CENDHOC). Lastly, the authors want to thank to Silvia Murcia and Karen Chapple for the editions and corrections of the English writing.</t>
  </si>
  <si>
    <t>0304-3770</t>
  </si>
  <si>
    <t>1879-1522</t>
  </si>
  <si>
    <t>AQUAT BOT</t>
  </si>
  <si>
    <t>Aquat. Bot.</t>
  </si>
  <si>
    <t>AUG</t>
  </si>
  <si>
    <t>10.1016/j.aquabot.2019.06.001</t>
  </si>
  <si>
    <t>KS8SN</t>
  </si>
  <si>
    <t>WOS:000518578100005</t>
  </si>
  <si>
    <t>Liu, Y; Wen, JJ; Ning, LJ; Jiao, JG; Qiao, F; Chen, LQ; Zhang, ML; Du, ZY</t>
  </si>
  <si>
    <t>Liu, Yan; Wen, Jia-Jing; Ning, Li-Jun; Jiao, Jian-Gang; Qiao, Fang; Chen, Li-Qiao; Zhang, Mei-Ling; Du, Zhen-Yu</t>
  </si>
  <si>
    <t>Comparison of effects of dietary-specific fatty acids on growth and lipid metabolism in Nile tilapia</t>
  </si>
  <si>
    <t>AQUACULTURE NUTRITION</t>
  </si>
  <si>
    <t>dietary oil; fatty acid composition; growth performance; lipid metabolism; nile tilapia; very long chain unsaturated fatty acid</t>
  </si>
  <si>
    <t>PEROXISOMAL BETA-OXIDATION; SALAR L. HEPATOCYTES; RED HYBRID TILAPIA; FISH-OIL; OREOCHROMIS-NILOTICUS; VEGETABLE-OILS; LINOLENIC ACID; ANTARCTIC FISH; VITAMIN-E; N-3</t>
  </si>
  <si>
    <t>The dominant fatty acids (FAs) in oils are often used to explain different nutritional effects of dietary oils in fish. However, the amounts of dominant FAs among oils are different, and the nutritional roles of these important FAs in fish have not been precisely compared at similar levels in feeding trials. In the present study, different amounts of palmitic acid were added to safflower oil (SO), olive oil (OO) and fish oil (FO) to obtain comparable amounts (about 550 g/kg of total FAs) of 18:2n-6, 18:1n-9 and 20:5n-3 + 22:6n-3 and subsequently fed to Nile tilapia (11.1 +/- 0.01 g) for 8 weeks. The results showed similar growth among groups but FO group obtained lower fat deposition, serum ALT and AST activities, compared to OO. Lipogenesis-related gene expressions were higher in OO group than FO group in liver, muscle and adipose tissue, but there were only few differences in these genes between SO and FO groups. Lipid catabolism genes in FO group were higher than OO and SO groups in adipose tissue, but not in muscle, and the significantly higher expressions of CPT1b and PPAR alpha were only observed in liver. Overall, dietary 18:2n-6, 20:5n-3 and 22:6n-3 were beneficial to normal growth and lipid metabolism, whereas high amount of 18:1n-9 induced lipid deposition and liver damage in Nile tilapia.</t>
  </si>
  <si>
    <t>[Liu, Yan; Wen, Jia-Jing; Ning, Li-Jun; Jiao, Jian-Gang; Qiao, Fang; Chen, Li-Qiao; Zhang, Mei-Ling; Du, Zhen-Yu] East China Normal Univ, Sch Life Sci, Lab Aquaculture Nutr &amp; Environm Hlth, Shanghai, Peoples R China</t>
  </si>
  <si>
    <t>East China Normal University</t>
  </si>
  <si>
    <t>Du, ZY (corresponding author), East China Normal Univ, Sch Life Sci, Lab Aquaculture Nutr &amp; Environm Hlth, Shanghai, Peoples R China.</t>
  </si>
  <si>
    <t>zydu@bio.ecnu.edu.cn</t>
  </si>
  <si>
    <t>zhou, xian/JYQ-9844-2024; zhu, yujie/KBC-4009-2024; Zhang, Meiling/AEQ-4299-2022; chen, lijuan/HSE-1019-2023</t>
  </si>
  <si>
    <t>Du, Zhen-Yu/0000-0001-6581-5313; Chen, Liqiao/0000-0003-0138-7828</t>
  </si>
  <si>
    <t>National Key R&amp;D Program of China [2018YFD0900400]; National Natural Science Foundation of China [31830102]</t>
  </si>
  <si>
    <t>National Key R&amp;D Program of China; National Natural Science Foundation of China(National Natural Science Foundation of China (NSFC))</t>
  </si>
  <si>
    <t>National Key R&amp;D Program of China (2018YFD0900400) and National Natural Science Foundation of China (Key Program 31830102).</t>
  </si>
  <si>
    <t>1353-5773</t>
  </si>
  <si>
    <t>1365-2095</t>
  </si>
  <si>
    <t>AQUACULT NUTR</t>
  </si>
  <si>
    <t>Aquac. Nutr.</t>
  </si>
  <si>
    <t>10.1111/anu.12906</t>
  </si>
  <si>
    <t>JF3KO</t>
  </si>
  <si>
    <t>WOS:000491285400011</t>
  </si>
  <si>
    <t>Möller, P; Benediktsson, IÖ; Anjar, J; Bennike, O; Bernhardson, M; Funder, S; Håkansson, LM; Lemdahl, G; Licciardi, JM; Murray, AS; Seidenkrantz, MS</t>
  </si>
  <si>
    <t>Moller, Per; Benediktsson, Ivar Orn; Anjar, Johanna; Bennike, Ole; Bernhardson, Martin; Funder, Svend; Hakansson, Lena M.; Lemdahl, Geoffrey; Licciardi, Joseph M.; Murray, Andrew S.; Seidenkrantz, Marit-Solveig</t>
  </si>
  <si>
    <t>Data set on sedimentology, palaeoecology and chronology of Middle to Late Pleistocene deposits on the Taimyr Peninsula, Arctic Russia</t>
  </si>
  <si>
    <t>DATA IN BRIEF</t>
  </si>
  <si>
    <t>Article; Data Paper</t>
  </si>
  <si>
    <t>Taimyr; Glacial sedimentology; Glacial history; Kara Sea ice sheet; OSL dating; ESR dating; TCN dating</t>
  </si>
  <si>
    <t>SEVERNAYA ZEMLYA ARCHIPELAGO; COSMOGENIC CL-36; PRODUCTION-RATES; GLACIAL HISTORY; DOSE-RATES; LUMINESCENCE; QUARTZ</t>
  </si>
  <si>
    <t>This Data in Brief paper contains data (including images) from Quaternary sedimentary successions investigated along the Bol'shaya Balakhnya River and the Luktakh-Upper Taimyra-Logata river system on southern Taimyr Peninsula, NW Siberia (Russia). Marine foraminifera and mollusc fauna composition, extracted from sediment samples, is presented. The chronology (time of deposition) of the sediment successions is reconstructed from three dating methods; (i) radiocarbon dating of organic detritus (from lacustrine/fluvial sediment) and molluscs (marine sediment) as finite ages (usually &lt;42 000 years) or as non-finite ages (&gt;42 000-48 000 years) on samples/sediments beyond the radiocarbon dating limit; (ii) Electron Spin Resonance (ESR) dating on marine molluscs (up to ages &gt;400 000 years); (iii) Optically Stimulated Luminescence (OSL) dating, usually effective up to 100-150 0000 years. Terrestrial Cosmogenic Nuclide (TCN) exposure dating has been applied to boulders resting on top of moraine ridges (Ice Marginal Zones). See (Moller et al., 2019) (doi.org/10.1016/j.earscirev.2019.04.004) for interpretation and discussion of all data. (c) 2019 The Author(s). Published by Elsevier Inc. This is an open access article under the CC BY license (http://creativecommons.org/licenses/by/4.0/).</t>
  </si>
  <si>
    <t>[Moller, Per; Anjar, Johanna; Bernhardson, Martin] Lund Univ, Quaternary Sci, Dept Geol, Solvegatan 12, SE-22362 Lund, Sweden; [Benediktsson, Ivar Orn] Univ Iceland, Inst Earth Sci, Sturlugata 7, IS-101 Reykjavik, Iceland; [Anjar, Johanna] Univ South Eastern Norway, Dept Nat Sci &amp; Environm Hlth, Gullbringvegen 36, N-3800 Bo, Norway; [Bennike, Ole] GEUS, Oster Voldgade 10, DK-1350 Copenhagen K, Denmark; [Funder, Svend] Univ Copenhagen, Geol Museum, Oster Voldgade 5-7, DK-1350 Copenhagen K, Denmark; [Hakansson, Lena M.] Univ Ctr Svalbard UNIS, POB 156, N-9171 Longyearbyen, Norway; [Lemdahl, Geoffrey] Linnaeus Univ, Dept Biol &amp; Environm Sci, SE-39182 Kalmar, Sweden; [Licciardi, Joseph M.] Univ New Hampshire, Dept Earth Sci, 56 Coll Rd, Durham, NH 03824 USA; [Murray, Andrew S.] Aarhus Univ, Riso Natl Lab, Nord Lab Luminescence Dating, Dept Earth Sci, DK-4000 Roskilde, Denmark; [Seidenkrantz, Marit-Solveig] Aarhus Univ, Paleoceanog &amp; Paleoclimate Grp, Arctic Res Ctr, Hoegh Guldbergs Gade 2, DK-8000 Aarhus C, Denmark; [Seidenkrantz, Marit-Solveig] Aarhus Univ, IClimate, Interdisciplinary Ctr Climate Change, Hoegh Guldbergs Gade 2, DK-8000 Aarhus C, Denmark</t>
  </si>
  <si>
    <t>Lund University; University of Iceland; Geological Survey Of Denmark &amp; Greenland; University of Copenhagen; University Centre Svalbard (UNIS); Linnaeus University; University System Of New Hampshire; University of New Hampshire; Aarhus University; Technical University of Denmark; Aarhus University; Aarhus University</t>
  </si>
  <si>
    <t>Möller, P (corresponding author), Lund Univ, Quaternary Sci, Dept Geol, Solvegatan 12, SE-22362 Lund, Sweden.</t>
  </si>
  <si>
    <t>per.moller@geol.lu.se</t>
  </si>
  <si>
    <t>Seidenkrantz, Marit-Solveig/A-3451-2012; Möller, Per/AAJ-7963-2020; Murray, Andrew S/A-4388-2012; Bennike, Ole/G-7070-2018</t>
  </si>
  <si>
    <t>Möller, Per/0000-0001-5365-2668; Bennike, Ole/0000-0002-5486-9946; Lund, Martin/0000-0002-1945-514X; Anjar, Johanna/0000-0001-9927-1510; Murray, Andrew/0000-0001-5559-1862; Seidenkrantz, Marit-Solveig/0000-0002-1973-5969</t>
  </si>
  <si>
    <t>Lund University (Sweden) within the European Union under the European Science Foundation's Quaternary Environments of the Eurasian North (QUEEN) programme umbrella [ENV4-CT97-0563]; Arctic and Antarctic Research Institute (AARI, St. Petersburg, Russia) within the European Union under the European Science Foundation's Quaternary Environments of the Eurasian North (QUEEN) programme umbrella [ENV4-CT97-0563]; Swedish Natural Science Research Council (VR) [G-650-199815671/2000, 621-2008-3759]; Swedish Polar Research Secretariat (SPRS); INTAARI (St. Petersburg, Russia)</t>
  </si>
  <si>
    <t>Lund University (Sweden) within the European Union under the European Science Foundation's Quaternary Environments of the Eurasian North (QUEEN) programme umbrella; Arctic and Antarctic Research Institute (AARI, St. Petersburg, Russia) within the European Union under the European Science Foundation's Quaternary Environments of the Eurasian North (QUEEN) programme umbrella; Swedish Natural Science Research Council (VR)(Swedish Research Council); Swedish Polar Research Secretariat (SPRS); INTAARI (St. Petersburg, Russia)</t>
  </si>
  <si>
    <t>This work has been carried out as a cooperative venture between Lund University (Sweden) and the Arctic and Antarctic Research Institute (AARI, St. Petersburg, Russia) within the European Union financed 'Eurasian ice sheets' project (contract no. ENV4-CT97-0563) under the European Science Foundation's Quaternary Environments of the Eurasian North (QUEEN) programme umbrella, later followed by the APEX (Arctic Palaeoenvironments and its Extremes) programme. Specific project funding for research on Taimyr was provided through grants from the Swedish Natural Science Research Council (VR) to P. Moller (contract nos. G-650-199815671/2000 and 621-2008-3759) and logistics were mainly arranged and, to a large extent, funded by the Swedish Polar Research Secretariat (SPRS), and through subcontracts with INTAARI (St. Petersburg, Russia). Anatoly Molodkov, Tallin Technical University, Estonia, performed the ESR dating and provided relevant background information. Additional OSL dating was done by Mark D. Bateman at Sheffield luminescence laboratory, Sheffield University, England, who also provided background information and discussion on OSL dating problems. We are grateful to Pernille Billow, Aarhus University, who carried out the laboratory preparations of the samples for foraminiferal analyses. We thank Marc Caffee, Greg Chmiel, and Tom Woodruff at PRIME Lab, Purdue University, for careful AMS measurements and help with 36Cl data reduction.</t>
  </si>
  <si>
    <t>2352-3409</t>
  </si>
  <si>
    <t>DATA BRIEF</t>
  </si>
  <si>
    <t>Data Brief</t>
  </si>
  <si>
    <t>10.1016/j.dib.2019.104267</t>
  </si>
  <si>
    <t>Emerging Sources Citation Index (ESCI)</t>
  </si>
  <si>
    <t>JK8QJ</t>
  </si>
  <si>
    <t>WOS:000495104500290</t>
  </si>
  <si>
    <t>Pongpiachan, S; Deelaman, W; Choochuay, C; Iadtem, N; Surapipith, V; Hashmi, MZ; Latif, M; Sohail, M; Eqani, SAMAS; Charoenkalunyuta, T; Promdee, K</t>
  </si>
  <si>
    <t>Pongpiachan, Siwatt; Deelaman, Woranuch; Choochuay, Chomsri; Iadtem, Natthapong; Surapipith, Vanisa; Hashmi, Muhammad Zaffar; Latif, Muhammad; Sohail, Muhammad; Eqani, Syed Ali Musstjab Akber Shah; Charoenkalunyuta, Teetat; Promdee, Kittiphop</t>
  </si>
  <si>
    <t>Data relating to spatial distribution of polycyclic aromatic hydrocarbons in terrestrial soils of Pakistan and King George Island, Antarctica</t>
  </si>
  <si>
    <t>Polycyclic aromatic hydrocarbons (PAHs); Terrestrial soils; Pakistan; King george island; Antarctica</t>
  </si>
  <si>
    <t>Over the past few decades, polycyclic aromatic hydrocarbons (PAHs) have been analysed in various environmental compartments, however, only limited information is available associated with their terrestrial concentrations in Pakistan and Antarctica. All terrestrial soils from Pakistan (n = 120) were collected from 14th to 2nd April 2017 at Islamabad ( n = 30), Abbotabad (n = 10), Taxilla (n = 5), and other places from north to south (n = 75). All Antarctic terrestrial soils (n = 11) were collected from 1st to 25th February 2018 in the southwestern part of King George Island. It is crucial to underline that all samples were both qualitatively and quantitatively identified by using a Shimadzu GCMS-QP2010 Ultra system coupled with a high-speed performance systemwith ASSP function (i.e., achieving maximum scan speed of 20,000 u sec(-1)) and having ultra-fast data acquisition speed for comprehensive two-dimensional gas chromatography (GC x GC). Analytical results implicate the influences of vehicle exhausts as a major contributor of PAHs in terrestrial soils of Pakistan. It seems rationale to conclude that 3-ring PAHs display the majority of PAH congeners in terrestrial soils of King George Island. (c) 2019 The Author(s). Published by Elsevier Inc. This is an open access article under the CC BY license (http://creativecommons.org/licenses/by/4.0/).</t>
  </si>
  <si>
    <t>[Pongpiachan, Siwatt] Natl Inst Dev Adm, Sch Social &amp; Environm Dev, NIDA Ctr Res &amp; Dev Disaster Prevent &amp; Management, 118 Moo 3,Sereethai Rd, Bangkok 10240, Thailand; [Deelaman, Woranuch; Choochuay, Chomsri; Iadtem, Natthapong] Prince Songkla Univ, Fac Environm Management, Hat Yai 90112, Songkla, Thailand; [Surapipith, Vanisa; Hashmi, Muhammad Zaffar; Latif, Muhammad] COMSATS Univ, Dept Meteorol, Pk Rd, Islamabad 44000, Pakistan; [Sohail, Muhammad; Eqani, Syed Ali Musstjab Akber Shah] COMSATS Univ, Dept Biosci, Pk Rd, Islamabad 44000, Pakistan; [Promdee, Kittiphop] Chulachomklao Royal Mil Acad, Dept Environm Sci, Nakhon Nayok 26001, Thailand; [Surapipith, Vanisa] Natl Astron Res Inst Thailand Publ Org, 260 Moo 4, Chiang Mai 50180, Thailand; [Charoenkalunyuta, Teetat] Chulalongkorn Univ, Dept Survey Engn, Bangkok 10330, Thailand</t>
  </si>
  <si>
    <t>National Institute of Development Administration - Thailand; Prince of Songkla University; COMSATS University Islamabad (CUI); COMSATS University Islamabad (CUI); Chulalongkorn University</t>
  </si>
  <si>
    <t>Pongpiachan, S (corresponding author), Natl Inst Dev Adm, Sch Social &amp; Environm Dev, NIDA Ctr Res &amp; Dev Disaster Prevent &amp; Management, 118 Moo 3,Sereethai Rd, Bangkok 10240, Thailand.;Promdee, K (corresponding author), Chulachomklao Royal Mil Acad, Dept Environm Sci, Nakhon Nayok 26001, Thailand.</t>
  </si>
  <si>
    <t>pongpiajun@gmail.com; nuumensci@gmail.com</t>
  </si>
  <si>
    <t>Sohail, Muhammad/IWU-3475-2023; Choochuay, Chomsri/AAY-9628-2021; Charoenkalunyuta, Teetat/AAD-4258-2019; Hashmi, Muhammad Zaffar/F-3427-2015</t>
  </si>
  <si>
    <t>Sohail, Muhammad/0000-0002-2821-011X; Choochuay, Chomsri/0000-0002-6321-1951; Charoenkalunyuta, Teetat/0000-0002-9562-9607; Pongpiachan, Siwatt/0000-0003-1062-7627</t>
  </si>
  <si>
    <t>Information Technology Foundation under the Initiative of Her Royal Highness Princess Maha Chakri Sirindhorn; Polar Research Project under the Initiatives of Her Royal Highness Princess Maha Chakri Sirindhorn; National Science and Technology Development Agency (NSTDA); Chinese Arctic and Antarctic Administration; T. C. Pharmaceutical Industries Co., Ltd</t>
  </si>
  <si>
    <t>The authors acknowledge the Information Technology Foundation under the Initiative of Her Royal Highness Princess Maha Chakri Sirindhorn, Polar Research Project under the Initiatives of Her Royal Highness Princess Maha Chakri Sirindhorn, National Science and Technology Development Agency (NSTDA), Chinese Arctic and Antarctic Administration, and T. C. Pharmaceutical Industries Co., Ltd for supporting this study. The authors would also like to thank all members of CHINARE 34 for their kind assistances. The authors appreciate kind assistances from Ms. Mattanawadee Hattayanone for her contribution on laboratory works. All the GC-MS analysis of PAHs was conducted at Bara Scientific laboratory under the guidance of Mr. Chukkapong Khumsup, Mr. Itthipon Kittikoon, and Mr. Phoosak Hirunyatrakul.</t>
  </si>
  <si>
    <t>10.1016/j.dib.2019.104327</t>
  </si>
  <si>
    <t>WOS:000495104500345</t>
  </si>
  <si>
    <t>Soares, J; Alves, M; Ribeiro, FND; Codato, G</t>
  </si>
  <si>
    <t>Soares, Jacyra; Alves, Marco; Dutra Ribeiro, Flavia Noronha; Codato, Georgia</t>
  </si>
  <si>
    <t>Meteorological and surface radiation data observed at the Brazilian Antarctic station on King George Island</t>
  </si>
  <si>
    <t>Surface radiation balance observational data; Surface wind and temperature observational data; Antarctic peninsula; King George Island; Antarctica</t>
  </si>
  <si>
    <t>BALANCE</t>
  </si>
  <si>
    <t>The observational data described here was collected between 28 February 2011 and 30 November 2015. The data analysis and interpretation were published in the article Surface radiation balance and weather conditions on a non-glaciated coastal area in the Antarctic region [1]. An instrumented tower located on the non-glaciated coastal area of the of the Brazilian Antarctic Comandante Ferraz Station, at King George Island, Antarctic Peninsula was used. It was collected data of air temperature and relative humidity, wind speed and direction, barometric pressure, incident and reflected shortwave radiation, longwave radiation emitted by atmosphere and by surface, and net radiation with a sampling frequency of 0.1 Hz. The data was stored as 5-min averages and automatically transmitted to the Air-Sea Interaction Laboratory, at the University of Sao Paulo, Brazil. The dataset is hosted in the Mendeley repository. (c) 2019 The Author(s). Published by Elsevier Inc. This is an open access article under the CC BY license (http://creativecommons.org/licenses/by/4.0/).</t>
  </si>
  <si>
    <t>[Soares, Jacyra; Alves, Marco; Dutra Ribeiro, Flavia Noronha; Codato, Georgia] Univ Sao Paulo, Sao Paulo, Brazil</t>
  </si>
  <si>
    <t>Universidade de Sao Paulo</t>
  </si>
  <si>
    <t>Soares, J (corresponding author), Univ Sao Paulo, Sao Paulo, Brazil.</t>
  </si>
  <si>
    <t>jacyra@usp.br; marco.alvarenga.alves@gmail.com; flaviaribeiro@usp.br; gecodato@usp.br</t>
  </si>
  <si>
    <t>Ribeiro, Flavia N D/E-9828-2012; Ribeiro, Flavia N. D./P-3808-2019; Alves, Marco/AAL-6153-2021; Soares, Jacyra/B-1501-2012</t>
  </si>
  <si>
    <t>Ribeiro, Flavia N D/0000-0001-9589-7911; Ribeiro, Flavia N. D./0000-0001-9589-7911; Alves, Marco/0000-0002-1567-9058; Soares, Jacyra/0000-0003-0242-5603</t>
  </si>
  <si>
    <t>CNPq [305357/2012-3, 407137/2013-0]; INCTAPA [grant CNPq] [574018/2008-5]; INCTAPA [grant FAPERJ E ] [16/170.023/2008]; Brazilian Navy; Coordenacao de Aperfeicoamento de Pessoal de Nivel Superior - Brasil (CAPES) [001]</t>
  </si>
  <si>
    <t>CNPq(Conselho Nacional de Desenvolvimento Cientifico e Tecnologico (CNPQ)); INCTAPA [grant CNPq]; INCTAPA [grant FAPERJ E ]; Brazilian Navy; Coordenacao de Aperfeicoamento de Pessoal de Nivel Superior - Brasil (CAPES)(Coordenacao de Aperfeicoamento de Pessoal de Nivel Superior (CAPES))</t>
  </si>
  <si>
    <t>This work was supported by CNPq [grant numbers 305357/2012-3 and 407137/2013-0]; the INCTAPA [grant CNPq number 574018/2008-5 and FAPERJ E number 16/170.023/2008] and the Brazilian Navy. The second author acknowledges a scholarship from Coordenacao de Aperfeicoamento de Pessoal de Nivel Superior - Brasil (CAPES) - Finance Code 001.</t>
  </si>
  <si>
    <t>10.1016/j.dib.2019.104245</t>
  </si>
  <si>
    <t>WOS:000495104500270</t>
  </si>
  <si>
    <t>Guitián, J; Phelps, S; Polissar, PJ; Ausín, B; Eglinton, TI; Stoll, HM</t>
  </si>
  <si>
    <t>Guitian, Jose; Phelps, Samuel; Polissar, Pratigya J.; Ausin, Blanca; Eglinton, Timothy, I; Stoll, Heather M.</t>
  </si>
  <si>
    <t>Midlatitude Temperature Variations in the Oligocene to Early Miocene</t>
  </si>
  <si>
    <t>PALEOCEANOGRAPHY AND PALEOCLIMATOLOGY</t>
  </si>
  <si>
    <t>ANTARCTIC ICE-SHEET; ISOPRENOID TETRAETHER LIPIDS; EOCENE THERMAL MAXIMUM; ATLANTIC DEEP-WATER; SORTABLE SILT; CLIMATE; OCEAN; SEA; CARBON; PROXY</t>
  </si>
  <si>
    <t>Antarctic ice sheet margin extent and the sensitivity of benthic delta O-18 to orbital forcing have varied on million-year timescales during the Oligocene to Early Miocene. However, few sea surface temperature (SST) records for this time interval exist to evaluate links between polar processes and mean temperature outside polar regions. Here, we present a new record of SST for the time interval 30 to 17 Ma derived from the long-chain alkenone unsaturation ratio (U-37(k')) at Integrated Ocean Drilling Program Site 1406A in the midlatitude North Atlantic. Results confirm that warm temperatures from 24 degrees C to over 30 degrees C prevailed in midlatitudes in this time and suggest a transition from colder early-middle Oligocene to warmer average conditions after 24.5 Ma. The global significance of this transition is highlighted by the coincidence with changes in the dominance from marine- to terrestrial-terminating ice sheets in the Ross Sea around Antarctica. The longest continuous section of the record (20.6 to 26.6 Ma) contains multiple 2 million-year cycles in SST, potentially paced by long obliquity modulation. Complex and temporally varying relationships are observed between North Atlantic SST and benthic delta O-18 in paired samples; significant covariation is only observed around the Oligocene-Miocene transition, coincident with a lower average marine ice extent. These North Atlantic U-37(k') temperature records provide a new context in which to examine the stability of climate and the Antarctic ice sheet during the Oligocene and early Miocene.</t>
  </si>
  <si>
    <t>[Guitian, Jose; Ausin, Blanca; Eglinton, Timothy, I; Stoll, Heather M.] Swiss Fed Inst Technol, Geol Inst, Zurich, Switzerland; [Phelps, Samuel; Polissar, Pratigya J.] Columbia Univ, Lamont Doherty Earth Observ, Palisades, NY USA</t>
  </si>
  <si>
    <t>Swiss Federal Institutes of Technology Domain; ETH Zurich; Columbia University</t>
  </si>
  <si>
    <t>Guitián, J (corresponding author), Swiss Fed Inst Technol, Geol Inst, Zurich, Switzerland.</t>
  </si>
  <si>
    <t>jose.guitian@erdw.ethz.ch</t>
  </si>
  <si>
    <t>Polissar, Pratigya J/L-8131-2013; Guitián, José/AAB-1241-2021; Guitian, Jose/GLN-7735-2022; Stoll, Heather/G-9066-2012</t>
  </si>
  <si>
    <t>Guitián, José/0000-0002-3346-4472; Guitian, Jose/0000-0002-3346-4472; Eglinton, Timothy/0000-0001-5060-2155; Stoll, Heather/0000-0002-2953-7835; Phelps, Samuel/0000-0002-9784-2305; Polissar, Pratigya/0000-0001-5483-1625; Ausin, Blanca/0000-0001-9492-2812</t>
  </si>
  <si>
    <t>ETH Zurich</t>
  </si>
  <si>
    <t>ETH Zurich(ETH Zurich)</t>
  </si>
  <si>
    <t>Sediment samples were provided by the Integrated Ocean Drilling Program (IODP). The authors thank Madallina Jaggi and Stewart Bishop from Climate Geology Group at the ETH Zurich from their support in laboratory analysis and Ivan Hernandez-Almeida for his assistance with Site 1406A chronology. We also thank Stephen Gallagher and one anonymous reviewer for their comments and suggestions to improve this manuscript. This research was funded by ETH Zurich. Compilation of new data generated for this work can be found in Table S1 in the supporting information.</t>
  </si>
  <si>
    <t>2572-4517</t>
  </si>
  <si>
    <t>2572-4525</t>
  </si>
  <si>
    <t>PALEOCEANOGR PALEOCL</t>
  </si>
  <si>
    <t>Paleoceanogr. Paleoclimatology</t>
  </si>
  <si>
    <t>10.1029/2019PA003638</t>
  </si>
  <si>
    <t>Geosciences, Multidisciplinary; Oceanography; Paleontology</t>
  </si>
  <si>
    <t>Geology; Oceanography; Paleontology</t>
  </si>
  <si>
    <t>JL2TL</t>
  </si>
  <si>
    <t>WOS:000495384600005</t>
  </si>
  <si>
    <t>Wilmes, SB; Schmittner, A; Green, JAM</t>
  </si>
  <si>
    <t>Wilmes, S-B; Schmittner, A.; Green, J. A. M.</t>
  </si>
  <si>
    <t>Glacial Ice Sheet Extent Effects on Modeled Tidal Mixing and the Global Overturning Circulation</t>
  </si>
  <si>
    <t>OCEAN TIDES; INTERNAL WAVES; SOUTHERN-OCEAN; ATLANTIC-OCEAN; NORTH-ATLANTIC; CLIMATE MODEL; POLAR OCEAN; DISSIPATION; MAXIMUM; SENSITIVITY</t>
  </si>
  <si>
    <t>At present, tides supply approximately half (1 TW) of the energy necessary to sustain the global deep meridional overturning circulation (MOC) through diapycnal mixing. During the Last Glacial Maximum (LGM; 19,000-26,500 years BP), tidal dissipation in the open ocean may have strongly increased due to the 120- to 130-m global mean sea level drop and changes in ocean basin shape. However, few investigations into LGM climate and ocean circulation consider LGM tidal mixing changes. Here, using an intermediate complexity climate model, we present a detailed investigation on how changes in tidal dissipation would affect the global MOC. Present-day and LGM tidal constituents M-2, S-2, K-1, and O-1 are simulated using a tide model and accounting for LGM bathymetric changes. The tide model results suggest that the LGM energy supply to the internal wave field was 1.8-3 times larger than at present and highly sensitive to Antarctic and Laurentide ice sheet extent. Including realistic LGM tide forcing in the LGM climate simulations leads to large increases in Atlantic diapycnal diffusivities and strengthens (by 14-64% at 32 degrees S) and deepens the Atlantic MOC. Increased input of tidal energy leads to a greater drawdown of North Atlantic Deep Water and mixing with Antarctic Bottom Water altering Atlantic temperature and salinity distributions. Our results imply that changes in tidal dissipation need be accounted for in paleoclimate simulation setup as they can lead to large differences in ocean mixing, the global MOC, and presumably also ocean carbon and other biogeochemical cycles.</t>
  </si>
  <si>
    <t>[Wilmes, S-B; Schmittner, A.] Oregon State Univ, Coll Environm Atmospher &amp; Ocean Sci, Corvallis, OR 97331 USA; [Wilmes, S-B; Green, J. A. M.] Bangor Univ, Sch Ocean Sci, Bangor, Gwynedd, Wales</t>
  </si>
  <si>
    <t>Oregon State University; Bangor University</t>
  </si>
  <si>
    <t>Wilmes, SB (corresponding author), Oregon State Univ, Coll Environm Atmospher &amp; Ocean Sci, Corvallis, OR 97331 USA.;Wilmes, SB (corresponding author), Bangor Univ, Sch Ocean Sci, Bangor, Gwynedd, Wales.</t>
  </si>
  <si>
    <t>s.wilmes@bangor.ac.uk</t>
  </si>
  <si>
    <t>IPO, PAGES/JXY-7546-2024; Schmittner, Andreas/O-9647-2015</t>
  </si>
  <si>
    <t>Schmittner, Andreas/0000-0002-8376-0843; Green, Mattias/0000-0001-5090-1040</t>
  </si>
  <si>
    <t>National Science Foundation [OCE-1559153]; Natural Environmental Research Council [NE/I030224/1]; Past Global Changes program; NERC [NE/I030224/1] Funding Source: UKRI</t>
  </si>
  <si>
    <t>National Science Foundation(National Science Foundation (NSF)); Natural Environmental Research Council(UK Research &amp; Innovation (UKRI)Natural Environment Research Council (NERC)); Past Global Changes program; NERC(UK Research &amp; Innovation (UKRI)Natural Environment Research Council (NERC))</t>
  </si>
  <si>
    <t>S.-B. Wilmes and A. Schmittner are funded through the National Science Foundation grant OCE-1559153. J. A. M. Green acknowledges funding from the Natural Environmental Research Council through grant NE/I030224/1. We also appreciate support from Past Global Changes program for a workshop of the Ocean Circulation and Carbon Cycle (OC3) working group in Cambridge in the summer of 2018. The tide model simulations were carried out on HPC Wales with technical support provided by Ade Fewings. The model output from the tide model and climate model simulations is available for download online (https://zenodo.org/deposit/1139242).</t>
  </si>
  <si>
    <t>10.1029/2019PA003644</t>
  </si>
  <si>
    <t>WOS:000495384600010</t>
  </si>
  <si>
    <t>Mendes, VR; Sawakuchi, AO; Chiessi, CM; Giannini, PCF; Rehfeld, K; Mulitza, S</t>
  </si>
  <si>
    <t>Mendes, Vinicius R.; Sawakuchi, Andre O.; Chiessi, Cristiano M.; Giannini, Paulo C. F.; Rehfeld, Kira; Mulitza, Stefan</t>
  </si>
  <si>
    <t>Thermoluminescence and Optically Stimulated Luminescence Measured in Marine Sediments Indicate Precipitation Changes Over Northeastern Brazil</t>
  </si>
  <si>
    <t>LAST DEGLACIATION; QUARTZ OSL; FELDSPAR; PROVENANCE; BIOMARKERS; TRANSPORT; DEPOSITS; ORIGIN; CHINA; RIVER</t>
  </si>
  <si>
    <t>Marine sediment cores offer a great number of proxies for reconstructions of past environmental conditions, such as ocean temperature, salinity, primary productivity, stratification of the upper water column, and continental precipitation. Up to date, continental precipitation archived in marine sediment cores is reconstructed based mainly on the hydrogen isotopic composition of plant-wax compounds (i.e., n-alkane delta D) or on the ratio between terrigenous and marine sediments expressed as elemental ratios (e.g., ln (Fe/Ca)). Although these proxies provide reliable precipitation reconstructions, there are some inherent limitations, as plant-wax dD application depends on the availability of n-alkanes in marine sediments and elemental ratios can be influenced by other factors like the relative sea-level, primary productivity, and postdepositional processes. Here we introduce new precipitation proxies based on optically stimulated luminescence and thermoluminescence signals of quartz and feldspar. The rationale is that when precipitation changes over the catchment through time, different sediment sources regarding weathering intensity and parent rock types are drained, supplying sediments with varying signals of luminescence to the ocean. We compared our new proxy records with records of well-established proxies, for the same (ln (Fe/Ca)) and neighboring (n-alkane dD) marine sediment cores. The comparison among all proxies as well as with a state-of-art transient climate model run (TraCE-21ka) demonstrates that the new proxies accurately constrain precipitation changes over northeastern Brazil for the last 30,000 years. The main advantage of these new proxies relies on their fast response to precipitation changes over the continent. Furthermore, they are straightforward to measure and not expensive.</t>
  </si>
  <si>
    <t>[Mendes, Vinicius R.; Sawakuchi, Andre O.; Giannini, Paulo C. F.] Univ Sao Paulo, Dept Sedimentary Geol, Luminescence &amp; Gamma Spectrometry Lab LEGaL, Sao Paulo, Brazil; [Mendes, Vinicius R.] Univ Fed Sao Paulo, Inst Marine Sci, Sao Paulo, Brazil; [Chiessi, Cristiano M.] Univ Sao Paulo, Sch Arts Sci &amp; Humanities, Santos, Brazil; [Rehfeld, Kira] British Antarctic Survey, Cambridge, England; [Rehfeld, Kira] Heidelberg Univ, Inst Environm Phys, Heidelberg, Germany; [Mulitza, Stefan] Univ Bremen, MARUM Ctr Marine Environm Sci, Bremen, Germany</t>
  </si>
  <si>
    <t>Universidade de Sao Paulo; Universidade Federal de Sao Paulo (UNIFESP); Universidade de Sao Paulo; UK Research &amp; Innovation (UKRI); Natural Environment Research Council (NERC); NERC British Antarctic Survey; Ruprecht Karls University Heidelberg; University of Bremen</t>
  </si>
  <si>
    <t>Mendes, VR (corresponding author), Univ Sao Paulo, Dept Sedimentary Geol, Luminescence &amp; Gamma Spectrometry Lab LEGaL, Sao Paulo, Brazil.;Mendes, VR (corresponding author), Univ Fed Sao Paulo, Inst Marine Sci, Sao Paulo, Brazil.</t>
  </si>
  <si>
    <t>vrm.unifesp@gmail.com</t>
  </si>
  <si>
    <t>Giannini, Paulo César Fonseca/D-1871-2015; mendes, vinicius ribau/P-7064-2016; Sawakuchi, André O/D-1445-2013; Chiessi, Cristiano Mazur/E-1916-2012; Mulitza, Stefan/G-5357-2011; Chiessi, Cristiano Mazur/JAZ-0806-2023; Rehfeld, Kira/O-1781-2019</t>
  </si>
  <si>
    <t>Giannini, Paulo César Fonseca/0000-0003-1046-0177; mendes, vinicius ribau/0000-0003-1072-8292; Chiessi, Cristiano Mazur/0000-0003-3318-8022; Chiessi, Cristiano Mazur/0000-0003-3318-8022; Rehfeld, Kira/0000-0002-9442-5362; Sawakuchi, Andre/0000-0001-5016-2428</t>
  </si>
  <si>
    <t>FAPESP [2013/21942-4, 2009/53988-8, 2018/15123-4]; CAPES [88887.123926/2015-00, 564/2015, 88881.313535/2019-01]; CNPq [304727/2017-2, 302607/2016-1, 422255/2016-5, 308772/2018-0, 428341/2018-7]; Alexander von Humboldt Foundation; German Research Foundation (DFG) [RE3994-1/1, RE3994-2/1]; NERC [bas0100034] Funding Source: UKRI; Fundacao de Amparo a Pesquisa do Estado de Sao Paulo (FAPESP) [09/53988-8, 18/15123-4] Funding Source: FAPESP</t>
  </si>
  <si>
    <t>FAPESP(Fundacao de Amparo a Pesquisa do Estado de Sao Paulo (FAPESP)); CAPES(Coordenacao de Aperfeicoamento de Pessoal de Nivel Superior (CAPES)); CNPq(Conselho Nacional de Desenvolvimento Cientifico e Tecnologico (CNPQ)); Alexander von Humboldt Foundation(Alexander von Humboldt Foundation); German Research Foundation (DFG)(German Research Foundation (DFG)); NERC(UK Research &amp; Innovation (UKRI)Natural Environment Research Council (NERC)); Fundacao de Amparo a Pesquisa do Estado de Sao Paulo (FAPESP)(Fundacao de Amparo a Pesquisa do Estado de Sao Paulo (FAPESP))</t>
  </si>
  <si>
    <t>V. R. M. acknowledges the financial support from FAPESP (2013/21942-4) and CAPES (88887.123926/2015-00). A. O. S. is supported by CNPq (grant 304727/2017-2) and FAPESP (grant 2009/53988-8). C. M. C. acknowledges the financial support from FAPESP (grant 2018/15123-4), CAPES (grants 564/2015 and 88881.313535/2019-01), CNPq (grants 302607/2016-1 and 422255/2016-5), and the Alexander von Humboldt Foundation. P. C. F. G. acknowledges the financial support from CNPq (grants 308772/2018-0 and 428341/2018-7), K. R. acknowledges funding by the German Research Foundation (DFG grants RE3994-1/1 and RE3994-2/1). Data are available at www.pangaea.de (https://doi.pangaea.de/10.1594/PANGAEA.904357).</t>
  </si>
  <si>
    <t>10.1029/2019PA003691</t>
  </si>
  <si>
    <t>WOS:000495384600012</t>
  </si>
  <si>
    <t>Moran, AL; Harasewych, MG; Miller, BA; Woods, HA; Tobalske, BW; Marko, PB</t>
  </si>
  <si>
    <t>Moran, A. L.; Harasewych, M. G.; Miller, B. A.; Woods, H. A.; Tobalske, B. W.; Marko, P. B.</t>
  </si>
  <si>
    <t>Extraordinarily long development of the Antarctic gastropod Antarctodomus thielei (Neogastropoda: Buccinoidea)</t>
  </si>
  <si>
    <t>JOURNAL OF MOLLUSCAN STUDIES</t>
  </si>
  <si>
    <t>MARINE-INVERTEBRATES; MOLLUSKS; LARVAE; REPRODUCTION; TEMPERATURE; PREDATION; COLD; SEA; ENCAPSULATION; ADAPTATION</t>
  </si>
  <si>
    <t>Antarctic animals share many traits that are attributed to evolution in a stable, extremely cold climate. Among invertebrates, development is exceptionally slow, making observational studies of development logistically challenging, particularly when conducted under natural conditions in the field. Using multiple deployments to McMurdo Station, Antarctica, we characterized the development, in the field, of an unidentified buccinoidean gastropod species with encapsulated development. Thirteen egg capsules collected at Granite Harbor, McMurdo Sound, Ross Sea, were attached to natural rock and outplanted at a depth of similar to 25 m at the base of the McMurdo Intake Jetty on 2 December 2007, photographed on 5 October 2011 and 6 September 2012 and then returned to the laboratory on 27 November 2015. In 2015, four capsules were open and empty, five were open and contained a single large hatchling and the remaining four capsules were intact but not open, each containing a single large juvenile snail. To identify the developing embryos, we sequenced mitochondrial cytochrome c oxidase subunit I (COI) from two hatchlings and compared those sequences with those from adults collected near the egg mass, as well as with sequences of other buccinoideans from GenBank. Based on the close match between hatchling and adult COI sequences (hatchling sequences differed from those of an adult at only 2 of 658 nucleotide positions), we identified the embryos as Antarctodomus thielei (Powell, 1958)). The egg mass morphology and development of this species have not been previously described. Our study shows that A. thielei has a development time of more than 8 years, which is the longest measured for any gastropod.</t>
  </si>
  <si>
    <t>[Moran, A. L.; Miller, B. A.; Marko, P. B.] Univ Hawaii Manoa, Dept Biol, 2538 McCarthy Mall EDM 216, Honolulu, HI 96822 USA; [Harasewych, M. G.] Smithsonian Inst, Dept Invertebrate Zool, Natl Museum Nat Hist, MRC-163,POB 37012, Washington, DC 20013 USA; [Woods, H. A.; Tobalske, B. W.] Univ Montana, Div Biol Sci, 32 Campus Dr, Missoula, MT 59812 USA</t>
  </si>
  <si>
    <t>University of Hawaii System; University of Hawaii Manoa; Smithsonian Institution; Smithsonian National Museum of Natural History; University of Montana System; University of Montana</t>
  </si>
  <si>
    <t>Moran, AL (corresponding author), Univ Hawaii Manoa, Dept Biol, 2538 McCarthy Mall EDM 216, Honolulu, HI 96822 USA.</t>
  </si>
  <si>
    <t>morana@hawaii.edu</t>
  </si>
  <si>
    <t>Moran, Amy L/F-7072-2011</t>
  </si>
  <si>
    <t>Moran, Amy/0000-0002-0604-5096</t>
  </si>
  <si>
    <t>National Science Foundation [PLR-1341476, PLR-1341485]</t>
  </si>
  <si>
    <t>National Science Foundation(National Science Foundation (NSF))</t>
  </si>
  <si>
    <t>This research was supported by the National Science Foundation (PLR-1341476 to A.L.M. and PLR-1341485 to H.A.W. and B.W.T.). We thank the support staff at McMurdo Station, Antarctica. We thank Yolanda Villacampa (USNM), for assistance with scanning electron microscopy, and we thank Yuri Kantor and Jim McClintock for helpful comments on the manuscript.</t>
  </si>
  <si>
    <t>OXFORD UNIV PRESS</t>
  </si>
  <si>
    <t>GREAT CLARENDON ST, OXFORD OX2 6DP, ENGLAND</t>
  </si>
  <si>
    <t>0260-1230</t>
  </si>
  <si>
    <t>1464-3766</t>
  </si>
  <si>
    <t>J MOLLUS STUD</t>
  </si>
  <si>
    <t>J. Molluscan Stud.</t>
  </si>
  <si>
    <t>10.1093/mollus/eyz015</t>
  </si>
  <si>
    <t>Marine &amp; Freshwater Biology; Zoology</t>
  </si>
  <si>
    <t>JI6FC</t>
  </si>
  <si>
    <t>WOS:000493561900004</t>
  </si>
  <si>
    <t>Masello, JF; Quillfeldt, P; Sandoval-Castellanos, E; Alderman, R; Calderón, L; Cherel, Y; Cole, TL; Cuthbert, RJ; Marin, M; Massaro, M; Navarro, J; Phillips, RA; Ryan, PG; Shepherd, LD; Suazo, CG; Weimerskirch, H; Moodley, Y</t>
  </si>
  <si>
    <t>Masello, Juan F.; Quillfeldt, Petra; Sandoval-Castellanos, Edson; Alderman, Rachael; Calderon, Luciano; Cherel, Yves; Cole, Theresa L.; Cuthbert, Richard J.; Marin, Manuel; Massaro, Melanie; Navarro, Joan; Phillips, Richard A.; Ryan, Peter G.; Shepherd, Lara D.; Suazo, Cristian G.; Weimerskirch, Henri; Moodley, Yoshan</t>
  </si>
  <si>
    <t>Additive Traits Lead to Feeding Advantage and Reproductive Isolation, Promoting Homoploid Hybrid Speciation</t>
  </si>
  <si>
    <t>MOLECULAR BIOLOGY AND EVOLUTION</t>
  </si>
  <si>
    <t>homoploid hybrid speciation; additive traits; increased hybrid fitness; Procellariiformes; reproductive isolation; seabird</t>
  </si>
  <si>
    <t>APPROXIMATE BAYESIAN COMPUTATION; TRANSGRESSIVE SEGREGATION; ADAPTIVE RADIATION; PACHYPTILA-VITTATA; STATISTICAL-METHOD; GENETIC ADMIXTURE; MOLECULAR-RATE; MODEL CHOICE; FAIRY PRION; BODY-MASS</t>
  </si>
  <si>
    <t>Speciation through homoploid hybridization (HHS) is considered extremely rare in animals. This is mainly because the establishment of reproductive isolation as a product of hybridization is uncommon. Additionally, many traits are underpinned by polygeny and/or incomplete dominance, where the hybrid phenotype is an additive blend of parental characteristics. Phenotypically intermediate hybrids are usually at a fitness disadvantage compared with parental species and tend to vanish through backcrossing with parental population(s). It is therefore unknown whether the additive nature of hybrid traits in itself could lead successfully to HHS. Using a multi-marker genetic data set and a meta-analysis of diet and morphology, we investigated a potential case of HHS in the prions (Pachyptila spp.), seabirds distinguished by their bills, prey choice, and timing of breeding. Using approximate Bayesian computation, we show that the medium-billed Salvin's prion (Pachyptila salvini) could be a hybrid between the narrow-billed Antarctic prion (Pachyptila desolata) and broad-billed prion (Pachyptila vittata). Remarkably, P. salvini's intermediate bill width has given it a feeding advantage with respect to the other Pachyptila species, allowing it to consume a broader range of prey, potentially increasing its fitness. Available metadata showed that P. salvini is also intermediate in breeding phenology and, with no overlap in breeding times, it is effectively reproductively isolated from either parental species through allochrony. These results provide evidence for a case of HHS in nature, and show for the first time that additivity of divergent parental traits alone can lead directly to increased hybrid fitness and reproductive isolation.</t>
  </si>
  <si>
    <t>[Masello, Juan F.; Quillfeldt, Petra; Calderon, Luciano; Cole, Theresa L.; Suazo, Cristian G.] Justus Liebig Univ Giessen, Dept Anim Ecol &amp; Systemat, Giessen, Germany; [Sandoval-Castellanos, Edson] Univ Kiel, Inst Anim Breeding &amp; Husb, Kiel, Germany; [Alderman, Rachael] Dept Primary Ind Pk Water &amp; Environm, Hobart, Tas, Australia; [Cherel, Yves; Weimerskirch, Henri] Univ La Rochelle, UMR 7372, CNRS, Ctr Etud Biol Chize, Villiers En Bois, France; [Cole, Theresa L.] Manaaki Whenua Landcare Res, Canterbury, New Zealand; [Cuthbert, Richard J.] RSPB, Sandy, Beds, England; [Marin, Manuel] Nat Hist Museum Los Angeles Cty, Sect Ornithol, Los Angeles, CA USA; [Marin, Manuel] Feather Link Inc, Cincinnati, OH USA; [Massaro, Melanie] Charles Sturt Univ, Sch Environm Sci, Inst Land Water &amp; Soc, Albury, NSW, Australia; [Navarro, Joan] CSIC, Inst Ciencies Mar, Barcelona, Spain; [Phillips, Richard A.] NERC, British Antarctic Survey, Cambridge, England; [Ryan, Peter G.] Univ Cape Town, DST NRF Ctr Excellence, FitzPatrick Inst African Ornithol, Rondebosch, South Africa; [Shepherd, Lara D.] Museum New Zealand Te Papa Tongarewa, Wellington, New Zealand; [Moodley, Yoshan] Univ Venda, Dept Zool, Private Bag X5050, ZA-0950 Thohoyandou, South Africa</t>
  </si>
  <si>
    <t>Justus Liebig University Giessen; University of Kiel; La Rochelle Universite; Centre National de la Recherche Scientifique (CNRS); CNRS - Institute of Ecology &amp; Environment (INEE); Landcare Research - New Zealand; Royal Society for Protection of Birds; Charles Sturt University; Consejo Superior de Investigaciones Cientificas (CSIC); CSIC - Centro Mediterraneo de Investigaciones Marinas y Ambientales (CMIMA); CSIC - Instituto de Ciencias del Mar (ICM); UK Research &amp; Innovation (UKRI); Natural Environment Research Council (NERC); NERC British Antarctic Survey; National Research Foundation - South Africa; University of Cape Town; University of Venda</t>
  </si>
  <si>
    <t>Moodley, Y (corresponding author), Univ Venda, Dept Zool, Private Bag X5050, ZA-0950 Thohoyandou, South Africa.</t>
  </si>
  <si>
    <t>yoshan.moodley@univen.ac.za</t>
  </si>
  <si>
    <t>Shepherd, Lara D/E-6663-2011; Navarro, Joan/C-2119-2009; Calderon, Luciano/O-7470-2014; Weimerskirch, Henri/F-5562-2013; Masello, Juan Francisco/C-7133-2009; Quillfeldt, Petra/A-9549-2009; Massaro, Melanie/P-4791-2017</t>
  </si>
  <si>
    <t>Navarro, Joan/0000-0002-5756-9543; Shepherd, Lara/0000-0002-7136-0017; Suazo, Cristian/0000-0003-3336-3660; Masello, Juan Francisco/0000-0002-6826-4016; Quillfeldt, Petra/0000-0002-4450-8688; Moodley, Yoshan/0000-0003-4216-2924; Massaro, Melanie/0000-0001-9039-1268; Cole, Theresa/0000-0002-0197-286X</t>
  </si>
  <si>
    <t>Deutsche Forschungsgemeinschaft (Germany), Heisenberg program (DFG) [Qu 148-5]; Natural Environment Research Council (NERC); Institut Polaire Francais Paul Emile Victor [109]; Terres Australes et Antarctiques Francaises (Kerguelen); Mohamed bin Zayed Species Conservation Fund; Brian Mason Scientific and Technical Trust (Chatham Islands); Falkland Islands Government (Environmental Planning) [R21.2012]; Animal Ethics Committee of Charles Sturt University [15/092]; NERC [bas0100035] Funding Source: UKRI</t>
  </si>
  <si>
    <t>Deutsche Forschungsgemeinschaft (Germany), Heisenberg program (DFG)(German Research Foundation (DFG)); Natural Environment Research Council (NERC)(UK Research &amp; Innovation (UKRI)Natural Environment Research Council (NERC)); Institut Polaire Francais Paul Emile Victor; Terres Australes et Antarctiques Francaises (Kerguelen); Mohamed bin Zayed Species Conservation Fund; Brian Mason Scientific and Technical Trust (Chatham Islands); Falkland Islands Government (Environmental Planning); Animal Ethics Committee of Charles Sturt University; NERC(UK Research &amp; Innovation (UKRI)Natural Environment Research Council (NERC))</t>
  </si>
  <si>
    <t>This work was supported by the Deutsche Forschungsgemeinschaft (Germany), Heisenberg program (grant number DFG, Qu 148-5 to P.Q.), a CGS award from the Natural Environment Research Council (NERC), the Institut Polaire Francais Paul Emile Victor (Programme No 109, to H.W.), the Terres Australes et Antarctiques Francaises (Kerguelen), Mohamed bin Zayed Species Conservation Fund and the Brian Mason Scientific and Technical Trust (Chatham Islands). The study involved wild individuals and was carried out under permits from the Falkland Islands Government (Environmental Planning: R21.2012), Government of South Georgia and the South Sandwich Islands, Animal Ethic Committee of the Institut Polaire Francais Paul Emile Victor, Prefet des Terres Australes et Antarctiques Francaises, the Animal Ethics Committee of Charles Sturt University (15/092), and the New Zealand Department of Conservation. We thank the New Island Conservation Trust with assistance from Ian, Maria and Georgina Strange, Benno H. Luthi, Klemens Putz, and Gerhard Meyer from the Antarctic Research Trust, Boglarka Balint, Ruth Brown, A. Corbeau, J. Ferrer-Obiol, T. Lacombe, H. Mihailou, Gopi K. Munimanda, ColinMiskelly, D. Paris, and M. Passerault.</t>
  </si>
  <si>
    <t>0737-4038</t>
  </si>
  <si>
    <t>1537-1719</t>
  </si>
  <si>
    <t>MOL BIOL EVOL</t>
  </si>
  <si>
    <t>Mol. Biol. Evol.</t>
  </si>
  <si>
    <t>10.1093/molbev/msz090</t>
  </si>
  <si>
    <t>Biochemistry &amp; Molecular Biology; Evolutionary Biology; Genetics &amp; Heredity</t>
  </si>
  <si>
    <t>JH8UH</t>
  </si>
  <si>
    <t>Green Published, Green Accepted, Green Submitted, hybrid</t>
  </si>
  <si>
    <t>WOS:000493042600007</t>
  </si>
  <si>
    <t>Wang, CY; Bong, LJ; Neoh, KB</t>
  </si>
  <si>
    <t>Wang, Chia-Yu; Bong, Lee-Jin; Neoh, Kok-Boon</t>
  </si>
  <si>
    <t>Adult Paederus fuscipes (Coleoptera: Staphylinidae) Beetles Overcome Water Loss With Increased Total Body Water Content, Energy Metabolite Storage, and Reduced Cuticular Permeability: Age, Sex-Specific, and Mating Status Effects on Desiccation</t>
  </si>
  <si>
    <t>ENVIRONMENTAL ENTOMOLOGY</t>
  </si>
  <si>
    <t>rove beetle; desiccation tolerance; body lipid content; energy metabolite reserves</t>
  </si>
  <si>
    <t>DROSOPHILA-MELANOGASTER; SUBZERO TEMPERATURES; DEHYDRATION STRESS; ANTARCTIC MIDGE; RESISTANCE; TOLERANCE; TREHALOSE; INSECT; LARVAE; HYDROCARBONS</t>
  </si>
  <si>
    <t>The ability of Paederus beetles to resist desiccation stress is vital to their adaptability in various ecological niches. How water relations and their response to desiccation vary among adult beetles of different age, sex, and mating status is unclear. We examined the water relations of adult Paederus fuscipes Curtis and the mechanisms used to reduce desiccation stress. One-day-old beetles had an exceptionally high percent total body water (%TBW) content and tolerated a high level of %TBW loss. Newly emerged beetles contained a high level of trehalose and 40 to 60% lipid content of their total dry mass, which allowed them to endure desiccation. Beetles that were 10 wk old and older exhibited reduced cuticular permeability. Glucose, glycogen, and lipid contents were crucial throughout most of the adult life span, as they helped compensate for water loss via increased water vapor absorption and metabolic water. In particular, the accumulation of lipid after mating was significant and may further confer tolerance to water loss. The effect of melanization on the desiccation tolerance of beetles was not significant. Females had better tolerance in response to desiccation stress compared with males. We suggest that the observed differences between sexes likely were a function of water relations and an effect of energy metabolite reserves. However, the mortality of females at 24-h postdesiccating stage was marginally significant compared with males.These results demonstrate that P. fuscipes adults prevent dehydration using multiple mechanisms that collectively reduce desiccation stress and increase dehydration tolerance.</t>
  </si>
  <si>
    <t>[Wang, Chia-Yu; Bong, Lee-Jin; Neoh, Kok-Boon] Natl Chung Hsing Univ, Dept Entomol, 145 Xingda Rd, Taichung 402, Taiwan</t>
  </si>
  <si>
    <t>National Chung Hsing University</t>
  </si>
  <si>
    <t>Neoh, KB (corresponding author), Natl Chung Hsing Univ, Dept Entomol, 145 Xingda Rd, Taichung 402, Taiwan.</t>
  </si>
  <si>
    <t>neohkokboon@nchu.edu.tw</t>
  </si>
  <si>
    <t>Neoh, Kok-Boon/A-4070-2011</t>
  </si>
  <si>
    <t>Neoh, Kok Boon/0000-0003-0330-1493</t>
  </si>
  <si>
    <t>Ministry of Science and Technology [MOST 105-2313-B-005-004-MY2]; Ministry of Education, Taiwan</t>
  </si>
  <si>
    <t>Ministry of Science and Technology(Spanish Government); Ministry of Education, Taiwan(Ministry of Education, Taiwan)</t>
  </si>
  <si>
    <t>We thank anonymous referees whose comments greatly improved the manuscript. This study was supported by a grant from the Ministry of Science and Technology (MOST 105-2313-B-005-004-MY2) and the Ministry of Education, Taiwan.</t>
  </si>
  <si>
    <t>OXFORD UNIV PRESS INC</t>
  </si>
  <si>
    <t>CARY</t>
  </si>
  <si>
    <t>JOURNALS DEPT, 2001 EVANS RD, CARY, NC 27513 USA</t>
  </si>
  <si>
    <t>0046-225X</t>
  </si>
  <si>
    <t>1938-2936</t>
  </si>
  <si>
    <t>ENVIRON ENTOMOL</t>
  </si>
  <si>
    <t>Environ. Entomol.</t>
  </si>
  <si>
    <t>10.1093/ee/nvz065</t>
  </si>
  <si>
    <t>Entomology</t>
  </si>
  <si>
    <t>JH9KH</t>
  </si>
  <si>
    <t>WOS:000493086500015</t>
  </si>
  <si>
    <t>Sauermilch, I; Whittaker, JM; Bijl, PK; Totterdell, JM; Jokat, W</t>
  </si>
  <si>
    <t>Sauermilch, I.; Whittaker, J. M.; Bijl, P. K.; Totterdell, J. M.; Jokat, W.</t>
  </si>
  <si>
    <t>Tectonic, Oceanographic, and Climatic Controls on the Cretaceous-Cenozoic Sedimentary Record of the Australian-Antarctic Basin</t>
  </si>
  <si>
    <t>JOURNAL OF GEOPHYSICAL RESEARCH-SOLID EARTH</t>
  </si>
  <si>
    <t>sedimentary processes; Australian Antarctic margins; IODP drilling; Eocene-Oligocene</t>
  </si>
  <si>
    <t>OFFSHORE WILKES LAND; EAST ANTARCTICA; OTWAY BASIN; ICE-SHEET; SEISMIC STRATIGRAPHY; CONTINENTAL-MARGIN; DINOFLAGELLATE CYST; BIGHT BASIN; EVOLUTION; EOCENE</t>
  </si>
  <si>
    <t>Understanding the patterns and characteristics of sedimentary deposits on the conjugate Australian-Antarctic margins is critical to reveal the Cretaceous-Cenozoic tectonic, oceanographic, and climatic conditions in the basin. However, unraveling its evolution has remained difficult due to the different seismic stratigraphic interpretations on each margin and sparse drill sites. Here, for the first time, we collate all available seismic reflection profiles on both margins and use newly available offshore drilling data to develop a consistent seismic stratigraphic framework across the Australian-Antarctic basins. We find sedimentation patterns similar in structure and thickness, prior to the onset of Antarctic glaciation, enabling the basinwide correlation of four major sedimentary units and their depositional history. We interpret that during the warm and humid Late Cretaceous (similar to 83-65 Ma), large onshore river systems on both Australia and Antarctica resulted in deltaic sediment deposition offshore. We interpret that the onset of clockwise bottom currents during the early Paleogene (similar to 58-48 Ma) formed prominent sediment drift deposits along both continental rises. We suggest that these currents strengthened and progressed farther east through the Eocene. Coevally, global cooling (&lt;48 Ma) and progressive aridification led to a large-scale decrease in sediment input from both continents. Two major Eocene hiatuses recovered by the Integrated Ocean Discovery Program site U1356A at the Antarctic continental slope likely formed during this preglacial phase of low sedimentation and strong bottom currents. Our results can be used to constrain future paleo-oceanographic modeling of this region and aid the understanding of the oceanographic changes accompanying the transition from a greenhouse to icehouse world.</t>
  </si>
  <si>
    <t>[Sauermilch, I.; Whittaker, J. M.] Univ Tasmania, Inst Marine &amp; Antarctic Studies, Hobart, Tas, Australia; [Bijl, P. K.] Univ Utrecht, Fac Geosci, Dept Earth Sci, Utrecht, Netherlands; [Totterdell, J. M.] Geosci Australia, Canberra, ACT, Australia; [Jokat, W.] Alfred Wegener Inst Polar &amp; Marine Sci, Bremerhaven, Germany</t>
  </si>
  <si>
    <t>University of Tasmania; Utrecht University; Geoscience Australia; Helmholtz Association; Alfred Wegener Institute, Helmholtz Centre for Polar &amp; Marine Research</t>
  </si>
  <si>
    <t>Sauermilch, I (corresponding author), Univ Tasmania, Inst Marine &amp; Antarctic Studies, Hobart, Tas, Australia.</t>
  </si>
  <si>
    <t>isabel.sauermilch@utas.edu.au</t>
  </si>
  <si>
    <t>; Whittaker, Joanne/B-3695-2010</t>
  </si>
  <si>
    <t>Jokat, Wilfried/0000-0002-7793-5854; Whittaker, Joanne/0000-0002-3170-3935; Sauermilch, Dr Isabel/0000-0003-4639-6699</t>
  </si>
  <si>
    <t>Australian Research Councils Special Research Initiative for Antarctic Gateway Partnership [SR140300001]; Australian Research Council [DP180102280]; European Research Council [802835]; European Research Council (ERC) [802835] Funding Source: European Research Council (ERC)</t>
  </si>
  <si>
    <t>Australian Research Councils Special Research Initiative for Antarctic Gateway Partnership(Australian Research Council); Australian Research Council(Australian Research Council); European Research Council(European Research Council (ERC)); European Research Council (ERC)(European Research Council (ERC)Spanish Government)</t>
  </si>
  <si>
    <t>We thank the SCAR community (Seismic Data Library System), Geoscience Australia, and Spectrum Geo Ltd for providing the seismic reflection and refraction data sets. We acknowledge IHS Markit for the provision of IHS Kingdom software used in this research. We thank Sean Gulick, German Leitchenkov, Dietmar Muller and two anonymous reviewers for the very constructive and helpful comments. Furthermore, we thank Alexey Goncharov, Howie Scher, Carlota Escutia, and Michele Rebesco for the very helpful discussions. I. S. was supported under Australian Research Councils Special Research Initiative for Antarctic Gateway Partnership (project ID SR140300001). J. M. W. acknowledges funding from the Australian Research Council DP180102280. P.K.B. acknowledges funding through European Research Council grant no. 802835 'OceaNice'. J. M. T. publishes with the permission of the Chief Executive Officer, Geoscience Australia. The horizon grids presented in this study are available for download (DOI: 10.25959/5ba2cae0eb62a).</t>
  </si>
  <si>
    <t>2169-9313</t>
  </si>
  <si>
    <t>2169-9356</t>
  </si>
  <si>
    <t>J GEOPHYS RES-SOL EA</t>
  </si>
  <si>
    <t>J. Geophys. Res.-Solid Earth</t>
  </si>
  <si>
    <t>10.1029/2018JB016683</t>
  </si>
  <si>
    <t>JF3JW</t>
  </si>
  <si>
    <t>WOS:000491283500010</t>
  </si>
  <si>
    <t>Hecht, M; Veneziani, M; Weijer, W; Kravitz, B; Burrows, S; Comeau, D; Hunke, E; Jeffery, N; Urrego-Blanco, J; Wang, HL; Wang, SL; Zhang, JX; Bailey, D; Mills, C; Rasch, P; Urban, N</t>
  </si>
  <si>
    <t>Hecht, Matthew; Veneziani, Milena; Weijer, Wilbert; Kravitz, Ben; Burrows, Susannah; Comeau, Darin; Hunke, Elizabeth; Jeffery, Nicole; Urrego-Blanco, Jorge; Wang, Hailong; Wang, Shanlin; Zhang, Jiaxu; Bailey, David; Mills, Catrin; Rasch, Philip; Urban, Nathan</t>
  </si>
  <si>
    <t>E3SMv0-HiLAT: A Modified Climate System Model Targeted for the Study of High-Latitude Processes</t>
  </si>
  <si>
    <t>JOURNAL OF ADVANCES IN MODELING EARTH SYSTEMS</t>
  </si>
  <si>
    <t>ANTARCTIC SEA-ICE; ELEMENT DYNAMICAL CORE; SURFACE MASS-BALANCE; DROPLET NUMBER; NORTH-ATLANTIC; SHEET MODEL; MELT PONDS; CAM-SE; COMMUNITY; SENSITIVITY</t>
  </si>
  <si>
    <t>We document the configuration, tuning, and evaluation of a modified version of the Community Earth System Model version 1 (Hurrell et al., 2013, https://doi.org/10.1175/BAMS-D-12-00121.1), introduced here as E3SMv0-HiLAT, intended for study of high-latitude processes. E3SMv0-HiLAT incorporates changes to the atmospheric model affecting aerosol transport to high northern latitudes and to reduce shortwave cloud bias over the Southern Ocean. An updated sea ice model includes biogeochemistry that is coupled to an extended version of the ocean model's biogechemistry. This enables cloud nucleation to depend on the changing marine emissions of aerosol precursors, which may be expected in scenarios with strongly changing sea ice extent, oceanic stratification and associated nutrient availability, and atmospheric state. An evaluation of the basic preindustrial state of E3SMv0-HiLAT is presented in order to ensure that its climate is adequate to support future experimentation. Additional capability is not achieved without some cost, relative to the extraordinarily well-tuned model from which it was derived. In particular, a reduction of bias in cloud forcing achieved over the Southern Hemisphere also allows for greater Southern Ocean sea ice extent, a tendency that has been partially but not fully alleviated through experimentation and tuning. The most interesting change in the behavior of the model may be its response to greenhouse gas forcing: While the climate sensitivity is found to be essentially unchanged from that of Community Earth System Model version 1, the adjusted radiative forcing has increased from within one standard deviation above that of Coupled Model Intercomparison Project Phase 5 models to nearly two standard deviations.</t>
  </si>
  <si>
    <t>[Hecht, Matthew; Veneziani, Milena; Weijer, Wilbert; Comeau, Darin; Hunke, Elizabeth; Jeffery, Nicole; Urrego-Blanco, Jorge; Wang, Shanlin; Zhang, Jiaxu; Urban, Nathan] Los Alamos Natl Lab, Los Alamos, NM 87545 USA; [Kravitz, Ben; Burrows, Susannah; Wang, Hailong; Mills, Catrin; Rasch, Philip] Pacific Northwest Natl Lab, Richland, WA 99352 USA; [Kravitz, Ben] Indiana Univ, Dept Earth &amp; Atmospher Sci, Bloomington, IN USA; [Wang, Shanlin] Xiamen Univ, Xiamen, Fujian, Peoples R China; [Bailey, David] Natl Ctr Atmospher Res, POB 3000, Boulder, CO 80307 USA; [Mills, Catrin] Amazon Web Serv, Seattle, WA USA</t>
  </si>
  <si>
    <t>United States Department of Energy (DOE); Los Alamos National Laboratory; United States Department of Energy (DOE); Pacific Northwest National Laboratory; Indiana University System; Indiana University Bloomington; Xiamen University; National Center Atmospheric Research (NCAR) - USA; Amazon.com</t>
  </si>
  <si>
    <t>Hecht, M (corresponding author), Los Alamos Natl Lab, Los Alamos, NM 87545 USA.</t>
  </si>
  <si>
    <t>mhecht@lanl.gov</t>
  </si>
  <si>
    <t>Wang, Shanlin/A-2576-2017; Weijer, Wilbert/A-7909-2010; Wang, Hailong/AAM-1464-2021; Rasch, Philip J/F-7978-2018; Weijer, Wilbert/AAT-3247-2021; Keyes, Dennis/AAZ-9285-2021; Urban, Nathan M/C-1455-2008; Zhang, Jiaxu/J-9571-2019; Burrows, Susannah M./A-7429-2011; Kravitz, Ben/P-7925-2014</t>
  </si>
  <si>
    <t>Weijer, Wilbert/0000-0002-5654-562X; Wang, Hailong/0000-0002-1994-4402; Weijer, Wilbert/0000-0002-5654-562X; Zhang, Jiaxu/0000-0002-8564-3026; Burrows, Susannah M./0000-0002-0745-7252; Comeau, Darin/0000-0003-4758-4253; Hunke, Elizabeth/0000-0002-7033-6031; Bailey, David/0000-0002-6584-0663; Veneziani, Milena/0000-0001-9977-4599; Kravitz, Ben/0000-0001-6318-1150; Urban, Nathan/0000-0002-2264-3512</t>
  </si>
  <si>
    <t>Regional and Global Model Analysis (RGMA) program of the U.S. Department of Energy's Office of Science; U.S. Department of Energy [DE-AC05-76RL01830]; National Nuclear Security Administration of U.S. Department of Energy [89233218CNA000001]; Office of Science of the U.S. Department of Energy [DE-AC02-05CH11231]</t>
  </si>
  <si>
    <t>Regional and Global Model Analysis (RGMA) program of the U.S. Department of Energy's Office of Science; U.S. Department of Energy(United States Department of Energy (DOE)); National Nuclear Security Administration of U.S. Department of Energy; Office of Science of the U.S. Department of Energy(United States Department of Energy (DOE))</t>
  </si>
  <si>
    <t>This research was supported by the Regional and Global Model Analysis (RGMA) program of the U.S. Department of Energy's Office of Science as a contribution to the HiLAT project. The Pacific Northwest National Laboratory is operated for the U.S. Department of Energy by Battelle Memorial Institute under Contract DE-AC05-76RL01830. This research used resources provided by the Los Alamos National Laboratory Institutional Computing Program. Los Alamos National Laboratory is operated by Triad National Security, LLC, for the National Nuclear Security Administration of U.S. Department of Energy (Contract 89233218CNA000001). This research also used resources of the National Energy Research Scientific Computing Center, a DOE Office of Science User Facility supported by the Office of Science of the U.S. Department of Energy under Contract DE-AC02-05CH11231. This paper has been greatly improved thanks to the efforts of two anonymous reviewers and the Editors. The ship-based sea ice and snow thickness data were provided by the SCAR Antarctic Sea Ice Processes and Climate (ASPeCt) program (aspect.antarctica.gov.au). Public release of the E3SMv0-HiLAT model source code will be made available, pending review (https://github.com/lanl/E3SMv0-HiLAT).Climatological data from the final 20 years of the preindustrial control simulation is available online: atmosphere (https://doi.org/10.5281/zenodo.2554182), ocean (https://doi.org/10.5281/zenodo.2554321), and sea ice (https://doi.org/10.5281/zenodo.2554240).</t>
  </si>
  <si>
    <t>1942-2466</t>
  </si>
  <si>
    <t>J ADV MODEL EARTH SY</t>
  </si>
  <si>
    <t>J. Adv. Model. Earth Syst.</t>
  </si>
  <si>
    <t>10.1029/2018MS001524</t>
  </si>
  <si>
    <t>JE8OI</t>
  </si>
  <si>
    <t>WOS:000490949100021</t>
  </si>
  <si>
    <t>Sandhu, JK; Rae, IJ; Freeman, MP; Gkioulidou, M; Forsyth, C; Reeves, GD; Murphy, KR; Walach, MT</t>
  </si>
  <si>
    <t>Sandhu, J. K.; Rae, I. J.; Freeman, M. P.; Gkioulidou, M.; Forsyth, C.; Reeves, G. D.; Murphy, K. R.; Walach, M-T</t>
  </si>
  <si>
    <t>Substorm-Ring Current Coupling: A Comparison of Isolated and Compound Substorms</t>
  </si>
  <si>
    <t>JOURNAL OF GEOPHYSICAL RESEARCH-SPACE PHYSICS</t>
  </si>
  <si>
    <t>ring current; substorms; Van Allen; inner magnetosphere</t>
  </si>
  <si>
    <t>INTERPLANETARY MAGNETIC-FIELD; RADIATION BELT; POLAR-CAP; PLASMA; GROWTH; PARTICLE; ENERGY; WIND; ENERGIZATION; MAGNETOTAIL</t>
  </si>
  <si>
    <t>Substorms are a highly variable process, which can occur as an isolated event or as part of a sequence of multiple substorms (compound substorms). In this study we identify how the low-energy population of the ring current and subsequent energization varies for isolated substorms compared to the first substorm of a compound event. Using observations of H+ and O+ ions (1 eV to 50 keV) from the Helium Oxygen Proton Electron instrument onboard Van Allen Probe A, we determine the energy content of the ring current in L-MLT space. We observe that the ring current energy content is significantly enhanced during compound substorms as compared to isolated substorms by similar to 20-30%. Furthermore, we observe a significantly larger magnitude of energization (by similar to 40-50%) following the onset of compound substorms relative to isolated substorms. Analysis suggests that the differences predominantly arise due to a sustained enhancement in dayside driving associated with compound substorms compared to isolated substorms. The strong solar wind driving prior to onset results in important differences in the time history of the magnetosphere, generating significantly different ring current conditions and responses to substorms. The observations reveal information about the substorm injected population and the transport of the plasma in the inner magnetosphere.</t>
  </si>
  <si>
    <t>[Sandhu, J. K.; Rae, I. J.; Forsyth, C.] UCL, Mullard Space Sci Lab, Dept Space &amp; Climate Phys, London, England; [Freeman, M. P.] British Antarctic Survey, Cambridge, England; [Gkioulidou, M.] Johns Hopkins Univ, Appl Phys Lab, Baltimore, MD USA; [Reeves, G. D.] Los Alamos Natl Lab, Los Alamos, NM USA; [Murphy, K. R.] Univ Maryland, Dept Astron, College Pk, MD 20742 USA; [Walach, M-T] Univ Lancaster, Phys Dept, Lancaster, England</t>
  </si>
  <si>
    <t>University of London; University College London; UK Research &amp; Innovation (UKRI); Natural Environment Research Council (NERC); NERC British Antarctic Survey; Johns Hopkins University; Johns Hopkins University Applied Physics Laboratory; United States Department of Energy (DOE); Los Alamos National Laboratory; University System of Maryland; University of Maryland College Park; Lancaster University</t>
  </si>
  <si>
    <t>Sandhu, JK (corresponding author), UCL, Mullard Space Sci Lab, Dept Space &amp; Climate Phys, London, England.</t>
  </si>
  <si>
    <t>j.sandhu@ucl.ac.uk</t>
  </si>
  <si>
    <t>Sandhu, Jasmine/AAM-9919-2021; Rae, Jonathan/D-8132-2013; Sandhu, Jasmine/AAU-5657-2020; Reeves, Geoffrey/E-8101-2011; Walach, Maria-Theresia/AAB-1833-2020; Freeman, Mervyn/E-5687-2019; Forsyth, Colin/E-4159-2010</t>
  </si>
  <si>
    <t>Sandhu, Jasmine/0000-0001-6089-426X; Rae, Jonathan/0000-0002-2637-4786; Reeves, Geoffrey/0000-0002-7985-8098; Walach, Maria-Theresia/0000-0002-9352-0659; Murphy, Kyle/0000-0002-3063-6451; Freeman, Mervyn/0000-0002-8653-8279; Forsyth, Colin/0000-0002-0026-8395</t>
  </si>
  <si>
    <t>STFC [ST/N000722/1]; NERC [NE/P001556/1, IRFNE/N014480/1, NE/P017185/1]; NSF [1602403]; NASA [18-HGIO18_2-012, 18-HSWO2R18-0010]; Energetic Particle, Composition, and Thermal Plasma (RBSP-ECT) investigation funded under NASAs Prime [NAS5-01072]; NERC [NE/N014480/1, NE/P001556/1, NE/P017185/1, bas0100031] Funding Source: UKRI; Div Atmospheric &amp; Geospace Sciences; Directorate For Geosciences [1602403] Funding Source: National Science Foundation</t>
  </si>
  <si>
    <t>STFC(UK Research &amp; Innovation (UKRI)Science &amp; Technology Facilities Council (STFC)); NERC(UK Research &amp; Innovation (UKRI)Natural Environment Research Council (NERC)); NSF(National Science Foundation (NSF)); NASA(National Aeronautics &amp; Space Administration (NASA)); Energetic Particle, Composition, and Thermal Plasma (RBSP-ECT) investigation funded under NASAs Prime; NERC(UK Research &amp; Innovation (UKRI)Natural Environment Research Council (NERC)); Div Atmospheric &amp; Geospace Sciences; Directorate For Geosciences(National Science Foundation (NSF)NSF - Directorate for Geosciences (GEO))</t>
  </si>
  <si>
    <t>J. K. S. is supported by STFC grant ST/N000722/1 and NERC Grant NE/P017185/1, I. J. R. is supported by STFC Grant ST/N000722/1 and NERC Grant NE/P017185/1, C. F. is supported by NERC IRFNE/N014480/1, K. R. M. is supported by NSF Grant 1602403 and NASA Grants 18-HGIO18_2-012 and 18-HSWO2R18-0010, and M. -T. W. is supported by NERC Grant NE/P001556/1. Processing and analysis of the HOPE data were supported by Energetic Particle, Composition, and Thermal Plasma (RBSP-ECT) investigation funded under NASAs Prime contract NAS5-01072. All RBSP-ECT data are publicly available at theWeb site (http://www.RBSP-ect.lanl.gov/). The SML index data are publicly available online (http://supermag.jhuapl.edu). We gratefully acknowledge the SuperMAG collaborators (http://supermag.jhuapl.edu/info/? page=acknowledgement). The solar wind data and Sym-H index data are publicly available online (http://wdc.kugi.kyoto-u.ac.jp/index.html).</t>
  </si>
  <si>
    <t>2169-9380</t>
  </si>
  <si>
    <t>2169-9402</t>
  </si>
  <si>
    <t>J GEOPHYS RES-SPACE</t>
  </si>
  <si>
    <t>J. Geophys. Res-Space Phys.</t>
  </si>
  <si>
    <t>10.1029/2019JA026766</t>
  </si>
  <si>
    <t>JE8RD</t>
  </si>
  <si>
    <t>Green Accepted, Bronze, Green Published</t>
  </si>
  <si>
    <t>WOS:000490956600025</t>
  </si>
  <si>
    <t>Wang, BY; Nishimura, Y; Zhang, H; Shen, XC; Lyons, L; Angelopoulos, V; Ebihara, Y; Weatherwax, A; Gerrard, AJ; Frey, HU</t>
  </si>
  <si>
    <t>Wang, Boyi; Nishimura, Yukitoshi; Zhang, Hui; Shen, Xiao-Chen; Lyons, Larry; Angelopoulos, Vassilis; Ebihara, Yusuke; Weatherwax, Allan; Gerrard, Andrew J.; Frey, Harald U.</t>
  </si>
  <si>
    <t>The 2-D Structure of Foreshock-Driven Field Line Resonances Observed by THEMIS Satellite and Ground-Based Imager Conjunctions</t>
  </si>
  <si>
    <t>foreshock transient; field line resonance; ULF Pc5 wave; dayside aurora; all-sky imager; THEMIS</t>
  </si>
  <si>
    <t>HOT FLOW ANOMALIES; KELVIN-HELMHOLTZ INSTABILITY; DAWN-DUSK ASYMMETRY; LONG-PERIOD; BOW SHOCK; RADAR OBSERVATIONS; SOLAR-WIND; ULF WAVES; UPSTREAM; PULSATIONS</t>
  </si>
  <si>
    <t>Recent studies of Pc5-band (150-600 s) ultralow frequency waves found that foreshock disturbances can be a driver of dayside compressional waves and field line resonance, which are two typical Pc5 wave modes in the dayside magnetosphere. However, it is difficult to find spatial structure of dayside Pc5 waves using a small number of satellites or ground magnetometers. This study determines 2-D structure of dayside Pc5 waves and their driver by utilizing coordinated observations by the THEMIS satellites and the all-sky imager at South Pole during two series of Pc5 waves on 29 June 2008. These Pc5 waves were found to be field line resonances (FLRs) and driven by foreshock disturbances. The ground-based all-sky imager at South Pole shows that periodic poleward moving arcs occurred simultaneously with the FLRs near the satellite footprints over similar to 3 degrees latitude and had the same frequencies as FLRs. This indicates that they are the auroral signature of the FLRs. The azimuthal distribution of the FLRs in the magnetosphere and their north-south width in the ionosphere were further determined in the 2-D images. In the first case, the FLRs distribute symmetrically in the prenoon and postnoon regions with out-of-phase oscillation as the odd toroidal mode in the equatorial plane. In the second case, the azimuthal wavelengths of the 350-500 s and 300-450 s period waves were similar to 8.0 and similar to 5.2 Re in the equatorial plane. It also shows a fine azimuthal structure embedded in the large-scale arcs, indicating that a high azimuthal wave number (m similar to 140) mode wave coupled with the low-wave number FLRs.</t>
  </si>
  <si>
    <t>[Wang, Boyi; Shen, Xiao-Chen] Boston Univ, Dept Astron, 725 Commonwealth Ave, Boston, MA 02215 USA; [Wang, Boyi; Nishimura, Yukitoshi; Shen, Xiao-Chen] Boston Univ, Ctr Space Sci, Boston, MA 02215 USA; [Nishimura, Yukitoshi] Boston Univ, Dept Elect &amp; Comp Engn, Boston, MA 02215 USA; [Zhang, Hui] Univ Alaska Fairbanks, Inst Geophys, Fairbanks, AK 99775 USA; [Lyons, Larry] Univ Calif Los Angeles, Dept Atmospher &amp; Ocean Sci, Los Angeles, CA USA; [Angelopoulos, Vassilis] Univ Calif Los Angeles, Dept Earth Planetary &amp; Space Sci, Los Angeles, CA USA; [Ebihara, Yusuke] Kyoto Univ, Res Inst Sustainable Humanosphere, Kyoto, Japan; [Weatherwax, Allan] Merrimack Coll, Sch Sci &amp; Engn, N Andover, MA 01845 USA; [Gerrard, Andrew J.] New Jersey Inst Technol, Dept Phys, Ctr Solar Terr Res, Newark, NJ 07102 USA; [Frey, Harald U.] Univ Calif Berkeley, Space Sci Lab, Berkeley, CA 94720 USA</t>
  </si>
  <si>
    <t>Boston University; Boston University; Boston University; University of Alaska System; University of Alaska Fairbanks; University of California System; University of California Los Angeles; University of California System; University of California Los Angeles; Kyoto University; Merrimack College; New Jersey Institute of Technology; University of California System; University of California Berkeley</t>
  </si>
  <si>
    <t>Wang, BY (corresponding author), Boston Univ, Dept Astron, 725 Commonwealth Ave, Boston, MA 02215 USA.;Wang, BY (corresponding author), Boston Univ, Ctr Space Sci, Boston, MA 02215 USA.</t>
  </si>
  <si>
    <t>bywang@bu.edu</t>
  </si>
  <si>
    <t>Wang, Boyi/ISS-5370-2023; Ebihara, Yusuke/D-1638-2013; Zhang, Hui/AAO-7452-2020; Ebihara, Yusuke/ABD-4430-2021; Wang, Boyi/AAW-8655-2020</t>
  </si>
  <si>
    <t>Ebihara, Yusuke/0000-0002-2293-1557; Zhang, Hui/0000-0001-5346-7112; Ebihara, Yusuke/0000-0002-2293-1557; Weatherwax, Allan/0000-0003-4732-358X; Frey, Harald/0000-0001-8955-3282; Lyons, Larry/0000-0002-9867-3638; Gerrard, Andrew/0000-0002-9626-2085; Wang, Boyi/0000-0002-7904-1846; Angelopoulos, Vassilis/0000-0001-7024-1561</t>
  </si>
  <si>
    <t>NASA [NAS5-02099, NNX17AL22G, 80NSSC18K0657]; NSF [AGS-1352669, PLR1341359, AGS-1737823, 1716192, 1742693, ANT-1643700]; AFOSR [FA9559-16-1-0364]; National Institute of Polar Research, Japan [ANT-1643700]; International Space Science Institute-Beijing; ISSI workshop; Directorate For Geosciences; Office of Polar Programs (OPP) [1742693] Funding Source: National Science Foundation</t>
  </si>
  <si>
    <t>NASA(National Aeronautics &amp; Space Administration (NASA)); NSF(National Science Foundation (NSF)); AFOSR(United States Department of DefenseAir Force Office of Scientific Research (AFOSR)); National Institute of Polar Research, Japan; International Space Science Institute-Beijing; ISSI workshop; Directorate For Geosciences; Office of Polar Programs (OPP)(National Science Foundation (NSF)NSF - Directorate for Geosciences (GEO))</t>
  </si>
  <si>
    <t>This work was supported by NASA grants NNX17AL22G and 80NSSC18K0657, NSF grants PLR1341359 and AGS-1737823, and AFOSR FA9559-16-1-0364. The THEMIS mission is supported by NASA contract NAS5-02099. Merrimack College gratefully acknowledges support from NSF awards 1716192 and 1742693. The South Pole imager has been supported by a cooperative agreement between NSF and the National Institute of Polar Research, Japan (ANT-1643700). THEMIS, WIND/ACE, and SuperMAG data were obtained from http://themis.ssl.berkeley.edu as daily CDF files, http://spdf.gsfc.nasa.gov as daily CDF files, and http://supermag.jhuapl.edu/as daily ASCII files, respectively. Southern Hemisphere ground-based magnetometer data was obtained by British Antarctic Survey (BAS); see Rose &amp; Kirsch, 2016a, Rose &amp; Kirsch, 2016b). H. Z. is partially supported by NSF AGS-1352669, and H. Z. is also grateful to the International Space Science Institute-Beijing for supporting the international team Dayside Transient Phenomena and Their Impact on the MagnetosphereIonosphere. This work was supported by ISSI workshop Multiple-instrument observations and simulations of the dynamical processes associated with polar cap patches/aurora and their associated scintillations. Data access and processing was done using SPEDAS V3.1; see Angelopoulos et al. (2019).</t>
  </si>
  <si>
    <t>10.1029/2019JA026668</t>
  </si>
  <si>
    <t>WOS:000490956600026</t>
  </si>
  <si>
    <t>Cnossen, I; Ridley, AJ; Goncharenko, LP; Harding, BJ</t>
  </si>
  <si>
    <t>Cnossen, I; Ridley, A. J.; Goncharenko, L. P.; Harding, B. J.</t>
  </si>
  <si>
    <t>The Response of the Ionosphere-Thermosphere System to the 21 August 2017 Solar Eclipse</t>
  </si>
  <si>
    <t>eclipse; thermosphere; ionosphere</t>
  </si>
  <si>
    <t>We simulated the effects of the 21 August 2017 total solar eclipse on the ionosphere-thermosphere system with the Global Ionosphere Thermosphere Model (GITM). The simulations demonstrate that the horizontal neutral wind modifies the eclipse-induced reduction in total electron content (TEC), spreading it equatorward and westward of the eclipse path. The neutral wind also affects the neutral temperature and mass density responses through advection and the vertical wind modifies them further through adiabatic heating/cooling and compositional changes. The neutral temperature response lags behind totality by about 35 min, indicating an imbalance between heating and cooling processes during the eclipse, while the ion and electron temperature responses have almost no lag, indicating they are in quasi steady state. Simulated ion temperature and vertical drift responses are weaker than observed by the Millstone Hill Incoherent Scatter Radar, while simulated reductions in electron density and temperature are stronger. The model misses the observed posteclipse enhancement in electron density, which could be due to the lack of a plasmasphere in GITM. The simulated TEC response appears too weak compared to Global Positioning System TEC measurements, but this might be because the model does not include electron content above 550-km altitude. The simulated response in the neutral wind after the eclipse is too weak compared to Fabry Perot interferometer observations in Cariri, Brazil, which suggests that GITM recovers too quickly after the eclipse. This could be related to GITM heating processes being too strong and electron densities being too high at low latitudes.</t>
  </si>
  <si>
    <t>[Cnossen, I; Ridley, A. J.] Univ Michigan, Climate &amp; Space Sci &amp; Engn, Ann Arbor, MI 48109 USA; [Cnossen, I] British Antarctic Survey, Cambridge, England; [Goncharenko, L. P.] MIT, Haystack Observ, Westford, MA 01886 USA; [Harding, B. J.] Univ Illinois, Dept Elect &amp; Comp Engn, Urbana, IL USA</t>
  </si>
  <si>
    <t>University of Michigan System; University of Michigan; UK Research &amp; Innovation (UKRI); Natural Environment Research Council (NERC); NERC British Antarctic Survey; Massachusetts Institute of Technology (MIT); University of Illinois System; University of Illinois Urbana-Champaign</t>
  </si>
  <si>
    <t>Cnossen, I (corresponding author), Univ Michigan, Climate &amp; Space Sci &amp; Engn, Ann Arbor, MI 48109 USA.;Cnossen, I (corresponding author), British Antarctic Survey, Cambridge, England.</t>
  </si>
  <si>
    <t>inos@bas.ac.uk</t>
  </si>
  <si>
    <t>Cnossen, Ingrid/E-5809-2010; Ridley, Aaron/F-3943-2011</t>
  </si>
  <si>
    <t>Cnossen, Ingrid/0000-0001-6469-7861; Ridley, Aaron/0000-0001-6933-8534; Goncharenko, Larisa/0000-0001-9031-7439; Harding, Brian/0000-0002-1293-9379</t>
  </si>
  <si>
    <t>NSF [ATM1452097, AGS 14-52291]; U.S. National Science Foundation [AGS-1242204]; Massachusetts Institute of Technology [AGS-1242204]; NASA [NNX17AH71G]; NERC [bas0100031] Funding Source: UKRI</t>
  </si>
  <si>
    <t>NSF(National Science Foundation (NSF)); U.S. National Science Foundation(National Science Foundation (NSF)); Massachusetts Institute of Technology; NASA(National Aeronautics &amp; Space Administration (NASA)); NERC(UK Research &amp; Innovation (UKRI)Natural Environment Research Council (NERC))</t>
  </si>
  <si>
    <t>This work was supported by NSF Grant ATM1452097. GITM simulations were performed on the NASA Pleiades high performance computing facilities. The GITM source code is available at https://github.com/aaronjridley/GITM.Model input files used to run the simulations presented in this study, as well as the full 3-D model output, will be made available on the University of Michigan's Deep Blue Data storage system (https://doi.org/10.7302/b24g-9671).Millstone Hill operations and research at MIT Haystack Observatory are supported by Cooperative Agreement AGS-1242204 between the U.S. National Science Foundation and the Massachusetts Institute of Technology. For eclipse activities, MIT Haystack was partially supported by NASA Grant NNX17AH71G. Millstone Hill ISR data are publicly available through the CEDAR Madrigal database (http://madrigal.haystack.mit.edu/madrigal/).FPI data were provided by the University of Illinois at Urbana-Champaign, with funding provided by NSF grant AGS 14-52291. The FPI data used in this work can be found in the CEDAR Madrigal database. We are grateful to D. Drob for kindly supplying us with the TIME-GCM results shown in Figure 12.</t>
  </si>
  <si>
    <t>10.1029/2018JA026402</t>
  </si>
  <si>
    <t>Bronze, Green Accepted, Green Published</t>
  </si>
  <si>
    <t>WOS:000490956600062</t>
  </si>
  <si>
    <t>Hordyniec, P; Norman, R; Rohm, W; Huang, CY; Le Marshall, J</t>
  </si>
  <si>
    <t>Hordyniec, P.; Norman, R.; Rohm, W.; Huang, C-Y; Le Marshall, J.</t>
  </si>
  <si>
    <t>Effects of Liquid Clouds on GPS Radio Occultation Profiles in Superrefractions</t>
  </si>
  <si>
    <t>EARTH AND SPACE SCIENCE</t>
  </si>
  <si>
    <t>clouds; GPS; occultation; PBL; superrefraction; refractivity</t>
  </si>
  <si>
    <t>LOWER TROPOSPHERE; COMPLEX PERMITTIVITY; REFRACTIVITY BIAS; SIGNALS; SIMULATION; FREQUENCIES; INVERSIONS; ATMOSPHERE; CHAMP; MODEL</t>
  </si>
  <si>
    <t>Inversion of radio occultation (RO) measurements to atmospheric parameters in the neutral atmosphere utilizes the assumption of spherical symmetry by implementation of the Abel transform. The main contribution to the retrieved refractional angle and other geophysical parameters comes from gaseous properties of the atmosphere. The atmospheric refraction is expressed by a function of air pressure, air temperature, and water vapor pressure. Such commonly adopted methodology results in highly comparable RO retrievals with background models. However, in the lowermost troposphere referred to as planetary boundary layer, inversion in spherically symmetric atmosphere is an ill-conditioned problem. The presence of superrefractions introduces negative errors in the RO-retrieved refractivity (N-bias). We show that significant refractivity gradients are frequently collocated with clouds over oceans in tropical and subtropical regions. Based on gridded monthly means we show that superrefractions usually occur at altitudes up to 2 km and the largest cloud fractions tend to suspend at underlying layers. The magnitude of clouds expressed in terms of refractivity units can exceed 1.5, which corresponds to 0.5% in terms of fractional differences. We use both geometrical optics and wave optics techniques to illustrate propagation mechanisms in RO retrievals. Simulation experiments suggest that RO inversions in cloudy planetary boundary layer lead to larger negative N-biases. Low-level clouds retrieved from numerical weather prediction model could therefore be used as an indicator of erroneous RO observations. A better agreement with RO refractivity could be achieved by incorporating cloud variables into background fields especially over the Pacific and Atlantic Oceans.</t>
  </si>
  <si>
    <t>[Hordyniec, P.; Norman, R.] RMIT Univ, SPACE Res Ctr, Melbourne, Vic, Australia; [Hordyniec, P.; Rohm, W.] Wroclaw Univ Environm &amp; Life Sci, Inst Geodesy &amp; Geoinformat, Wroclaw, Poland; [Huang, C-Y] Natl Space Org, Hsinchu, Taiwan; [Le Marshall, J.] Bur Meteorol, Sci &amp; Innovat Grp, Melbourne, Vic, Australia</t>
  </si>
  <si>
    <t>Royal Melbourne Institute of Technology (RMIT); Melbourne Genomics Health Alliance; Institute of Geodesy &amp; Cartography; Wroclaw University of Environmental &amp; Life Sciences; Melbourne Genomics Health Alliance; Bureau of Meteorology - Australia</t>
  </si>
  <si>
    <t>Hordyniec, P (corresponding author), RMIT Univ, SPACE Res Ctr, Melbourne, Vic, Australia.;Hordyniec, P (corresponding author), Wroclaw Univ Environm &amp; Life Sci, Inst Geodesy &amp; Geoinformat, Wroclaw, Poland.</t>
  </si>
  <si>
    <t>pawel.hordyniec@rmit.edu.au</t>
  </si>
  <si>
    <t>Rohm, Witold/AAV-1648-2020; Hordyniec, Pawel/S-9849-2019</t>
  </si>
  <si>
    <t>Rohm, Witold/0000-0002-2082-6366; Hordyniec, Pawel/0000-0002-2404-3422</t>
  </si>
  <si>
    <t>National Science Centre, Poland [2015/19/N/ST10/02650]; Australian Antarctic Program [4469]; Wroclaw Center of Networking and Supercomputing</t>
  </si>
  <si>
    <t>National Science Centre, Poland(National Science Centre, Poland); Australian Antarctic Program; Wroclaw Center of Networking and Supercomputing</t>
  </si>
  <si>
    <t>This work has been supported by the National Science Centre, Poland Project 2015/19/N/ST10/02650 and the Australian Antarctic Program Grant 4469. We would like to thank UCAR and CDAAC for providing FORMOSAT-3/COSMIC Data Products and NOAA/NCEP for GFS model. We acknowledge theWroclaw Center of Networking and Supercomputing (www.wcss.wroc.pl): computational grant using Matlab Software License 101979. The observational data sets used in this study are publicly available: GPS RO data can be downloaded from UCAR/COSMIC website (https://cdaac-www.cosmic.ucar.edu/) and NCEP GFS forecast products can be retrieved from https://nomads.ncdc.noaa.gov/data/gfs4/website.Simulation results are available from the corresponding author upon request.</t>
  </si>
  <si>
    <t>2333-5084</t>
  </si>
  <si>
    <t>EARTH SPACE SCI</t>
  </si>
  <si>
    <t>Earth Space Sci.</t>
  </si>
  <si>
    <t>10.1029/2019EA000721</t>
  </si>
  <si>
    <t>Astronomy &amp; Astrophysics; Geosciences, Multidisciplinary</t>
  </si>
  <si>
    <t>Astronomy &amp; Astrophysics; Geology</t>
  </si>
  <si>
    <t>JE8QT</t>
  </si>
  <si>
    <t>WOS:000490955600014</t>
  </si>
  <si>
    <t>MacGilchrist, G; Garabato, ACN; Brown, PJ; Jullion, L; Bacon, S; Bakker, DCE; Hoppema, M; Meredith, MP; Torres-Valdés, S</t>
  </si>
  <si>
    <t>MacGilchrist, GraemeA.; Garabato, Alberto C. Naveira; Brown, Peter J.; Jullion, Loic; Bacon, Sheldon; Bakker, Dorothee C. E.; Hoppema, Mario; Meredith, Michael P.; Torres-Valdes, Sinhue</t>
  </si>
  <si>
    <t>Reframing the carbon cycle of the subpolar Southern Ocean</t>
  </si>
  <si>
    <t>SCIENCE ADVANCES</t>
  </si>
  <si>
    <t>ANTARCTIC SEA-ICE; ATMOSPHERIC CO2; WEDDELL SEA; CIRCULATION; MODEL; WATER; TIME; SINK; BAY</t>
  </si>
  <si>
    <t>Global climate is critically sensitive to physical and biogeochemical dynamics in the subpolar Southern Ocean, since it is here that deep, carbon-rich layers of the world ocean outcrop and exchange carbon with the atmosphere. Here, we present evidence that the conventional framework for the subpolar Southern Ocean carbon cycle, which attributes a dominant role to the vertical overturning circulation and shelf-sea processes, fundamentally misrepresents the drivers of regional carbon uptake. Observations in the Weddell Gyre-a key representative region of the subpolar Southern Ocean-show that the rate of carbon uptake is set by an interplay between the Gyre's horizontal circulation and the remineralization at mid-depths of organic carbon sourced from biological production in the central gyre. These results demonstrate that reframing the carbon cycle of the subpolar Southern Ocean is an essential step to better define its role in past and future climate change.</t>
  </si>
  <si>
    <t>[MacGilchrist, GraemeA.] Univ Oxford, Dept Earth Sci, Oxford OX1 3AN, England; [Garabato, Alberto C. Naveira] Univ Southampton, Natl Oceanog Ctr, Ocean &amp; Earth Sci, Southampton SO14 3ZH, Hants, England; [Brown, Peter J.; Bacon, Sheldon] Natl Oceanog Ctr, Southampton SO14 3ZH, Hants, England; [Jullion, Loic] Univ Toulon &amp; Var, Aix Marseille Univ, IRD, MIO,CNRS,UM110, Marseille, France; [Bakker, Dorothee C. E.] Univ East Anglia, Sch Environm Sci, Ctr Ocean &amp; Atmospher Sci, Norwich NR4 7TJ, Norfolk, England; [Hoppema, Mario; Torres-Valdes, Sinhue] Helmholtz Ctr Polar &amp; Marine Res, Alfred Wegener Inst, Bremerhaven, Germany; [Meredith, Michael P.] British Antarctic Survey, Cambridge CB3 0ET, England; [MacGilchrist, GraemeA.] Princeton Univ, Atmospher &amp; Ocean Sci, Princeton, NJ 08544 USA</t>
  </si>
  <si>
    <t>University of Oxford; University of Southampton; NERC National Oceanography Centre; NERC National Oceanography Centre; Universite de Toulon; Aix-Marseille Universite; Institut de Recherche pour le Developpement (IRD); Centre National de la Recherche Scientifique (CNRS); University of East Anglia; Helmholtz Association; Alfred Wegener Institute, Helmholtz Centre for Polar &amp; Marine Research; UK Research &amp; Innovation (UKRI); Natural Environment Research Council (NERC); NERC British Antarctic Survey; Princeton University</t>
  </si>
  <si>
    <t>MacGilchrist, G (corresponding author), Univ Oxford, Dept Earth Sci, Oxford OX1 3AN, England.;MacGilchrist, G (corresponding author), Princeton Univ, Atmospher &amp; Ocean Sci, Princeton, NJ 08544 USA.</t>
  </si>
  <si>
    <t>graemem@princeton.edu</t>
  </si>
  <si>
    <t>Torres-Valdés, Sinhué/O-6436-2019; Garabato, Alberto Naveira/AAQ-1114-2020; Brown, Peter/AAN-4372-2020; Hoppema, Mario/I-6286-2013; Jullion, Loic/B-3304-2011; Bakker, Dorothee/E-4951-2015</t>
  </si>
  <si>
    <t>Torres-Valdés, Sinhué/0000-0003-2749-4170; Garabato, Alberto Naveira/0000-0001-6071-605X; Brown, Peter/0000-0002-1152-1114; Hoppema, Mario/0000-0002-2326-619X; Meredith, Michael/0000-0002-7342-7756; Jullion, Loic/0000-0001-6269-6750; MacGilchrist, Graeme/0000-0003-1409-8937; Bakker, Dorothee/0000-0001-9234-5337</t>
  </si>
  <si>
    <t>National Environmental Research Council [NE/E01366X/1, NE/E013538/1]; NERC; U.K. Met Office; Radcliffe-Graduate scholarship from University College, Oxford; Philip Leverhulme Prize; Royal Society; Wolfson Foundation; NERC [NE/N018095/1, NE/E013368/1]; NERC [bas0100033, NE/N018095/1, noc010009, NE/E013538/1, NE/E013368/1, NE/E01366X/1, NE/E013341/1] Funding Source: UKRI</t>
  </si>
  <si>
    <t>National Environmental Research Council(UK Research &amp; Innovation (UKRI)Natural Environment Research Council (NERC)); NERC(UK Research &amp; Innovation (UKRI)Natural Environment Research Council (NERC)); U.K. Met Office; Radcliffe-Graduate scholarship from University College, Oxford; Philip Leverhulme Prize(Leverhulme Trust); Royal Society(Royal Society); Wolfson Foundation; NERC(UK Research &amp; Innovation (UKRI)Natural Environment Research Council (NERC)); NERC(UK Research &amp; Innovation (UKRI)Natural Environment Research Council (NERC))</t>
  </si>
  <si>
    <t>The ANDREX project was supported by the National Environmental Research Council (NE/E01366X/1 and NE/E013538/1). G.A.M. acknowledges support from NERC, the U.K. Met Office, and a Radcliffe-Graduate scholarship from University College, Oxford. A.C.N.G. acknowledges the support of a Philip Leverhulme Prize, the Royal Society, and the Wolfson Foundation. M.P.M. acknowledges support from NERC via awards NE/N018095/1 and NE/E013368/1. P.J.B. acknowledges support from NERC via award NE/N018095/1.</t>
  </si>
  <si>
    <t>AMER ASSOC ADVANCEMENT SCIENCE</t>
  </si>
  <si>
    <t>1200 NEW YORK AVE, NW, WASHINGTON, DC 20005 USA</t>
  </si>
  <si>
    <t>2375-2548</t>
  </si>
  <si>
    <t>SCI ADV</t>
  </si>
  <si>
    <t>Sci. Adv.</t>
  </si>
  <si>
    <t>eaav6410</t>
  </si>
  <si>
    <t>10.1126/sciadv.aav6410</t>
  </si>
  <si>
    <t>JF1BD</t>
  </si>
  <si>
    <t>gold, Green Accepted, Green Published</t>
  </si>
  <si>
    <t>WOS:000491121200019</t>
  </si>
  <si>
    <t>Closset, I; Cardinal, D; Trull, TW; Fripiat, F</t>
  </si>
  <si>
    <t>Closset, Ivia; Cardinal, Damien; Trull, Thomas W.; Fripiat, Francois</t>
  </si>
  <si>
    <t>New Insights Into Processes Controlling the δ30Si of Sinking Diatoms: A Seasonally Resolved Box Model Approach</t>
  </si>
  <si>
    <t>GLOBAL BIOGEOCHEMICAL CYCLES</t>
  </si>
  <si>
    <t>silicon isotopes; Southern Ocean; model; silicon cycle; diatoms; export production</t>
  </si>
  <si>
    <t>SILICON ISOTOPE FRACTIONATION; POLAR FRONTAL ZONES; SOUTHERN-OCEAN; IRON FERTILIZATION; UPTAKE KINETICS; PACIFIC SECTOR; SI CYCLE; DISSOLUTION; AUSTRALIA; DYNAMICS</t>
  </si>
  <si>
    <t>In the Southern Ocean, the silicon (Si) biogeochemical cycle is dominated by processes such as the supply of Si into the surface waters, Si uptake into diatom frustules, and their subsequent dissolution and export. Due to the incomplete assimilation of the silicic acid pool (DSi) and isotopic fractionation during silicification, the Si isotopic composition (delta Si-30) of biogenic silica (BSi) is closely linked to the degree of Si utilization in the mixed layer (ML). In this study, we combined modelling approaches and seasonal sediment trap records of delta Si-30 of exported BSi to investigate the magnitude, timing, and isotopic composition of the flux of siliceous particles transferred from the surface to the deep ocean. We implemented a box model to describe the temporal evolution of DSi and BSi concentrations and delta Si-30 in the ML and at depth. The model allows us to quantify fluxes of Si in and out of the ML associated with export, dissolution, and mixing. It highlights that the time-integrated delta Si-30 of exported BSi measured in the sediments reflects the extent of DSi consumption at the time when net BSi production and diatom accumulation are maximal in the ML and confirms that the delta Si-30 of diatoms is a reliable proxy for past Si utilization.</t>
  </si>
  <si>
    <t>[Closset, Ivia] Univ Calif Santa Barbara, MSI, Santa Barbara, CA 93106 USA; [Cardinal, Damien] Sorbonne Univ, CNRS, UMR 7159, LOCEAN,IRD,MNHN, Paris, France; [Trull, Thomas W.] Univ Tasmania, Antarctic Climate &amp; Ecosyst Cooperat Res Ctr, Hobart, Tas, Australia; [Trull, Thomas W.] CSIRO Oceans &amp; Atmosphere, Hobart, Tas, Australia; [Fripiat, Francois] Max Planck Inst Chem, Mainz, Germany</t>
  </si>
  <si>
    <t>Institut de Recherche pour le Developpement (IRD); Centre National de la Recherche Scientifique (CNRS); CNRS - National Institute for Earth Sciences &amp; Astronomy (INSU); Museum National d'Histoire Naturelle (MNHN); Sorbonne Universite; Antarctic Climate &amp; Ecosystems Cooperative Research Centre (ACE CRC); University of Tasmania; Commonwealth Scientific &amp; Industrial Research Organisation (CSIRO); Max Planck Society</t>
  </si>
  <si>
    <t>Closset, I (corresponding author), Univ Calif Santa Barbara, MSI, Santa Barbara, CA 93106 USA.</t>
  </si>
  <si>
    <t>ivia@ucsb.edu</t>
  </si>
  <si>
    <t>Cardinal, Damien/B-5958-2008; Fripiat, François/ABB-8918-2021; Cardinal, Damien/AAM-6215-2021</t>
  </si>
  <si>
    <t>Cardinal, Damien/0000-0003-1238-8412; Closset, Ivia/0000-0002-6286-3296; Fripiat, Francois/0000-0002-2591-6301</t>
  </si>
  <si>
    <t>European Union Seventh Framework Program [294146]; Australian Integrated Marine Observing System; Australian Antarctic Climate and Ecosystems Cooperative Research Center; Australian Antarctic Sciences awards [1156, 2256]; Australian Marine National Facility; U.S. NSF Office of Polar Programs; Belgian Science and Policy Organization</t>
  </si>
  <si>
    <t>European Union Seventh Framework Program(European Union (EU)); Australian Integrated Marine Observing System; Australian Antarctic Climate and Ecosystems Cooperative Research Center; Australian Antarctic Sciences awards; Australian Marine National Facility; U.S. NSF Office of Polar Programs(National Science Foundation (NSF)); Belgian Science and Policy Organization</t>
  </si>
  <si>
    <t>The research leading to these results has received funding from the European Union Seventh Framework Program under the grant agreement 294146 (MuSiCC Marie Curie CIG) and contributes to the GEOTRACES program. The SAZ sediment trap program received support from the Australian Integrated Marine Observing System, Australian Antarctic Climate and Ecosystems Cooperative Research Center, Australian Antarctic Sciences awards 1156 and 2256, the Australian Marine National Facility, the U.S. NSF Office of Polar Programs, and the Belgian Science and Policy Organization. The authors are especially grateful to Mark Brzezinski and Heather McNair for their constructive and helpful discussions about the model and Nicholas Baetge for correction of English. The authors also thank G. De Souza, one anonymous reviewer, and the associate editor for their constructive comments that helped us improving the manuscript. Data used in this study are available in the supporting information of the previous companion paper Closset et al. (2015).</t>
  </si>
  <si>
    <t>0886-6236</t>
  </si>
  <si>
    <t>1944-9224</t>
  </si>
  <si>
    <t>GLOBAL BIOGEOCHEM CY</t>
  </si>
  <si>
    <t>Glob. Biogeochem. Cycle</t>
  </si>
  <si>
    <t>10.1029/2018GB006115</t>
  </si>
  <si>
    <t>Environmental Sciences; Geosciences, Multidisciplinary; Meteorology &amp; Atmospheric Sciences</t>
  </si>
  <si>
    <t>Environmental Sciences &amp; Ecology; Geology; Meteorology &amp; Atmospheric Sciences</t>
  </si>
  <si>
    <t>JE3AJ</t>
  </si>
  <si>
    <t>WOS:000490565900002</t>
  </si>
  <si>
    <t>Bach, LT; Stange, P; Taucher, J; Achterberg, EP; Algueró-Muñiz, M; Horn, H; Esposito, M; Riebesell, U</t>
  </si>
  <si>
    <t>Bach, L. T.; Stange, P.; Taucher, J.; Achterberg, E. P.; Alguero-Muniz, M.; Horn, H.; Esposito, M.; Riebesell, U.</t>
  </si>
  <si>
    <t>The Influence of Plankton Community Structure on Sinking Velocity and Remineralization Rate of Marine Aggregates</t>
  </si>
  <si>
    <t>biological pump; carbon export; mesocosm; respiration; sinking speed; degradation</t>
  </si>
  <si>
    <t>PARTICULATE ORGANIC-CARBON; EXOPOLYMER PARTICLES TEP; PHYTOPLANKTON COMMUNITY; OCEAN ACIDIFICATION; INVERSE RELATIONSHIP; EXPORT EFFICIENCY; FLUX; SIZE; SNOW; BALLAST</t>
  </si>
  <si>
    <t>Gravitational sinking of photosynthetically fixed particulate organic carbon (POC) constitutes a key component of the biological carbon pump. The fraction of POC leaving the surface ocean depends on POC sinking velocity (SV) and remineralization rate (C-remin), both of which depend on plankton community structure. However, the key drivers in plankton communities controlling SV and C-remin are poorly constrained. In fall 2014, we conducted a 6-week mesocosm experiment in the subtropical NE Atlantic Ocean to study the influence of plankton community structure on SV and C-remin. Oligotrophic conditions prevailed for the first 3 weeks, until nutrient-rich deep water injected into all mesocosms stimulated diatom blooms. SV declined steadily over the course of the experiment due to decreasing CaCO3 ballast and-according to an optical proxy proposed herein-due to increasing aggregate porosity mostly during an aggregation event after the diatom bloom. Furthermore, SV was positively correlated with the contribution of picophytoplankton to the total phytoplankton biomass. C-remin was highest during a Synechococcus bloom under oligotrophic conditions and in some mesocosms during the diatom bloom after the deep water addition, while it was particularly low during harmful algal blooms. The temporal changes were considerably larger in C-remin (max. fifteenfold) than in SV (max. threefold). Accordingly, estimated POC transfer efficiency to 1,000 m was mainly dependent on how the plankton community structure affected C-remin. Our approach revealed key players and interactions in the plankton food web influencing POC export efficiency thereby improving our mechanistic understanding of the biological carbon pump.</t>
  </si>
  <si>
    <t>[Bach, L. T.] Univ Tasmania, Inst Marine &amp; Antarctic Studies, Hobart, Tas, Australia; [Bach, L. T.; Stange, P.; Taucher, J.; Achterberg, E. P.; Esposito, M.; Riebesell, U.] GEOMAR Helmholtz Ctr Ocean Res Kiel, Kiel, Germany; [Alguero-Muniz, M.] Alfred Wegener Inst, Helmholtz Zentrum Polar &amp; Meeresforsch, Biol Anstalt Helgoland, Helgoland, Germany; [Horn, H.] NIOZ Royal Netherlands Inst Sea Res, Yerseke, Netherlands; [Horn, H.] Univ Utrecht, Yerseke, Netherlands</t>
  </si>
  <si>
    <t>University of Tasmania; Helmholtz Association; GEOMAR Helmholtz Center for Ocean Research Kiel; Helmholtz Association; Alfred Wegener Institute, Helmholtz Centre for Polar &amp; Marine Research; Utrecht University; Royal Netherlands Institute for Sea Research (NIOZ); Utrecht University</t>
  </si>
  <si>
    <t>Bach, LT (corresponding author), Univ Tasmania, Inst Marine &amp; Antarctic Studies, Hobart, Tas, Australia.;Bach, LT (corresponding author), GEOMAR Helmholtz Ctr Ocean Res Kiel, Kiel, Germany.</t>
  </si>
  <si>
    <t>Algueró-Muñiz, María/AAA-9748-2020; Horn, Henriette G./R-7667-2016; Achterberg, Eric P/C-5820-2009; Riebesell, Ulf/AAC-9717-2020</t>
  </si>
  <si>
    <t>Algueró-Muñiz, María/0000-0001-8064-6212; Horn, Henriette G./0000-0002-4020-5559; Taucher, Jan/0000-0001-9944-0775; Bach, Lennart/0000-0003-0202-3671</t>
  </si>
  <si>
    <t>German Federal Ministry of Education and Research (BMBF) [FKZ 03F06550]; Australian Research Council [FL160100131]</t>
  </si>
  <si>
    <t>German Federal Ministry of Education and Research (BMBF)(Federal Ministry of Education &amp; Research (BMBF)); Australian Research Council(Australian Research Council)</t>
  </si>
  <si>
    <t>We thank the Oceanic Platform of the Canary Islands (Plataforma Oceanica de Canarias, PLOCAN) for their hospitality and magnificent support and for sharing their research facilities with us. We are also grateful to the scientists at the Marine Science and Technology Park (Parque Cientifico Tecnologico Marino, University of Las Palmas) who provided additional facilities to run sinking velocity measurements and remineralization assays. Special thanks go to Maria D. Gelado-Caballero who provided data on dust concentrations during study period and to Fred Le Moigne for providing remineralization data. Furthermore, we thank the captain and crew of RV Hesperides for deploying and recovering the mesocosms (cruise 29HE20140924) and RV Poseidon for transporting the mesocosms and support in testing the deep water collector during cruise POS463. We also thank the Editor and two anonymous reviewers for their excellent comments. This project was funded by the German Federal Ministry of Education and Research (BMBF) in the framework of the coordinated project BIOACID-Biological Impacts of Ocean Acidification, phase 2 (FKZ 03F06550). Lennart Bach acknowledges funding to a Laureate (FL160100131) by the Australian Research Council granted to Philip Boyd. All data are available for download under the following link: https://doi.pangaea.de/10.1594/PANGAEA.902901.</t>
  </si>
  <si>
    <t>10.1029/2019GB006256</t>
  </si>
  <si>
    <t>WOS:000490565900003</t>
  </si>
  <si>
    <t>Yang, YD; Li, F; Hwang, C; Ding, MH; Ran, JJ</t>
  </si>
  <si>
    <t>Yang, Yuande; Li, Fei; Hwang, Cheinway; Ding, Minghu; Ran, Jiangjun</t>
  </si>
  <si>
    <t>Space-Time Evolution of Greenland Ice Sheet Elevation and Mass From Envisat and GRACE Data</t>
  </si>
  <si>
    <t>JOURNAL OF GEOPHYSICAL RESEARCH-EARTH SURFACE</t>
  </si>
  <si>
    <t>climate change; Envisat altimeter; glacier mass evolution; GRACE gravimetry; Greenland Ice Sheet</t>
  </si>
  <si>
    <t>SATELLITE GRAVIMETRY; RADAR ALTIMETRY; INTERANNUAL VARIATIONS; BALANCE; ACCUMULATION; VARIABILITY; ANTARCTICA; REANALYSIS; RETRACKING; PRECISION</t>
  </si>
  <si>
    <t>Precise measurements of height changes (HCs) are important for improved estimates of mass balance of the Greenland Ice Sheet (GrIS). Here we determine 10 years of precise, high-resolution HCs of the GrIS from Envisat radar altimeter using a subwaveform retracker and a modified repeat-track method. The HCs show clear seasonal changes and monotonic declines over glaciers on the coasts such as Zachariae IsstrOm. We enhance mass change estimates from Gravity Recovery and Climate Experiment (GRACE) data using HCs and densities from interannual correlations between GRACE-derived mass changes and HCs. We estimate the mass changes of eight drainage basins with our combined mass change. The largest mass change between 2002 and 2012 occurred in the northwest basin and the smallest in the northeast basin. We separate the ice and snow HC rates to derive a ratio (f) between them to characterize the relative importance of ice or snow to mass change. The snow HC rates are mostly positive over the GrIS, except on the margins of the west coast and Zachariae IsstrOm. The mean ice HC rate is -6.6 3.9 cm/year over 2002-2006, which accelerated to -13.9 2.4 cm/year over 2007-2012. The f factors show a clear post-2006 ice dominance in the GrIS mass loss, particularly on the west coast, with a mean 91.4% ice contribution over 2002-2006, increasing to 94.5% over 2007-2012. This indicates increasing mass loss after 2006. A coincident radar altimeter and gravimetry mission is important for studying mass balance and separating snow and ice contributions over space and time.</t>
  </si>
  <si>
    <t>[Yang, Yuande; Li, Fei] Wuhan Univ, Chinese Antarctic Ctr Surveying &amp; Mapping, Wuhan, Hubei, Peoples R China; [Hwang, Cheinway] Natl Chiao Tung Univ, Dept Civil Engn, Hsinchu, Taiwan; [Ding, Minghu] Chinese Acad Meteorol Sci, Inst Climate Syst, Beijing, Peoples R China; [Ran, Jiangjun] Southern Univ Sci &amp; Technol, Dept Earth &amp; Space Sci, Shenzhen, Peoples R China</t>
  </si>
  <si>
    <t>Wuhan University; National Yang Ming Chiao Tung University; China Meteorological Administration; Chinese Academy of Meteorological Sciences (CAMS); Southern University of Science &amp; Technology</t>
  </si>
  <si>
    <t>Hwang, C (corresponding author), Natl Chiao Tung Univ, Dept Civil Engn, Hsinchu, Taiwan.</t>
  </si>
  <si>
    <t>cheinway@mail.nctu.edu.tw</t>
  </si>
  <si>
    <t>Ding, Minghu/AFU-3600-2022; Ran, Jiangjun/U-2143-2018</t>
  </si>
  <si>
    <t>Ding, Minghu/0000-0002-1142-6598;</t>
  </si>
  <si>
    <t>National Key Research and Development Program of China [2018YFC1406103]; National Natural Science Foundation of China [41476163, 41531069, 41429401]; MOST/Taiwan [106-2221-E-009-133-MY3, 106-2611-M-009-001]</t>
  </si>
  <si>
    <t>National Key Research and Development Program of China; National Natural Science Foundation of China(National Natural Science Foundation of China (NSFC)); MOST/Taiwan(Ministry of Science and Technology, Taiwan)</t>
  </si>
  <si>
    <t>We thank the Editors and the two anonymous reviewers, who have provided very constructive comments. All the data used in this paper can be obtained online http://space.cv.nctu.edu.tw/publications/#data.The improved Envisat and GRACE data are freely available from the authors. We thank the European Space Agency for providing the Envisat SGDR data through the AVISO/CNES Data Center and UTCSR Austin, for the GRACE data. This study is supported by the National Key Research and Development Program of China (2018YFC1406103), the National Natural Science Foundation of China (Grants 41476163, 41531069, and 41429401), and MOST/Taiwan (Grants 106-2221-E-009-133-MY3 and 106-2611-M-009-001).</t>
  </si>
  <si>
    <t>2169-9003</t>
  </si>
  <si>
    <t>2169-9011</t>
  </si>
  <si>
    <t>J GEOPHYS RES-EARTH</t>
  </si>
  <si>
    <t>J. Geophys. Res.-Earth Surf.</t>
  </si>
  <si>
    <t>10.1029/2018JF004765</t>
  </si>
  <si>
    <t>JE8HZ</t>
  </si>
  <si>
    <t>WOS:000490932200003</t>
  </si>
  <si>
    <t>Wearing, MG; Kingslake, J</t>
  </si>
  <si>
    <t>Wearing, Martin G.; Kingslake, Jonathan</t>
  </si>
  <si>
    <t>Holocene Formation of Henry Ice Rise, West Antarctica, Inferred From Ice-Penetrating Radar</t>
  </si>
  <si>
    <t>ice rise; ice sheet; Antarctica; ice flow; grounding line; ice sheet history</t>
  </si>
  <si>
    <t>BASAL MELT RATES; SEA-LEVEL; WEDDELL SEA; FLOW; SHELF; STREAM; MODEL; ACCUMULATION; DEFORMATION; DYNAMICS</t>
  </si>
  <si>
    <t>Ice rises are regions of grounded ice embedded within floating ice shelves. The deformation of ice past them increases the back stress generated by the ice shelf, slowing the flow of the ice sheet. We present ground-based ice-penetrating radar data from Henry Ice Rise in the Ronne Ice Shelf, West Antarctica, that indicates regrounding during the Holocene. Relic crevasses and melt synclines are observed upstream of the present-day grounding line. We conclude that these features formed during a previous flow configuration, from which the grounding line has since advanced to its current position. In agreement with previous work, our observations can be explained if initial grounding of the ice shelf occurred on a bathymetric high, forming an ice rumple that migrated upstream and temporarily ungrounded over the topographic high. The grounding line then advanced, preserving relic basal crevasses in the newly grounded ice. Using a simple ice-flow model, we simulate the burial of these crevasses. While accounting for uncertainty in accumulation, firn density, radar-derived depth, ice-thickening history, initial crevasse height, and glacial isostatic adjustment, we estimate a burial time of 6 +/- 2 kyr before present for the oldest relic crevasses, indicating that the ice rise formed at approximately this time. This potentially increased the buttressing generated by the Ronne Ice Shelf, causing thickening and advance of the ice sheet. By dating the formation and providing details of ice-rise formation, these new results can provide useful constraints on both large-scale ice-sheet models and models of ice-rumple and ice-rise formation. Plain Language Summary We present results from an ice-penetrating radar survey on a grounded section of ice (Henry Ice Rise) within the floating Ronne Ice Shelf in West Antarctica. The radar reveals preserved crevasses at the base of the ice that are now inactive and signs of melting from contact with the ocean, both in areas that are grounded today. This implies that these areas were part of the floating ice shelf in the past. Using the distribution and size of relic crevasses within the ice, we date the formation of this grounded area to approximately 6 kyr before present. Our date has an associated uncertainty of 2 kyr, primarily due to uncertainty in the rate of snowfall and the size of the crevasses when they first formed. The grounding of this area most likely allowed the West Antarctic Ice Sheet to grow to its present-day configuration.</t>
  </si>
  <si>
    <t>[Wearing, Martin G.; Kingslake, Jonathan] Columbia Univ, Lamont Doherty Earth Observ, New York, NY 10027 USA</t>
  </si>
  <si>
    <t>Columbia University</t>
  </si>
  <si>
    <t>Wearing, MG (corresponding author), Columbia Univ, Lamont Doherty Earth Observ, New York, NY 10027 USA.</t>
  </si>
  <si>
    <t>wearing@ldeo.columbia.edu</t>
  </si>
  <si>
    <t>Wearing, Martin/0000-0002-8927-8564</t>
  </si>
  <si>
    <t>Natural Environmental Research Council [NE/J008087/1]; NERC [NE/J008087/1] Funding Source: UKRI</t>
  </si>
  <si>
    <t>Natural Environmental Research Council(UK Research &amp; Innovation (UKRI)Natural Environment Research Council (NERC)); NERC(UK Research &amp; Innovation (UKRI)Natural Environment Research Council (NERC))</t>
  </si>
  <si>
    <t>Ice-penetrating radar data can be obtained from the U. K. Polar Data Centre (http://doi.org/99d).The fieldwork was funded by Natural Environmental Research Council Grant NE/J008087/1, led by Richard Hindmarsh, British Antarctic Survey. Logistical support was provided by many members of the British Antarctic Surveys air unit and field operations team. We are particularly grateful for assistance from Iain Rudkin and Scott Webster during fieldwork. We are very grateful for the support and assistance of Edward King in the use of the radar system and processing software. We would like to thank our three reviewers and the associate editor for their comments which helped to improve the manuscript.</t>
  </si>
  <si>
    <t>10.1029/2018JF004988</t>
  </si>
  <si>
    <t>WOS:000490932200010</t>
  </si>
  <si>
    <t>Bower, A; Lozier, S; Biastoch, A; Drouin, K; Foukal, N; Furey, H; Lankhorst, M; Rühs, S; Zou, S</t>
  </si>
  <si>
    <t>Bower, A.; Lozier, S.; Biastoch, A.; Drouin, K.; Foukal, N.; Furey, H.; Lankhorst, M.; Ruhs, S.; Zou, S.</t>
  </si>
  <si>
    <t>Lagrangian Views of the Pathways of the Atlantic Meridional Overturning Circulation</t>
  </si>
  <si>
    <t>JOURNAL OF GEOPHYSICAL RESEARCH-OCEANS</t>
  </si>
  <si>
    <t>Floats; Drifters; Lagrangian methods; AMOC; Atlantic Ocean; Numerical models</t>
  </si>
  <si>
    <t>WESTERN BOUNDARY CURRENT; NORTHERN NORTH-ATLANTIC; STRAIT OVERFLOW WATER; LABRADOR SEA-WATER; ANTARCTIC CIRCUMPOLAR CURRENT; NEAR-SURFACE CIRCULATION; SUBTROPICAL MODE WATER; MID-DEPTH CIRCULATION; DENMARK STRAIT; NORDIC SEAS</t>
  </si>
  <si>
    <t>The Lagrangian method-where current location and intensity are determined by tracking the movement of flow along its path-is the oldest technique for measuring the ocean circulation. For centuries, mariners used compilations of ship drift data to map out the location and intensity of surface currents along major shipping routes of the global ocean. In the mid-20th century, technological advances in electronic navigation allowed oceanographers to continuously track freely drifting surface buoys throughout the ice-free oceans and begin to construct basin-scale, and eventually global-scale, maps of the surface circulation. At about the same time, development of acoustic methods to track neutrally buoyant floats below the surface led to important new discoveries regarding the deep circulation. Since then, Lagrangian observing and modeling techniques have been used to explore the structure of the general circulation and its variability throughout the global ocean, but especially in the Atlantic Ocean. In this review, Lagrangian studies that focus on pathways of the upper and lower limbs of the Atlantic Meridional Overturning Circulation (AMOC), both observational and numerical, have been gathered together to illustrate aspects of the AMOC that are uniquely captured by this technique. These include the importance of horizontal recirculation gyres and interior (as opposed to boundary) pathways, the connectivity (or lack thereof) of the AMOC across latitudes, and the role of mesoscale eddies in some regions as the primary AMOC transport mechanism. There remain vast areas of the deep ocean where there are no direct observations of the pathways of the AMOC. Plain Language Summary Measuring ocean currents by following their paths-rather than by observing them at a fixed location-is the oldest method for exploring ocean currents. For centuries, mariners used compilations of ship drift data to map out the location and intensity of surface currents along major shipping routes of the global ocean. In the mid-20th century, technological advances in electronic navigation allowed oceanographers to track freely drifting surface buoys continuously throughout the ice-free oceans and begin to construct global maps of the surface currents. At about the same time, the development of methods using sound to track floats below the surface led to important new discoveries regarding the currents bar below the surface. Since then, these techniques have been used to explore the location and strength of currents, and how they change in time, throughout the world's oceans, but especially in the Atlantic Ocean. Computer simulations of the oceans are also used to calculate the pathways of virtual surface drifters and subsurface floats. In this review, studies that use these flow-following methods to measure the pathways of the north-south shallow and deep currents that make up the Atlantic Meridional Overturning Circulation (also sometimes referred to as the Great Ocean Conveyor) have been gathered together to illustrate aspects of the conveyor system that are uniquely captured by this technique. These include the importance of large recirculations, or waiting areas, where water circulates around and around before moving onto the next segment of the conveyor. Also, these techniques for observing ocean currents illustrate how disconnected some parts of the conveyor are, and how swirling, translating pools of water similar to 100 km in diameter, and not continuous currents, help to move water along the conveyor's path. Vast areas of the deep ocean remain where there are no direct observations of the pathways of the conveyor.</t>
  </si>
  <si>
    <t>[Bower, A.; Foukal, N.; Furey, H.] Oceanog Inst, Woods Hole, MA 02543 USA; [Lozier, S.; Drouin, K.; Zou, S.] Duke Univ, Dept Earth &amp; Ocean Sci, Durham, NC USA; [Lozier, S.] Georgia Inst Technol, Dept Earth &amp; Atmospher Sci, Atlanta, GA 30332 USA; [Biastoch, A.] GEOMAR Helmholtz Ctr Ocean Res Kiel, Kiel, Germany; [Lankhorst, M.] Univ Calif San Diego, Scripps Inst Oceanog, La Jolla, CA 92093 USA; [Ruhs, S.] Dalhousie Univ, Ocean Frontier Inst, Halifax, NS, Canada; [Zou, S.] Woods Hole Oceanog Inst, Dept Phys Oceanog, Woods Hole, MA 02543 USA</t>
  </si>
  <si>
    <t>Duke University; University System of Georgia; Georgia Institute of Technology; Helmholtz Association; GEOMAR Helmholtz Center for Ocean Research Kiel; University of California System; University of California San Diego; Scripps Institution of Oceanography; Dalhousie University; Woods Hole Oceanographic Institution</t>
  </si>
  <si>
    <t>Bower, A (corresponding author), Oceanog Inst, Woods Hole, MA 02543 USA.</t>
  </si>
  <si>
    <t>abower@whoi.edu</t>
  </si>
  <si>
    <t>Rühs, Siren/N-4736-2015; Biastoch, Arne/B-5219-2014; Furey, Heather/ITT-0652-2023</t>
  </si>
  <si>
    <t>Rühs, Siren/0000-0001-5001-4994; Biastoch, Arne/0000-0003-3946-4390; Furey, Heather/0000-0003-2554-8681; Foukal, Nicholas/0000-0003-1450-8852; Lankhorst, Matthias/0000-0002-4166-4044; Zou, Sijia/0000-0003-2998-2469</t>
  </si>
  <si>
    <t>Overturning in the Subpolar North Atlantic Program from the U.S. National Science Foundation [OCE-1259618, OCE-1259013, OCE-1259102]; Climate Program Office of the National Oceanic and Atmospheric Administration [NA16OAR4310168]; MOVE project - NOAA's Global Ocean Monitoring and Observing Program [NA15OAR4320071]; Cluster of Excellence 80 The Future Ocean within Deutsche Forschungsgemeinschaft (DFG) [CP1412]; German Federal Ministry of Education and Research (BMBF) [03F0750A, 03F0796A]</t>
  </si>
  <si>
    <t>Overturning in the Subpolar North Atlantic Program from the U.S. National Science Foundation; Climate Program Office of the National Oceanic and Atmospheric Administration(National Oceanic Atmospheric Admin (NOAA) - USA); MOVE project - NOAA's Global Ocean Monitoring and Observing Program(National Oceanic Atmospheric Admin (NOAA) - USA); Cluster of Excellence 80 The Future Ocean within Deutsche Forschungsgemeinschaft (DFG)(German Research Foundation (DFG)); German Federal Ministry of Education and Research (BMBF)(Federal Ministry of Education &amp; Research (BMBF))</t>
  </si>
  <si>
    <t>The authors extend their thanks to Xiaobiao Xu for valuable comments on the first draft of this manuscript. A. B. (WHOI), H. F., M. S. L., N. F., and K. D. were supported by Overturning in the Subpolar North Atlantic Program grants OCE-1259618, OCE-1259013, and OCE-1259102 from the U.S. National Science Foundation. S. Z. was supported by the Climate Program Office of the National Oceanic and Atmospheric Administration under award NA16OAR4310168. M. L. was supported through the MOVE project, funded by NOAA's Global Ocean Monitoring and Observing Program under award NA15OAR4320071. A. B. (GEOMAR) and S. R. received funding from the Cluster of Excellence 80 The Future Ocean within the framework of the Excellence Initiative by the Deutsche Forschungsgemeinschaft (DFG) on behalf of the German federal and state governments (grant CP1412) and by the German Federal Ministry of Education and Research (BMBF) for the SPACES projects AGULHAS (grant 03F0750A) and CASISAC (grant 03F0796A). No new data are reported in this project. The data mentioned in the text may be found in repositories cited in each previously published paper cited in this review manuscript.</t>
  </si>
  <si>
    <t>2169-9275</t>
  </si>
  <si>
    <t>2169-9291</t>
  </si>
  <si>
    <t>J GEOPHYS RES-OCEANS</t>
  </si>
  <si>
    <t>J. Geophys. Res.-Oceans</t>
  </si>
  <si>
    <t>10.1029/2019JC015014</t>
  </si>
  <si>
    <t>JE1OJ</t>
  </si>
  <si>
    <t>WOS:000490464200001</t>
  </si>
  <si>
    <t>Johnson, HL; Cessi, P; Marshall, DP; Schloesser, F; Spall, MA</t>
  </si>
  <si>
    <t>Johnson, Helen L.; Cessi, Paola; Marshall, David P.; Schloesser, Fabian; Spall, Michael A.</t>
  </si>
  <si>
    <t>Recent Contributions of Theory to Our Understanding of the Atlantic Meridional Overturning Circulation</t>
  </si>
  <si>
    <t>Atlantic; overturning circulation</t>
  </si>
  <si>
    <t>WATER MASS TRANSFORMATION; ANTARCTIC CIRCUMPOLAR CURRENT; BOUNDARY DENSITY VARIATIONS; MULTIPLE EQUILIBRIA REGIME; NORTH-ATLANTIC; SOUTHERN-OCEAN; THERMOHALINE CIRCULATION; WIND-DRIVEN; TRANSPORT VARIABILITY; TRACER TRANSPORTS</t>
  </si>
  <si>
    <t>Revolutionary observational arrays, together with a new generation of ocean and climate models, have provided new and intriguing insights into the Atlantic Meridional Overturning Circulation (AMOC) over the last two decades. Theoretical models have also changed our view of the AMOC, providing a dynamical framework for understanding the new observations and the results of complex models. In this paper we review recent advances in conceptual understanding of the processes maintaining the AMOC. We discuss recent theoretical models that address issues such as the interplay between surface buoyancy and wind forcing, the extent to which the AMOC is adiabatic, the importance of mesoscale eddies, the interaction between the middepth North Atlantic Deep Water cell and the abyssal Antarctic Bottom Water cell, the role of basin geometry and bathymetry, and the importance of a three-dimensional multiple-basin perspective. We review new paradigms for deep water formation in the high-latitude North Atlantic and the impact of diapycnal mixing on vertical motion in the ocean interior. And we discuss advances in our understanding of the AMOC's stability and its scaling with large-scale meridional density gradients. Along with reviewing theories for the mean AMOC, we consider models of AMOC variability and discuss what we have learned from theory about the detection and meridional propagation of AMOC anomalies. Simple theoretical models remain a vital and powerful tool for articulating our understanding of the AMOC and identifying the processes that are most critical to represent accurately in the next generation of numerical ocean and climate models.</t>
  </si>
  <si>
    <t>[Johnson, Helen L.] Univ Oxford, Dept Earth Sci, Oxford, England; [Cessi, Paola] Univ Calif San Diego, Scripps Inst Oceanog, La Jolla, CA 92093 USA; [Marshall, David P.] Univ Oxford, Dept Phys, Oxford, England; [Schloesser, Fabian] Int Pacific Res Ctr, Honolulu, HI USA; [Spall, Michael A.] Woods Hole Oceanog Inst, Woods Hole, MA 02543 USA</t>
  </si>
  <si>
    <t>University of Oxford; University of California System; University of California San Diego; Scripps Institution of Oceanography; University of Oxford; Woods Hole Oceanographic Institution</t>
  </si>
  <si>
    <t>Johnson, HL (corresponding author), Univ Oxford, Dept Earth Sci, Oxford, England.</t>
  </si>
  <si>
    <t>helen.johnson@earth.ox.ac.uk</t>
  </si>
  <si>
    <t>Marshall, David Philip/B-6767-2009</t>
  </si>
  <si>
    <t>Marshall, David Philip/0000-0002-5199-6579; Johnson, Helen/0000-0003-1873-2085; Spall, Michael/0000-0003-1966-3122</t>
  </si>
  <si>
    <t>U.K. Natural Environment Research Council under the UK-OSNAP project [NE/K010948/1]; National Science Foundation [OCE-1634128, OCE-1558742, OCE-1634468]; NERC [NE/K010948/1] Funding Source: UKRI</t>
  </si>
  <si>
    <t>U.K. Natural Environment Research Council under the UK-OSNAP project; National Science Foundation(National Science Foundation (NSF)); NERC(UK Research &amp; Innovation (UKRI)Natural Environment Research Council (NERC))</t>
  </si>
  <si>
    <t>H. L. J. and D. P. M. are grateful for funding from the U.K. Natural Environment Research Council under the UK-OSNAP project (NE/K010948/1). P. C. gratefully acknowledges support by the National Science Foundation through OCE-1634128. M. A. S. was supported by the National Science Foundation Grants OCE-1558742 and OCE-1634468. We are also grateful to Eli Tziperman and an anonymous reviewer whose comments helped us to improve the manuscript. The Estimating the Circulation and Climate of the Ocean state estimate (ECCO version 4 release 3) used to produce Figure 2 is available online (https://ecco.jpl.nasa.gov). Please refer to the original papers reviewed here for access to any other data discussed.</t>
  </si>
  <si>
    <t>10.1029/2019JC015330</t>
  </si>
  <si>
    <t>WOS:000490464200003</t>
  </si>
  <si>
    <t>Park, J; Kim, JH; Kim, HC; Hwang, J; Jo, YH; Lee, SH</t>
  </si>
  <si>
    <t>Park, Jinku; Kim, Jeong-Hoon; Kim, Hyun-cheol; Hwang, Jihyun; Jo, Young-Heon; Lee, Sang Heon</t>
  </si>
  <si>
    <t>Environmental Forcings on the Remotely Sensed Phytoplankton Bloom Phenology in the Central Ross Sea Polynya</t>
  </si>
  <si>
    <t>Ross Sea polynya; chlorophyll phenology; interannual variability; adjusted Gaussian fitting; multilinear regression</t>
  </si>
  <si>
    <t>ANTARCTIC CIRCUMPOLAR CURRENT; PHAEOCYSTIS-ANTARCTICA; OCEAN; ICE; IRON; PRODUCTIVITY; DYNAMICS; VARIABILITY; MODEL; SHELF</t>
  </si>
  <si>
    <t>We investigated the interannual variability of the phytoplankton bloom in the central Ross Sea Polynya derived from the annual phenology metrics of the bloom based on ocean color satellite measurements obtained between 2002 and 2017. The phenology metrics determined by the adjusted Gaussian fitting method include the bloom amplitude (BA), bloom initiation timing (BIT), and bloom peak timing (BPT). We found the following results for three phenology metrics. The BA tended to increase since 2002, probably related to the formation of open water area by the atmospheric circulation changes on the synoptic scale over the Ross Sea. The significant sea ice loss trend due to the changing winds over the entire southern coast of the Ross Sea was found. Continuous winds in widened open water can move surface water masses more easily along the wind direction, transferring water masses or chlorophyll pigments themselves accordingly. This process has led to the recent intense bloom in the central Ross Sea Polynya. The interannual variability of the BIT is a function of the sea surface temperature in November and wind speed in October, implying that there is a strong association between ice drift and melting, which can be primarily related to the onset of the polynya expansion. Although there was no direct factor to the BPT, it was somewhat related to the BIT and BA. In other words, the environmental factors forming the BIT and BA might have indirectly influenced the BPT, suggesting that early polynya and large biomass could lead to promoting the bloom decay.</t>
  </si>
  <si>
    <t>[Park, Jinku; Hwang, Jihyun; Jo, Young-Heon; Lee, Sang Heon] Pusan Natl Univ, Dept Oceanog, Busan, South Korea; [Kim, Jeong-Hoon; Kim, Hyun-cheol] Korea Polar Res Inst, Incheon, South Korea</t>
  </si>
  <si>
    <t>Pusan National University; Korea Polar Research Institute (KOPRI)</t>
  </si>
  <si>
    <t>Jo, YH (corresponding author), Pusan Natl Univ, Dept Oceanog, Busan, South Korea.</t>
  </si>
  <si>
    <t>joyoung@pusan.ac.kr</t>
  </si>
  <si>
    <t>Kim, Hyun-Cheol/AAP-1250-2020</t>
  </si>
  <si>
    <t>Kim, Hyun-Cheol/0000-0002-6831-9291; Jo, Young-Heon/0000-0002-8013-998X; Lee, Sang/0000-0003-2445-0690</t>
  </si>
  <si>
    <t>Ecosystem Structure and Function of Marine Protected Area (MPA) in Antarctica project - Ministry of Oceans and Fisheries, Korea [PM18060, 20170336]; National Research Foundation of Korea (NRF) - Korea government (MSIP) [NRF-2018R1A2B2006555]</t>
  </si>
  <si>
    <t>Ecosystem Structure and Function of Marine Protected Area (MPA) in Antarctica project - Ministry of Oceans and Fisheries, Korea; National Research Foundation of Korea (NRF) - Korea government (MSIP)</t>
  </si>
  <si>
    <t>This research was supported by the Ecosystem Structure and Function of Marine Protected Area (MPA) in Antarctica project (PM18060), funded by the Ministry of Oceans and Fisheries (20170336), Korea and also by the National Research Foundation of Korea (NRF) Grant funded by the Korea government (MSIP; NRF-2018R1A2B2006555). The Moderate Resolution Imaging Spectroradiometer (MODIS) chlorophyll-a concentration data are provided by the Ocean Biology Processing Group at the National Aeronautics and Space Administration, from their website (http://oceancolor.gsfc.nasa.gov).The daily Optimum Interpolation SST data and NCEP reanalysis data were provided by the NOAA, USA (https://www.ncdc.noaa.gov/).The sea ice concentration data were derived from the Special Sensor Microwave Imager and the Special Sensor Microwave Imager/Sounder passive microwave radiometer data sets, provided by the National Snow and Ice Data Center (http://nsidc.org/data/nsidc-0051).We used the Coupled Model Intercomparison Project Phase 5 (CMIP5) model simulation output obtained from the Asia-Pacific Data Research Center (http://apdrc.soest.hawaii.edu).</t>
  </si>
  <si>
    <t>10.1029/2019JC015222</t>
  </si>
  <si>
    <t>WOS:000490464200004</t>
  </si>
  <si>
    <t>Davis, PED; Nicholls, KW</t>
  </si>
  <si>
    <t>Davis, Peter E. D.; Nicholls, Keith W.</t>
  </si>
  <si>
    <t>Turbulence Observations Beneath Larsen C Ice Shelf, Antarctica</t>
  </si>
  <si>
    <t>PINE ISLAND GLACIER; BOUNDARY-LAYER BENEATH; GROUNDING LINE RETREAT; CIRCUMPOLAR DEEP-WATER; WEST ANTARCTICA; KINETIC-ENERGY; KOHLER GLACIERS; LOCAL ISOTROPY; WEDDELL SEA; MELTING ICE</t>
  </si>
  <si>
    <t>Increased ocean-driven basal melting beneath Antarctic ice shelves causes grounded ice to flow into the ocean at an accelerated rate, with consequences for global sea level. The turbulent transfer of heat through the ice shelf-ocean boundary layer is critical in setting the basal melt rate, yet the processes controlling this transfer are poorly understood and inadequately represented in global climate models. This creates large uncertainties in predictions of future sea level rise. Using a hot-water drilled access hole, two turbulence instrument clusters (TICs) were deployed 2.5 and 13.5 m beneath Larsen C ice shelf in December 2011. Both instruments returned a yearlong record of turbulent velocity fluctuations, providing a unique opportunity to explore the turbulent processes within the ice shelf-ocean boundary layer. Although the scaling between the turbulent kinetic energy (TKE) dissipation rate and mean flow speed varies with distance from the ice shelf base, at both TICs the TKE dissipation rate is balanced entirely by the rate of shear production. The freshwater released by basal melting plays no role in the TKE balance. When the upper TIC is within the log-layer, we derive an under-ice drag coefficient of 0.0022 and a roughness length of 0.44 mm, indicating that the ice base is smooth. Finally, we demonstrate that although the canonical three-equation melt rate parameterization can accurately predict the melt rate for this example of smooth ice underlain by a cold, tidally forced boundary layer, the law of the wall assumption employed by the parameterization does not hold at low flow speeds. Plain Language Summary Antarctic ice shelves are the floating extensions of the Antarctic ice sheet. They help control the future contribution of Antarctica to global sea level rise by restricting the flow of grounded ice into the ocean. Many ice shelves are increasingly being melted from beneath by relatively warm ocean waters, leading to an acceleration in the flow of ice from the ice sheet interior into the ocean. The very small-scale turbulent processes that control the rate of basal melting, however, are poorly represented in global climate models, resulting in large uncertainties in projections of future sea level rise. Here we present a yearlong record of the turbulent processes that drive basal melting beneath an Antarctic ice shelf. We show that at our measurement site the turbulence generated by the mean flow is dissipated entirely by small-scale molecular processes. The freshwater released by basal melting does not significantly influence the turbulent environment. Most importantly, however, we demonstrate directly from our observations that existing representations of basal melting in global climate models can accurately predict the melt rate when turbulent mixing is sufficiently intense to overcome stratification. Much work remains to be done, as the turbulent environment varies widely between ice shelves.</t>
  </si>
  <si>
    <t>[Davis, Peter E. D.; Nicholls, Keith W.] NERC, British Antarctic Survey, Cambridge, England</t>
  </si>
  <si>
    <t>UK Research &amp; Innovation (UKRI); Natural Environment Research Council (NERC); NERC British Antarctic Survey</t>
  </si>
  <si>
    <t>Davis, PED (corresponding author), NERC, British Antarctic Survey, Cambridge, England.</t>
  </si>
  <si>
    <t>petvis@bas.ac.uk</t>
  </si>
  <si>
    <t>Davis, Peter/0000-0002-6471-6310</t>
  </si>
  <si>
    <t>UK Natural Environment Research Council (NERC) [NE/H009205/1]; NERC Ice shelves in a warming world: Filchner Ice Shelf system program [NE/L013770/1]; NERC [NE/L013770/1, bas0100033, NE/H009205/1] Funding Source: UKRI</t>
  </si>
  <si>
    <t>UK Natural Environment Research Council (NERC)(UK Research &amp; Innovation (UKRI)Natural Environment Research Council (NERC)); NERC Ice shelves in a warming world: Filchner Ice Shelf system program; NERC(UK Research &amp; Innovation (UKRI)Natural Environment Research Council (NERC))</t>
  </si>
  <si>
    <t>We are grateful for the comments from Satoshi Kimura and Carolyn Begeman that significantly improved the manuscript. The work in this paper is part of the Sub Ice Shelf Boundary Layer Experiment, funded by the UK Natural Environment Research Council (NERC) grant NE/H009205/1. P. D. and K. N. also received funding from the NERC Ice shelves in a warming world: Filchner Ice Shelf system program (grant NE/L013770/1). The turbulence data are available from the UK Polar Data Centre (https://doi.org/10.5285/16ee2665-d0d0-41b9-a046-23b0a7369c61)</t>
  </si>
  <si>
    <t>10.1029/2019JC015164</t>
  </si>
  <si>
    <t>WOS:000490464200011</t>
  </si>
  <si>
    <t>Arroyo, MC; Shadwick, EH; Tilbrook, B</t>
  </si>
  <si>
    <t>Arroyo, M. C.; Shadwick, E. H.; Tilbrook, B.</t>
  </si>
  <si>
    <t>Summer Carbonate Chemistry in the Dalton Polynya, East Antarctica</t>
  </si>
  <si>
    <t>CO2 system; East Antarctica; Dalton Polynya; net community production; air-sea exchange</t>
  </si>
  <si>
    <t>NET COMMUNITY PRODUCTION; SEA CO2 EXCHANGE; TERRA-NOVA BAY; ROSS SEA; SOUTHERN-OCEAN; GAS-EXCHANGE; SEASONAL CYCLE; WIND-SPEED; PRYDZ BAY; ICE</t>
  </si>
  <si>
    <t>The carbonate chemistry in the Dalton Polynya in East Antarctica (115 degrees-123 degrees E) was investigated in summer 2014/2015 using high-frequency underway measurements of CO2 fugacity (fCO(2)) and discrete water column measurements of total dissolved inorganic carbon (TCO2) and total alkalinity. Air-sea CO2 fluxes indicate this region was a weak net source of CO2 to the atmosphere (0.7 +/- 0.9 mmol C m(-2) day(-1)) during the period of observation, with the largest degree of surface water supersaturation (Delta fCO(2) = +45 mu atm) in ice-covered waters near the Totten Ice Shelf (TIS) as compared to the ice-free surface waters in the Dalton Polynya. The seasonal depletion of mixed-layer TCO2 (6 to 51 mu mol/kg) in ice-free regions was primarily driven by sea ice melt and biological CO2 uptake. Estimates of net community production (NCP) reveal net autotrophy in the ice-free Dalton Polynya (NCP = 5-20 mmol C m(-2) day(-1)) and weakly heterotrophic waters near the ice-covered TIS (NCP = -4-0 mmol C m(-2) day(-1)). Satellite-derived estimates of chlorophyll a (Chl a) and sea ice coverage suggest that the early summer season in 2014/2015 was anomalous relative to the long-term (1997-2017) record, with lower surface Chl a concentrations and a greater degree of sea ice cover during the period of observation; the implications for seasonal primary production and air-sea CO2 exchange are discussed. This study highlights the importance of both physical and biological processes in controlling air-sea CO2 fluxes and the significant interannual variability of the CO2 system in Antarctic coastal regions. Plain Language Summary Coastal polynyas in Antarctica are dynamic regions that play important roles in the global cycling of carbon. Polynyas are reoccurring areas of open water within sea ice and are often associated with enhanced rates of photosynthesis and exchange of carbon dioxide between the atmosphere and ocean surface. In this study, we use shipboard observations from the first oceanographic cruise in the Dalton Polynya near the Totten and Moscow University Ice Shelves in East Antarctica to characterize the inorganic carbon chemistry in the summertime. We find that the surface concentrations of total dissolved inorganic carbon are reduced in areas of open water mainly as a result of seasonal sea ice melt and the uptake of inorganic carbon by photosynthesis and less so due to air-sea exchange of carbon dioxide. Compared to other coastal polynyas in East Antarctica, our results show that the Dalton Polynya may have smaller rates of net photosynthesis and carbon dioxide exchange.</t>
  </si>
  <si>
    <t>[Arroyo, M. C.; Shadwick, E. H.] William &amp; Mary, Virginia Inst Marine Sci, Gloucester Point, VA 23185 USA; [Shadwick, E. H.; Tilbrook, B.] CSIRO Oceans &amp; Atmosphere, Hobart, Tas, Australia; [Shadwick, E. H.; Tilbrook, B.] Antarctic Climate &amp; Ecosyst Cooperat Res Ctr, Hobart, Tas, Australia</t>
  </si>
  <si>
    <t>William &amp; Mary; Virginia Institute of Marine Science; Commonwealth Scientific &amp; Industrial Research Organisation (CSIRO); Antarctic Climate &amp; Ecosystems Cooperative Research Centre (ACE CRC)</t>
  </si>
  <si>
    <t>Arroyo, MC (corresponding author), William &amp; Mary, Virginia Inst Marine Sci, Gloucester Point, VA 23185 USA.</t>
  </si>
  <si>
    <t>marroyo@vims.edu</t>
  </si>
  <si>
    <t>Tilbrook, Bronte/A-1522-2012</t>
  </si>
  <si>
    <t>Tilbrook, Bronte/0000-0001-9385-3827; Arroyo, Mar/0000-0002-9794-5750</t>
  </si>
  <si>
    <t>Australian Government's Cooperative Research Centre Program, through the Antarctic Climate &amp; Ecosystems Cooperative Research Centre (ACE CRC); Integrated Marine Observing System Ship of Opportunity Program; Graduate Research Fellowship Program (GRFP) through the U.S. National Science Foundation; Rebecca Dickhut Endowment through the Virginia Institute of Marine Science</t>
  </si>
  <si>
    <t>Australian Government's Cooperative Research Centre Program, through the Antarctic Climate &amp; Ecosystems Cooperative Research Centre (ACE CRC)(Australian GovernmentDepartment of Industry, Innovation and ScienceCooperative Research Centres (CRC) Programme); Integrated Marine Observing System Ship of Opportunity Program; Graduate Research Fellowship Program (GRFP) through the U.S. National Science Foundation; Rebecca Dickhut Endowment through the Virginia Institute of Marine Science</t>
  </si>
  <si>
    <t>We thank the science party, captain, and crew that participated on the RV Aurora Australis AU1402 voyage. This work was supported by the Australian Government's Cooperative Research Centre Program, through the Antarctic Climate &amp; Ecosystems Cooperative Research Centre (ACE CRC), and the Integrated Marine Observing System Ship of Opportunity Program. Mar C. Arroyo is supported by the Graduate Research Fellowship Program (GRFP) through the U.S. National Science Foundation and by the Rebecca Dickhut Endowment through the Virginia Institute of Marine Science. We thank K. Berry, E. van Ooijen, and A. Passmore for collection and analysis of CO2 system data, S. Rintoul and M. Rosenberg for CTD data, and the CSIRO Hydrochemistry group for the analysis of dissolved oxygen and nutrients. We acknowledge the use of public data products: NCEP/NCAR Reanalysis Derived data provided by NOAA/OAR/ESRL PSD (http://www.esrl.noaa.gov.psd) for wind speed data, NASA OceanColor (http://oceancolor.gsdc.nasa.gov) for satellite chlorophyll measurements, and the National Snow and Ice Data Center (http://nsdic.org) for sea ice coverage. The underway fCO2 data are publicly available through the Integrated Marine Observing System and the Australian Ocean Data Network (http://aodn.org.au).This paper is Contribution No. 3821 of the Virginia Institute of Marine Science, College of William &amp; Mary.</t>
  </si>
  <si>
    <t>10.1029/2018JC014882</t>
  </si>
  <si>
    <t>WOS:000490464200017</t>
  </si>
  <si>
    <t>Cartwright, J; Banks, CJ; Srokosz, M</t>
  </si>
  <si>
    <t>Cartwright, Jessica; Banks, Christopher J.; Srokosz, Meric</t>
  </si>
  <si>
    <t>Sea Ice Detection Using GNSS-R Data From TechDemoSat-1</t>
  </si>
  <si>
    <t>Global Navigation Satellite Systems Reflectometry (GNSS-R); sea ice; sea ice detection; delay-Doppler map; TechDemoSat-1; remote sensing</t>
  </si>
  <si>
    <t>GPS SIGNALS; ALTIMETRY; SCATTERING; RETRIEVAL</t>
  </si>
  <si>
    <t>A new method for the detection of sea ice using GNSS-R (Global Navigation Satellite Systems Reflectometry) is presented and applied to 33 months of data from the U.K. TechDemoSat-1 mission. This method of sea ice detection shows the potential for a future GNSS-R polar mission, attaining an agreement of over 98% and 96% in the Antarctic and Arctic, respectively, when compared to the European Space Agency's Climate Change Initiative sea ice concentration product. The algorithm uses a combination of two parameters derived from the delay-Doppler Maps to quantify the spread of power in delay and Doppler. Application of thresholds then allows sea ice to be distinguished from open water. Differences between the TechDemoSat-1 sea ice detection and comparison data sets are explored. The results provide information on the seasonal and multiyear changes in sea ice distribution of the Arctic and Antarctic. Future potential and applications of this technique are discussed. Plain Language Summary Monitoring of sea ice is essential in order to see the effects of a changing climate as well as understanding potential changes in the future. As a highly dynamic component of the cryosphere, sea ice plays an important role in these changes. Due to the remote nature and large area of sea ice, this must be performed through satellite observation in order to limit the spatial and temporal bias seen with in situ data. Presented is a novel technique for the detection of sea ice using GPS signals reflected from the ocean surface. A simple, low-cost receiver picks up these signals from a spaceborne platform. In this case, data are collected from United Kingdom's TechDemoSat-1 mission, which, although not designed for such measurements, gives excellent agreement with sea ice extent data from existing published sources.</t>
  </si>
  <si>
    <t>[Cartwright, Jessica; Srokosz, Meric] Natl Oceanog Ctr, Southampton, Hants, England; [Cartwright, Jessica] Univ Southampton, Ocean &amp; Earth Sci, Natl Oceanog Ctr, Southampton, Hants, England; [Banks, Christopher J.] Natl Oceanog Ctr, Liverpool, Merseyside, England</t>
  </si>
  <si>
    <t>NERC National Oceanography Centre; University of Southampton; NERC National Oceanography Centre; NERC National Oceanography Centre</t>
  </si>
  <si>
    <t>Cartwright, J (corresponding author), Natl Oceanog Ctr, Southampton, Hants, England.;Cartwright, J (corresponding author), Univ Southampton, Ocean &amp; Earth Sci, Natl Oceanog Ctr, Southampton, Hants, England.</t>
  </si>
  <si>
    <t>jc1n15@noc.soton.ac.uk</t>
  </si>
  <si>
    <t>Banks, Chris J/A-5334-2012; Cartwright, Jessica/AAT-8201-2020</t>
  </si>
  <si>
    <t>Cartwright, Jessica/0000-0002-7569-9974; Srokosz, Meric/0000-0002-7347-7411</t>
  </si>
  <si>
    <t>Natural Environment Research Council [NE/L002531/1]</t>
  </si>
  <si>
    <t>Natural Environment Research Council(UK Research &amp; Innovation (UKRI)Natural Environment Research Council (NERC))</t>
  </si>
  <si>
    <t>The authors would like to thank M. P. Clarizia for useful discussions relating to this work as well as the TechDemoSat-1 team at Surry Satellite Technology Limited (SSTL) for making all data acquired publicly available (merrbys.co.uk). Thanks also to the European Space Agency Climate Change Initiative for the provision of sea ice concentration values with which this technique was trained and validated (http://esa-cci.nersc.no/), as well as National Snow and Ice Data Centre for making both the sea ice concentration data (https://nsidc.org/data/nsidc-0051) and operational MASIE product (https://nsidc.org/data/masie) available for comparisons. Thanks also to Ocean and Sea Ice Satellite Application Facility for the sea ice edge product used in comparisons (http://osisaf.met.no/p/ice/).Thank you to the reviewers whose comments helped improve this manuscript. This work was supported by the Natural Environment Research Council (Grant NE/L002531/1).</t>
  </si>
  <si>
    <t>10.1029/2019JC015327</t>
  </si>
  <si>
    <t>Green Accepted, hybrid, Green Submitted</t>
  </si>
  <si>
    <t>WOS:000490464200026</t>
  </si>
  <si>
    <t>Kolodziejczyk, N; Llovel, W; Portela, E</t>
  </si>
  <si>
    <t>Kolodziejczyk, Nicolas; Llovel, William; Portela, Esther</t>
  </si>
  <si>
    <t>Interannual Variability of Upper Ocean Water Masses as Inferred From Argo Array</t>
  </si>
  <si>
    <t>water masses; ocean heat content; interannual variability; Argo; mode water; atmospheric forcing</t>
  </si>
  <si>
    <t>PLANETARY WAVE-PROPAGATION; VARYING MEAN FLOW; AIR-SEA FLUXES; SOUTHERN-OCEAN; HEAT-CONTENT; POTENTIAL VORTICITY; BOTTOM TOPOGRAPHY; ANTARCTIC MODE; CIRCULATION; PACIFIC</t>
  </si>
  <si>
    <t>Interannual variability of Ocean Heat Content (OHC) is intimately linked to ocean water mass changes. Water mass characteristics are imprinted at the ocean surface and are modulated by climate variability on interannual to decadal time scales. In this study, we investigate the water mass change and their variability using an isopycnal decomposition of the OHC. For that purpose, we address the thickness and temperature changes of these water masses using both individual temperature-salinity profiles and optimal interpolated products from Argo data. Isopycnal decomposition allows us to characterize the water mass interannual variability and decadal trends of volume and OHC. During the last decade (2006-2015), much of interannual and decadal warming is associated with Southern Hemisphere Subtropical Mode Water and Subantarctic Mode Water, particularly in the South Pacific Eastern Subtropical Mode Water, the Southeastern Indian Subantarctic Mode Water, and the Southern Pacific Subantarctic Mode Water. In contrast, Antarctic Intermediate Water in the Southern Hemisphere and North Atlantic Subtropical Mode Water in the Northern Hemisphere have cooled. This OHC interannual variability is mainly explained by volume (or mass) changes of water masses related to the isopycnal heaving. The forcing mechanisms and interior dynamics of water masses are discussed in the context of the wind stress change and ocean adjustment occurring at interannual time scale.</t>
  </si>
  <si>
    <t>[Kolodziejczyk, Nicolas; Portela, Esther] Univ Brest, CNRS, IRD, Ifremer,Lab Oceanog Phys &amp; Spatiale, Plouzane, France; [Llovel, William] UPS, CNES, IRD, LEGOS,CNRS, Toulouse, France</t>
  </si>
  <si>
    <t>Universite de Bretagne Occidentale; Institut de Recherche pour le Developpement (IRD); Ifremer; Centre National de la Recherche Scientifique (CNRS); Universite de Toulouse; Universite Toulouse III - Paul Sabatier; Centre National de la Recherche Scientifique (CNRS); Institut de Recherche pour le Developpement (IRD); Laboratoire d'Etudes en Geophysique et oceanographie spatiales</t>
  </si>
  <si>
    <t>Kolodziejczyk, N (corresponding author), Univ Brest, CNRS, IRD, Ifremer,Lab Oceanog Phys &amp; Spatiale, Plouzane, France.</t>
  </si>
  <si>
    <t>nicolas.kolodziejczyk@univ-brest.fr</t>
  </si>
  <si>
    <t>Kolodziejczyk, Nicolas/ABG-2605-2021; LLOVEL, William/G-6930-2016</t>
  </si>
  <si>
    <t>Kolodziejczyk, Nicolas/0000-0002-0751-1351; Llovel, william/0000-0002-0798-7595; Portela Rodriguez, Esther/0000-0003-4044-4581</t>
  </si>
  <si>
    <t>AcCOLADE LEFE project; LOPS ISAS project; Louis Gentil-Jacques Bourcart fellowship from the French Academie des Sciences; OVALIE project from ESA Living Planet Fellowship fundings; CNES</t>
  </si>
  <si>
    <t>AcCOLADE LEFE project; LOPS ISAS project; Louis Gentil-Jacques Bourcart fellowship from the French Academie des Sciences; OVALIE project from ESA Living Planet Fellowship fundings; CNES(Centre National D'etudes Spatiales)</t>
  </si>
  <si>
    <t>This work was supported by the AcCOLADE LEFE project and LOPS ISAS project. ISAS15 is produced at LOPS as part of the Service National d'Observation Argo France and made freely available (doi: http://doi.org/10.17882/52367).William Llovel was supported by Louis Gentil-Jacques Bourcart fellowship from the French Academie des Sciences and by OVALIE project from ESA Living Planet Fellowship fundings. This work is mainly based on the Argo data set and thus benefited from the in-depth involvement of scientists and data managers with regard to float deployment and data validation and distribution (http://www.argo.ucsd.edu/).The altimeter products were produced by Ssalto/Duacs and distributed by Aviso, with support from CNES (http://www.aviso.altimetry.fr/duacs/).MDT_CNES-CLS13 was produced by CLS Space Oceanography Division and distributed by Aviso, with support from CNES (http://www.aviso.altimetry.fr/).N.K.thanks Pr. Alain Colin de Verdiere for many valuable and helpful discussions and providing the barotropic current computation. The authors also thank anonymous reviewers that greatly helped to improve the manuscript.</t>
  </si>
  <si>
    <t>10.1029/2018JC014866</t>
  </si>
  <si>
    <t>WOS:000490464200040</t>
  </si>
  <si>
    <t>Hudson, K; Oliver, MJ; Bernard, K; Cimino, MA; Fraser, W; Kohut, J; Statscewich, H; Winsor, P</t>
  </si>
  <si>
    <t>Hudson, K.; Oliver, M. J.; Bernard, K.; Cimino, M. A.; Fraser, W.; Kohut, J.; Statscewich, H.; Winsor, P.</t>
  </si>
  <si>
    <t>Reevaluating the Canyon Hypothesis in a Biological Hotspot in the Western Antarctic Peninsula</t>
  </si>
  <si>
    <t>West Antarctic Peninsula; canyon hypothesis; upwelling; biological hotspot</t>
  </si>
  <si>
    <t>CIRCUMPOLAR DEEP-WATER; CONTINENTAL-SHELF; SUBMARINE-CANYON</t>
  </si>
  <si>
    <t>In the Western Antarctic Peninsula, increased biological activity at many levels of the food web are spatially coherent with submarine canyons. One possible mechanism that links the presence of these canyons to increased biological productivity is through the local upwelling of nutrient-rich modified Upper Circumpolar Deep Water (mUCDW) to the surface, which supports high phytoplankton stocks, krill, penguins, and whales. In the austral summer of 2015, we investigated this hypothesis by deploying three autonomous Slocum gliders over Palmer Deep Canyon, near Palmer Station, Antarctica. Although we observed the shallowing of mUCDW consistent with canyon-driven isopycnal uplift, these deep waters did not penetrate the phytoplankton rich surface mixed layer. Waters below the mixed layer, however, were strongly coherent with bathymetry, suggesting the strong influence of the canyon. The decoupling of the surface mixed layer from the mUCDW suggests that local upwelling may not be the mechanism that supports the biological hotspot. New physical mechanisms that could support the biological hotspot at Palmer Deep Canyon are suggested. Plain Language Summary It has been suggested that the association of deep submarine canyons and the biological hotspot at Palmer Deep Canyon in the Western Antarctic Peninsula is due to the local upwelling of deep, nutrient-rich water to the surface, increasing phytoplankton growth and thus attracting local krill and, in turn, supporting upper trophic levels. However, we found that during the season of peak biological activity, summer stratification isolates the productive surface waters from the nutrient-rich water. Therefore, we suggest that upwelling of nutrient-rich water is not the mechanism driving this canyon associated biological hotspot. We suggest alternative mechanisms related to horizontal transport.</t>
  </si>
  <si>
    <t>[Hudson, K.; Oliver, M. J.] Univ Delaware, Coll Earth Ocean &amp; Environm, Lewes, DE 19958 USA; [Bernard, K.] Oregon State Univ, Coll Earth Ocean &amp; Atmospher Sci, Corvallis, OR 97331 USA; [Cimino, M. A.] Univ Calif Santa Cruz, Inst Marine Sci, Santa Cruz, CA 95064 USA; [Fraser, W.] Polar Oceans Res Grp, Sheridan, MT USA; [Kohut, J.] Rutgers State Univ, Dept Marine &amp; Coastal Sci, New Brunswick, NJ USA; [Statscewich, H.; Winsor, P.] Univ Alaska Fairbanks, Coll Fisheries &amp; Ocean Sci, Fairbanks, AK USA</t>
  </si>
  <si>
    <t>University of Delaware; Oregon State University; University of California System; University of California Santa Cruz; Rutgers University System; Rutgers University New Brunswick; University of Alaska System; University of Alaska Fairbanks</t>
  </si>
  <si>
    <t>Hudson, K (corresponding author), Univ Delaware, Coll Earth Ocean &amp; Environm, Lewes, DE 19958 USA.</t>
  </si>
  <si>
    <t>khudson@udel.edu</t>
  </si>
  <si>
    <t>Bernard, Kim/J-2703-2013</t>
  </si>
  <si>
    <t>Bernard, Kim/0000-0003-0509-2744; Gallagher, Katherine/0000-0002-3076-8016; Cimino, Megan/0000-0002-1715-2903; Statscewich, Hank/0000-0002-0294-4764</t>
  </si>
  <si>
    <t>National Science Foundation [ANT-1327248, OPP-1440435]</t>
  </si>
  <si>
    <t>This project was funded through the National Science Foundation, Award ANT-1327248, with additional support provided by Award OPP-1440435 to W. R. F. We are grateful to the Antarctic Support Contractor and their teams, both in Denver, CO, aboard the ARSV Laurence M. Gould, and at Palmer Station, without whom a project such as ours would be impossible. We also thank the students and field assistants for their valued involvement in the CONVERGE project. Finally, we thank the Palmer Antarctica Long-Term Ecological Research team, for their advice, suggestions, and collaboration. Glider data can be accessed at ERDDAP server (https://data.ioos.us/gliders/erddap/info/index.html).LTER data can be accessed online (https://oceaninformatics.ucsd.edu/datazoo/catalogs/pall-ter/datasets).Wind data can be accessed online (http://accession.nodc.noaa.gov/0187193).</t>
  </si>
  <si>
    <t>10.1029/2019JC015195</t>
  </si>
  <si>
    <t>WOS:000490464200054</t>
  </si>
  <si>
    <t>Tochácek, J; Láska, K; Bálková, R; Krmícek, L; Merna, J; Tupy, M; Kapler, P; Polácek, P; Cízková, K; Burán, Z</t>
  </si>
  <si>
    <t>Tochacek, Jiri; Laska, Kamil; Balkova, Radka; Krmicek, Lukas; Merna, Jan; Tupy, Michael; Kapler, Pavel; Polacek, Petr; Cizkova, Klara; Buran, Zdenek</t>
  </si>
  <si>
    <t>Polymer weathering in Antarctica</t>
  </si>
  <si>
    <t>POLYMER TESTING</t>
  </si>
  <si>
    <t>Weathering; Photo-oxidation; Stabilization; Polypropylene; Antarctica; HALS</t>
  </si>
  <si>
    <t>SOLAR UV-RADIATION; POLYPROPYLENE; PHOTOOXIDATION; TEMPERATURE; BEHAVIOR; STATION; OUTDOOR; CLIMATE</t>
  </si>
  <si>
    <t>Antarctica is definitely not a typical locality for polymer testing, and yet, polymers are used there. Antarctic climate is typical with a higher portion of solar ultraviolet (UV) part in the global radiation and extremely low temperatures. Overall effect of Antarctic climatic conditions on polymer environmental degradation was investigated. Weathering experiments were carried out on 0.5 mm isotactic polypropylene homopolymer (h-PP) extruded films - non-UV-stabilized and stabilized with 1000 ppm HALS-1 (low-molecular) and 1000 ppm HALS-2 (oligomeric), respectively. The materials were exposed on James Ross Island in Antarctica for 3 years. A parallel reference series representing weathering in Central Europe (CE) was exposed in Brno, Czech Republic. Climatic data such as incident UV-A, UV-B and global radiation, outdoor air temperatures and total ozone content (TOC) were recorded during the experiment at both exposure sites. Degradation changes in polymer matrix were determined using GPC, FTIR, DSC, TGA, LTHS, SEM techniques and tensile tests. The measurements provided valuable data on h-PP photo-oxidation in Antarctica, on its possible UV stabilization and showed that despite extremes in environmental conditions h-PP degradation rate in Antarctica was still slower compared to CE. Beside UV radiation, higher ambient temperatures accelerating the secondary propagation reactions of alkylperoxy radicals are mainly responsible for the faster photo-degradation in CE.</t>
  </si>
  <si>
    <t>[Tochacek, Jiri; Polacek, Petr] Brno Univ Technol, CEITEC Cent European Inst Technol, Purkyrnova 123, Brno 61200, Czech Republic; [Laska, Kamil; Krmicek, Lukas; Kapler, Pavel; Cizkova, Klara] Masaryk Univ, Fac Sci, Kotlarska 2, Brno 61137, Czech Republic; [Balkova, Radka] Brno Univ Technol, Fac Chem, Purkynova 118, Brno 61200, Czech Republic; [Krmicek, Lukas] Brno Univ Technol, Fac Civil Engn, AdMaS Ctr, Veveri 95, Brno 60200, Czech Republic; [Merna, Jan] Univ Chem &amp; Technol, Fac Chem Technol, Tech 5, Prague 166286, Czech Republic; [Tupy, Michael] Fatra As, Tr Tomase Bati 1541, Napajedla 76361, Czech Republic; [Buran, Zdenek] Polymer Inst Brno, Unipetrol RPA, Tkalcovska 2, Brno 65649, Czech Republic</t>
  </si>
  <si>
    <t>Brno University of Technology; Masaryk University Brno; Brno University of Technology; Brno University of Technology; University of Chemistry &amp; Technology, Prague</t>
  </si>
  <si>
    <t>Tochácek, J (corresponding author), Brno Univ Technol, CEITEC Cent European Inst Technol, Purkyrnova 123, Brno 61200, Czech Republic.</t>
  </si>
  <si>
    <t>jiri.tochacek@ceitec.vutbr.cz</t>
  </si>
  <si>
    <t>Laska, Kamil/L-7875-2013; Krmíček, Lukáš/ABB-2293-2020; Balkova, Radka/AAY-8415-2020; Polacek, Petr/D-9873-2012; Merna, Jan/C-6198-2012</t>
  </si>
  <si>
    <t>Laska, Kamil/0000-0002-5199-9737; Krmíček, Lukáš/0000-0003-0943-9776; Balkova, Radka/0000-0003-1595-4125; Polacek, Petr/0000-0003-0879-6851; Merna, Jan/0000-0002-6508-0844; Cizkova, Klara/0000-0003-3543-6456</t>
  </si>
  <si>
    <t>Ministry of Education, Youths and Sports of the Czech Republic [LQ1601]; BUT project - Ministry of Education, Youth and Sports CR under the National Sustainability Programme I [LO1408]; [LM2015078]; [CZ.02.1.01/0.0/0.0/16_013/0001708]</t>
  </si>
  <si>
    <t>Ministry of Education, Youths and Sports of the Czech Republic(Ministry of Education, Youth &amp; Sports - Czech Republic); BUT project - Ministry of Education, Youth and Sports CR under the National Sustainability Programme I; ;</t>
  </si>
  <si>
    <t>The results of this research have been acquired within CEITEC 2020 (LQ1601) project with financial contribution made by the Ministry of Education, Youths and Sports of the Czech Republic within special support paid from the National Programme for Sustainability II funds.; Fieldwork was supported by the crew of J. G. Mendel Station financed by the Ministry of Education, Youth and Sports of the Czech Republic and the project no. LM2015078 and CZ.02.1.01/0.0/0.0/16_013/0001708. We also thank the OMI science team for providing the total ozone content data, which was acquired from NASA GSFC FTP website ftp://jwocky.gsfc.nasa.gov/pub/omi/data/overpass/.; The work of Lukas Krmicek was financially supported by the BUT project LO1408 AdMaS UP -Advanced Materials, Structures and Technologies, supported by the Ministry of Education, Youth and Sports CR under the National Sustainability Programme I.</t>
  </si>
  <si>
    <t>ELSEVIER SCI LTD</t>
  </si>
  <si>
    <t>THE BOULEVARD, LANGFORD LANE, KIDLINGTON, OXFORD OX5 1GB, OXON, ENGLAND</t>
  </si>
  <si>
    <t>0142-9418</t>
  </si>
  <si>
    <t>1873-2348</t>
  </si>
  <si>
    <t>POLYM TEST</t>
  </si>
  <si>
    <t>Polym. Test</t>
  </si>
  <si>
    <t>10.1016/j.polymertesting.2019.105898</t>
  </si>
  <si>
    <t>Materials Science, Characterization &amp; Testing; Polymer Science</t>
  </si>
  <si>
    <t>Materials Science; Polymer Science</t>
  </si>
  <si>
    <t>IZ3RJ</t>
  </si>
  <si>
    <t>WOS:000487002700033</t>
  </si>
  <si>
    <t>Pujana, RR; Ruiz, DP</t>
  </si>
  <si>
    <t>Pujana, Roberto R.; Ruiz, Daniela P.</t>
  </si>
  <si>
    <t>Fossil woods from the Eocene-Oligocene (Rio Turbio Formation) of southwestern Patagonia (Santa Cruz province, Argentina)</t>
  </si>
  <si>
    <t>IAWA JOURNAL</t>
  </si>
  <si>
    <t>IAWA Symposium on Hydraulic Architecture through Time held during the International-Organisation-of-Paleobotany Congress</t>
  </si>
  <si>
    <t>OCT, 2016</t>
  </si>
  <si>
    <t>Salvador de Bahia, BRAZIL</t>
  </si>
  <si>
    <t>Secondary xylem; wood anatomy; Argentina; Paleogene; fossil forests</t>
  </si>
  <si>
    <t>FORMATION MIDDLE EOCENE; MACROFOSSIL RECORD; PETRIFIED PLANTS; EARLY TERTIARY; SOUTH-AMERICA; SP NOV.; ANTARCTICA; CLASSIFICATION; AFFINITIES; PROTEACEAE</t>
  </si>
  <si>
    <t>Over 80 samples of fossil woods were collected from numerous outcrops of the Rio Turbio Formation, southwestern Patagonia. Preservation of the woods is variable and only about half of these samples could be identified to genus level. The assemblage consists of six types of conifers and four types of dicotyledons, one of them a new species of Caldcluvioxylon (Cunoniaceae). We provide an emended diagnosis of Caldcluvioxylon. A previously described fossil wood from this stratigraphic unit, thought to have affinity with Proteaceae, was re-examined and is described herein as Scalarixylon romeroi sp. nov. Other families recognized in the Rio Turbio Formation wood assemblage are Araucariaceae, Podocarpaceae, and Nothofagaceae. Differences in the taxonomic composition of the upper and lower members of the Rio Turbio Formation are consistent with the age difference between them according to recent isotopic dating. The diversity of fossil wood is also consistent with the fossil leaves and pollen from each stratigraphic level and most of the taxa are shared with coeval Antarctic fossil wood floras.</t>
  </si>
  <si>
    <t>[Pujana, Roberto R.; Ruiz, Daniela P.] Consejo Nacl Invest Cient &amp; Tecn, Museo Argentine Ciencias Nat, Av Angel Gallardo 470,C1405EJR, Buenos Aires, DF, Argentina</t>
  </si>
  <si>
    <t>Consejo Nacional de Investigaciones Cientificas y Tecnicas (CONICET); Museo Argentino de Ciencias Naturales Bernardino Rivadavia (MACN)</t>
  </si>
  <si>
    <t>Pujana, RR (corresponding author), Consejo Nacl Invest Cient &amp; Tecn, Museo Argentine Ciencias Nat, Av Angel Gallardo 470,C1405EJR, Buenos Aires, DF, Argentina.</t>
  </si>
  <si>
    <t>rpujana@gmail.com</t>
  </si>
  <si>
    <t>Ruiz, Daniela Paula/0000-0002-2759-3788; Pujana, Roberto Roman/0000-0001-8006-3332</t>
  </si>
  <si>
    <t>ANPCyT [PICT 2012-0911]; CONICET [PIP 2014-0259]</t>
  </si>
  <si>
    <t>ANPCyT(ANPCyT); CONICET(Consejo Nacional de Investigaciones Cientificas y Tecnicas (CONICET))</t>
  </si>
  <si>
    <t>To Sergio A. Marenssi, Silvia N Cesari, Viviana D. Barreda, Damian Fernandez, Carolina Panti, Rafael Rodriguez Brizuela, Sebastian L. Mirabelli and Matias Andujar who helped and joined RRP in the numerous field works to southwestern Patagonia. This work was supported by the ANPCyT [PICT 2012-0911]; and the CONICET [PIP 2014-0259].</t>
  </si>
  <si>
    <t>BRILL</t>
  </si>
  <si>
    <t>LEIDEN</t>
  </si>
  <si>
    <t>PLANTIJNSTRAAT 2, P O BOX 9000, 2300 PA LEIDEN, NETHERLANDS</t>
  </si>
  <si>
    <t>0928-1541</t>
  </si>
  <si>
    <t>2294-1932</t>
  </si>
  <si>
    <t>IAWA J</t>
  </si>
  <si>
    <t>IAWA J.</t>
  </si>
  <si>
    <t>+</t>
  </si>
  <si>
    <t>10.1163/22941932-40190253</t>
  </si>
  <si>
    <t>Forestry</t>
  </si>
  <si>
    <t>IY8IV</t>
  </si>
  <si>
    <t>WOS:000486639200009</t>
  </si>
  <si>
    <t>Baylón, M; Hernández-Becerril, DU; Indacochea, A; Purca, S</t>
  </si>
  <si>
    <t>Baylon, Maribel; Hernandez-Becerril, David U.; Indacochea, Aldo; Purca, Sara</t>
  </si>
  <si>
    <t>Spatial and temporal variability of the phytoplankton in the Mackellar inlet, Admiralty Bay, King George Island, Antarctic. during summer 2012/2013</t>
  </si>
  <si>
    <t>REVISTA DE BIOLOGIA MARINA Y OCEANOGRAFIA</t>
  </si>
  <si>
    <t>Spanish</t>
  </si>
  <si>
    <t>Antarctic; diatoms; microplankton; nanoflagellates; variability</t>
  </si>
  <si>
    <t>SOUTH SHETLAND ISLANDS; PLANKTON DIATOMS; ASSEMBLAGES</t>
  </si>
  <si>
    <t>The Antarctic ecosystem is one of the most sensitive world regions to the climate change, and exhibits a wide environmental variability that modifies the temporal and spatial patterns of the phytoplankton structure. The phytoplankton community and its spatial and temporal variability of Mackellar inlet- Admiralty bay, Antarctic, were studied in two austral summers (years 2012 and 2013). Samplings were done in 11 fixed stations at three depths (0, 10 and 20 m). Antarctic Surface Water mass was identified in the surface layer at the study area. Phytoplankton composition in the water column consisted in 40 diatoms taxa, 6 dinoflagellate taxa and various species of nanoflagellates (&lt; 20 mu m). Nanoflagellates from the Mackellar inlet included Prasinophytes, Cryptophytes and Haptophytes species. Diatoms of the microplankton fraction (20-200 mu m) and nanoflagellates (&lt; 20 mu m) were in alternation during the period of this study: by summer 2012 nanoflagellates were more abundant (86 %), with diatom species of the genus Thalassiosira (11%), and by summer 2013 phytoplankton abundance was dominated by microplanktonic diatoms such as Thalassiosira delicatula (36%), Pseudonitzschia group delicatissima (9%), Porosiro glacialis (6%), the athecate dinoflagellate Gymnodinium sp. (19%) and nanoflagellates (20%). Cell densities were lower in summer 2012 compared with those in summer 2013, where a diatom bloom occurred. Phytoplankton diversity was relatively low (&lt; 1.97 bits.cell(-1)) in both summers. The main differences between the two sampling periods were the dominance of microplanktonic diatoms and nanoflagellates, which were probably caused by the decrease in salinity and increase in subsurface dissolved oxygen in the study area produced by ice melting in summer 2012 and 2013.</t>
  </si>
  <si>
    <t>[Baylon, Maribel] Univ Nacl Mayor San Marcos, Lab Ecol Acuat, Fac Ciencias Biol, Lima, Peru; [Hernandez-Becerril, David U.] Univ Nacl Autonoma Mexico, Inst Ciencias Mar &amp; Limnol, Ciudad Univ, Ciudad De Mexico, Mexico; [Indacochea, Aldo] Univ Cient Sur, Lab Ecol Marina, Fac Ciencias Vet &amp; Biol, Lima, Peru; [Purca, Sara] Inst Mar Peru IMARPE, Area Invest Marino Costeras, Direct Invest Acuicultura, Lima, Peru</t>
  </si>
  <si>
    <t>Universidad Nacional Mayor de San Marcos; Universidad Nacional Autonoma de Mexico; Universidad Cientifica del Sur (CIENTIFICA); Instituto del Mar del Peru</t>
  </si>
  <si>
    <t>Hernández-Becerril, DU (corresponding author), Univ Nacl Autonoma Mexico, Inst Ciencias Mar &amp; Limnol, Ciudad Univ, Ciudad De Mexico, Mexico.</t>
  </si>
  <si>
    <t>dhernand@cmarl.unam.mx</t>
  </si>
  <si>
    <t>Purca, Sara/E-5698-2010</t>
  </si>
  <si>
    <t>Parno Guimaraes, Giselle/0000-0002-2400-2655</t>
  </si>
  <si>
    <t>UNIV VALPARAISO</t>
  </si>
  <si>
    <t>VINA DEL MAR</t>
  </si>
  <si>
    <t>FACULTAD CIENCIAS MAR RECURSOS NATURALES, CASILLA 5080 - RENACA, VINA DEL MAR, 00000, CHILE</t>
  </si>
  <si>
    <t>0717-3326</t>
  </si>
  <si>
    <t>0718-1957</t>
  </si>
  <si>
    <t>REV BIOL MAR OCEANOG</t>
  </si>
  <si>
    <t>Rev. Biol. Mar. Oceanogr.</t>
  </si>
  <si>
    <t>10.22370/rbmo.2019.54.2.1809</t>
  </si>
  <si>
    <t>Marine &amp; Freshwater Biology; Oceanography</t>
  </si>
  <si>
    <t>IX7OF</t>
  </si>
  <si>
    <t>Green Submitted, hybrid, Green Published</t>
  </si>
  <si>
    <t>WOS:000485873100001</t>
  </si>
  <si>
    <t>Li, FJ; Peifer, C; Janussen, D; Tasdemir, D</t>
  </si>
  <si>
    <t>Li, Fengjie; Peifer, Christian; Janussen, Dorte; Tasdemir, Deniz</t>
  </si>
  <si>
    <t>New Discorhabdin Alkaloids from the Antarctic Deep-Sea Sponge Latrunculia biformis</t>
  </si>
  <si>
    <t>MARINE DRUGS</t>
  </si>
  <si>
    <t>Latrunculia; Antarctica; deep-sea sponge; molecular networking; molecular docking; discorhabdin</t>
  </si>
  <si>
    <t>MARINE SPONGE; GENUS LATRUNCULIA; FATTY-ACIDS; CYTOTOXIC PYRROLOIMINOQUINONES; DEMOSPONGIAE; CALLIPELTINS; DERIVATIVES; PORIFERA; REVISION</t>
  </si>
  <si>
    <t>The sponge genus Latrunculia is a prolific source of discorhabdin type pyrroloiminoquinone alkaloids. In the continuation of our research interest into this genus, we studied the Antarctic deep-sea sponge Latrunculia biformis that showed potent in vitro anticancer activity. A targeted isolation process guided by bioactivity and molecular networking-based metabolomics yielded three known discorhabdins, (-)-discorhabdin L (1), (+)-discorhabdin A (2), (+)-discorhabdin Q (3), and three new discorhabdin analogs (-)-2-bromo-discorhabdin D (4), (-)-1-acetyl-discorhabdin L (5), and (+)-1-octacosatrienoyl-discorhabdin L (6) from the MeOH-soluble portion of the organic extract. The chemical structures of 1-6 were elucidated by extensive NMR, HR-ESIMS, FT-IR, [alpha](D), and ECD (Electronic Circular Dichroism) spectroscopy analyses. Compounds 1, 5, and 6 showed promising anticancer activity with IC50 values of 0.94, 2.71, and 34.0 mu M, respectively. Compounds 1-6 and the enantiomer of 1 ((+)-discorhabdin L, 1e) were docked to the active sites of two anticancer targets, topoisomerase I-II and indoleamine 2,3-dioxygenase (IDO1), to reveal, for the first time, the binding potential of discorhabdins to these proteins. Compounds 5 and 6 are the first discorhabdin analogs with an ester function at C-1 and 6 is the first discorhabdin bearing a long-chain fatty acid at this position. This study confirms Latrunculia sponges to be excellent sources of chemically diverse discorhabdin alkaloids.</t>
  </si>
  <si>
    <t>[Li, Fengjie; Tasdemir, Deniz] GEOMAR Helmholtz Ctr Ocean Res Kiel, Res Unit Marine Nat Prod Chem, GEOMAR Ctr Marine Biotechnol GEOMAR Biotech, Kiel Kanal 44, D-24106 Kiel, Germany; [Peifer, Christian] Univ Kiel, Pharmaceut Chem, Gutenbergstr 76, D-24118 Kiel, Germany; [Janussen, Dorte] Senckenberg Res Inst, Senckenberganlage 25, D-60325 Frankfurt, Germany; [Janussen, Dorte] Nat Hist Museum, Senckenberganlage 25, D-60325 Frankfurt, Germany; [Tasdemir, Deniz] Univ Kiel, Fac Math &amp; Nat Sci, Christian Albrechts Pl 4, D-24118 Kiel, Germany</t>
  </si>
  <si>
    <t>Helmholtz Association; GEOMAR Helmholtz Center for Ocean Research Kiel; University of Kiel; Senckenberg Gesellschaft fur Naturforschung (SGN); University of Kiel</t>
  </si>
  <si>
    <t>Tasdemir, D (corresponding author), GEOMAR Helmholtz Ctr Ocean Res Kiel, Res Unit Marine Nat Prod Chem, GEOMAR Ctr Marine Biotechnol GEOMAR Biotech, Kiel Kanal 44, D-24106 Kiel, Germany.;Tasdemir, D (corresponding author), Univ Kiel, Fac Math &amp; Nat Sci, Christian Albrechts Pl 4, D-24118 Kiel, Germany.</t>
  </si>
  <si>
    <t>dtasdemir@geomar.de</t>
  </si>
  <si>
    <t>li, Fengjie/0000-0001-7825-7509</t>
  </si>
  <si>
    <t>China Scholarship Council; Deutsche Forschungsgemeinschaft (DFG) [JA 1063/17-1]; Land Schleswig-Holstein within the funding program Open Access Publikationsfonds</t>
  </si>
  <si>
    <t>China Scholarship Council(China Scholarship Council); Deutsche Forschungsgemeinschaft (DFG)(German Research Foundation (DFG)); Land Schleswig-Holstein within the funding program Open Access Publikationsfonds</t>
  </si>
  <si>
    <t>Fengjie Li thanks the China Scholarship Council for a Ph.D. fellowship. The Deutsche Forschungsgemeinschaft (DFG) is acknowledged by Dorte Janussen for financial support to her Antarctic sponge research (JA 1063/17-1). We thank Daniel Kersken for his dedicated effort in collection and fixation of these sponges during the PS96 expedition, thanks are due also to the captain and crew of RV POLARSTERN. We are grateful to Arlette Wenzel-Storjohann and Jana Heumann for performing anticancer assays. Joachim Grotzinger is acknowledged for offering the J-810 CD spectrometer for ECD spectrum measurement. We acknowledge financial support by Land Schleswig-Holstein within the funding program Open Access Publikationsfonds.</t>
  </si>
  <si>
    <t>MDPI</t>
  </si>
  <si>
    <t>BASEL</t>
  </si>
  <si>
    <t>ST ALBAN-ANLAGE 66, CH-4052 BASEL, SWITZERLAND</t>
  </si>
  <si>
    <t>1660-3397</t>
  </si>
  <si>
    <t>MAR DRUGS</t>
  </si>
  <si>
    <t>Mar. Drugs</t>
  </si>
  <si>
    <t>10.3390/md17080439</t>
  </si>
  <si>
    <t>Chemistry, Medicinal; Pharmacology &amp; Pharmacy</t>
  </si>
  <si>
    <t>Pharmacology &amp; Pharmacy</t>
  </si>
  <si>
    <t>IV6UL</t>
  </si>
  <si>
    <t>Green Published, Green Submitted, Green Accepted, gold</t>
  </si>
  <si>
    <t>WOS:000484403200038</t>
  </si>
  <si>
    <t>Jawak, SD; Luis, AJ; Fretwell, PT; Convey, P; Durairajan, UA</t>
  </si>
  <si>
    <t>Jawak, Shridhar D.; Luis, Alvarinho J.; Fretwell, Peter T.; Convey, Peter; Durairajan, Udhayaraj A.</t>
  </si>
  <si>
    <t>Semiautomated Detection and Mapping of Vegetation Distribution in the Antarctic Environment Using Spatial-Spectral Characteristics of WorldView-2 Imagery</t>
  </si>
  <si>
    <t>REMOTE SENSING</t>
  </si>
  <si>
    <t>semi-automated classification; customized NDVI; Antarctic vegetation; spectral processing; feature extraction; Worldview-2 data</t>
  </si>
  <si>
    <t>LAND-COVER; ARCTIC VEGETATION; LARSEMANN HILLS; TUNDRA VEGETATION; SATELLITE DATA; CLASSIFICATION; RESOLUTION; PENINSULA; SENTINEL-2; NDVI</t>
  </si>
  <si>
    <t>Effective monitoring of changes in the geographic distribution of cryospheric vegetation requires high-resolution and accurate baseline maps. The rationale of the present study is to compare multiple feature extraction approaches to remotely mapping vegetation in Antarctica, assessing which give the greatest accuracy and reproducibility relative to those currently available. This study provides precise, high-resolution, and refined baseline information on vegetation distribution as is required to enable future spatiotemporal change analyses of the vegetation in Antarctica. We designed and implemented a semiautomated customized normalized difference vegetation index (NDVI) approach for extracting cryospheric vegetation by incorporating very high resolution (VHR) 8-band WorldView-2 (WV-2) satellite data. The viability of state-of-the-art target detection, spectral processing/matching, and pixel-wise supervised classification feature extraction techniques are compared with the customized NDVI approach devised in this study. An extensive quantitative and comparative assessment was made by evaluating four semiautomatic feature extraction approaches consisting of 16 feature extraction standalone methods (four customized NDVI plus 12 existing methods) for mapping vegetation on Fisher Island and Stornes Peninsula in the Larsemann Hills, situated on continental east Antarctica. The results indicated that the customized NDVI approach achieved superior performance (average bias error ranged from similar to 6.44 +/- 1.34% to similar to 11.55 +/- 1.34%) and highest statistical stability in terms of performance when compared with existing feature extraction approaches. Overall, the accuracy analysis of the vegetation mapping relative to manually digitized reference data (supplemented by validation with ground truthing) indicated that the 16 semi-automatic mapping methods representing four general feature extraction approaches extracted vegetated area from Fisher Island and Stornes Peninsula totalling between 2.38 and 3.72 km(2) (2.85 +/- 0.10 km(2) on average) with bias values ranging from 3.49 to 31.39% (average 12.81 +/- 1.88%) and average root mean square error (RMSE) of 0.41 km(2) (14.73 +/- 1.88%). Further, the robustness of the analyses and results were endorsed by a cross-validation experiment conducted to map vegetation from the Schirmacher Oasis, East Antarctica. Based on the robust comparative analysis of these 16 methods, vegetation maps of the Larsemann Hills and Schirmacher Oasis were derived by ensemble merging of the five top-performing methods (Mixture Tuned Matched Filtering, Matched Filtering, Matched Filtering/Spectral Angle Mapper Ratio, NDVI-2, and NDVI-4). This study is the first of its kind to detect and map sparse and isolated vegetated patches (with smallest area of 0.25 m(2)) in East Antarctica using VHR data and to use ensemble merging of feature extraction methods, and provides access to an important indicator for environmental change.</t>
  </si>
  <si>
    <t>[Jawak, Shridhar D.] Svalbard Integrated Arctic Earth Observing Syst S, SIOS Knowledge Ctr, Svalbard Sci Ctr, POB 156, N-9171 Longyearbyen, Svalbard, Norway; [Jawak, Shridhar D.; Luis, Alvarinho J.] Minist Earth Sci, Polar Remote Sensing Sect, Earth Syst Sci Org, Natl Ctr Polar &amp; Ocean Res, Vasco Da Gama 403804, Goa, India; [Fretwell, Peter T.; Convey, Peter] NERC, British Antarctic Survey, Madingley Rd, Cambridge CB3 OET, England; [Durairajan, Udhayaraj A.] Wildlife Inst India, Dehra Dun 248001, Uttarakhand, India; [Durairajan, Udhayaraj A.] Univ Madras, Dept Geog, Chennai 600005, Tamil Nadu, India</t>
  </si>
  <si>
    <t>Ministry of Earth Sciences (MoES) - India; National Centre for Polar and Ocean Research (NCPOR); Earth System Science Organization (ESSO); UK Research &amp; Innovation (UKRI); Natural Environment Research Council (NERC); NERC British Antarctic Survey; Wildlife Institute of India; University of Madras</t>
  </si>
  <si>
    <t>Luis, AJ (corresponding author), Minist Earth Sci, Polar Remote Sensing Sect, Earth Syst Sci Org, Natl Ctr Polar &amp; Ocean Res, Vasco Da Gama 403804, Goa, India.</t>
  </si>
  <si>
    <t>alvluis@ncaor.gov.in</t>
  </si>
  <si>
    <t>Jawak, Shridhar/G-9678-2012; Convey, Peter/AAV-5728-2020</t>
  </si>
  <si>
    <t>Jawak, Shridhar/0000-0002-0648-3109; Convey, Peter/0000-0001-8497-9903</t>
  </si>
  <si>
    <t>Indian Antarctic Program under annual Indian Scientific Expedition to Antarctica (ISEA); ESSO-NCPOR; NERC; NERC [bas0100036, bas010011] Funding Source: UKRI</t>
  </si>
  <si>
    <t>Indian Antarctic Program under annual Indian Scientific Expedition to Antarctica (ISEA); ESSO-NCPOR; NERC(UK Research &amp; Innovation (UKRI)Natural Environment Research Council (NERC)); NERC(UK Research &amp; Innovation (UKRI)Natural Environment Research Council (NERC))</t>
  </si>
  <si>
    <t>This research received no external funding. The research was conducted using in house funding from ESSO-NCPOR and field campaigns were supported by Indian Antarctic Program under annual Indian Scientific Expedition to Antarctica (ISEA). The APC was funded by ESSO-NCPOR [http://www.ncaor.gov.in/]. PC and PTF are supported by NERC core funding to the BAS Biodiversity, Evolution and Adaptation Team and the BAS Mapping and Geographic Information Centre, respectively.</t>
  </si>
  <si>
    <t>2072-4292</t>
  </si>
  <si>
    <t>REMOTE SENS-BASEL</t>
  </si>
  <si>
    <t>Remote Sens.</t>
  </si>
  <si>
    <t>10.3390/rs11161909</t>
  </si>
  <si>
    <t>Environmental Sciences; Geosciences, Multidisciplinary; Remote Sensing; Imaging Science &amp; Photographic Technology</t>
  </si>
  <si>
    <t>Environmental Sciences &amp; Ecology; Geology; Remote Sensing; Imaging Science &amp; Photographic Technology</t>
  </si>
  <si>
    <t>IV6OL</t>
  </si>
  <si>
    <t>gold, Green Accepted</t>
  </si>
  <si>
    <t>WOS:000484387600072</t>
  </si>
  <si>
    <t>Liang, L; Li, XW; Zheng, F</t>
  </si>
  <si>
    <t>Liang, Lei; Li, Xinwu; Zheng, Fei</t>
  </si>
  <si>
    <t>Spatio-Temporal Analysis of Ice Sheet Snowmelt in Antarctica and Greenland Using Microwave Radiometer Data</t>
  </si>
  <si>
    <t>antarctic ice sheet; Greenland ice sheet; snowmelt; dynamic monitoring; characteristics</t>
  </si>
  <si>
    <t>MELT EXTENT; DURATION; TEMPERATURES; VARIABILITY</t>
  </si>
  <si>
    <t>The surface snowmelt on ice sheets in polar areas (ice sheets of Greenland and Antarctica) is not only an important sensitive factor of global climate change, but also a key factor that controls the global climate. Spaceborne earth observation provides an efficient means of measuring snowmelt dynamics. Based on an improved ice sheet snowmelt detection algorithm and several new proposed parameters for detecting change, polar ice sheet snowmelt dynamics were monitored and analyzed by using spaceborne microwave radiometer datasets from 1978 to 2014. Our results show that the change in intensity of Greenland and Antarctica snowmelt generally tended to increase and decrease, respectively. Moreover, we show that the de-trended snowmelt change in ice sheets of Greenland and Antarctica vary in anti-correlation patterns. Furthermore, analysis in Atlantic Multi-decadal Oscillation, North Atlantic Oscillation, and the Southern Annular Mode suggests that the Atlantic Ocean and atmosphere could be a possible link between the snowmelt variability of the ice sheets of Greenland and Antarctica.</t>
  </si>
  <si>
    <t>[Liang, Lei; Li, Xinwu] Chinese Acad Sci, Inst Remote Sensing &amp; Digital Earth, CAS Key Lab Digital Earth Sci, 9 Dengzhuang South Rd, Beijing 100094, Peoples R China; [Zheng, Fei] Chinese Acad Sci, Inst Atmospher Phys, Beijing 100029, Peoples R China</t>
  </si>
  <si>
    <t>Chinese Academy of Sciences; The Institute of Remote Sensing &amp; Digital Earth, CAS; Chinese Academy of Sciences; Institute of Atmospheric Physics, CAS</t>
  </si>
  <si>
    <t>Li, XW (corresponding author), Chinese Acad Sci, Inst Remote Sensing &amp; Digital Earth, CAS Key Lab Digital Earth Sci, 9 Dengzhuang South Rd, Beijing 100094, Peoples R China.</t>
  </si>
  <si>
    <t>lixw@radi.ac.cn</t>
  </si>
  <si>
    <t>Strategic Priority Research Program of the Chinese Academy of Sciences [XDA19070202]; National Program on Key Research Project [2016YFA0600302]</t>
  </si>
  <si>
    <t>Strategic Priority Research Program of the Chinese Academy of Sciences(Chinese Academy of Sciences); National Program on Key Research Project</t>
  </si>
  <si>
    <t>This research was funded by the Strategic Priority Research Program of the Chinese Academy of Sciences, grant number XDA19070202 and National Program on Key Research Project, grant number 2016YFA0600302.</t>
  </si>
  <si>
    <t>10.3390/rs11161838</t>
  </si>
  <si>
    <t>WOS:000484387600001</t>
  </si>
  <si>
    <t>Moutier, W; Thomalla, SJ; Bernard, S; Wind, G; Ryan-Keogh, TJ; Smith, ME</t>
  </si>
  <si>
    <t>Moutier, William; Thomalla, Sandy J.; Bernard, Stewart; Wind, Galina; Ryan-Keogh, Thomas J.; Smith, Marie E.</t>
  </si>
  <si>
    <t>Evaluation of Chlorophyll-a and POC MODIS Aqua Products in the Southern Ocean</t>
  </si>
  <si>
    <t>remote sensing; ocean color; algorithm; chlorophyll; HPLC; fluorometry; particulate organic carbon; southern ocean</t>
  </si>
  <si>
    <t>PARTICULATE ORGANIC-CARBON; PERFORMANCE LIQUID-CHROMATOGRAPHY; IN-SITU; BIOOPTICAL PROPERTIES; OPTICAL-PROPERTIES; COLOR ALGORITHMS; SEAWIFS; PACIFIC; DISTRIBUTIONS; VARIABILITY</t>
  </si>
  <si>
    <t>The Southern Ocean (SO) is highly sensitive to climate change. Therefore, an accurate estimate of phytoplankton biomass is key to being able to predict the climate trajectory of the 21st century. In this study, MODerate resolution Imaging Spectroradiometer (MODIS), on board EOS Aqua spacecraft, Level 2 (nominal 1 km x 1 km resolution) chlorophyll-a (CSat) and Particulate Organic Carbon (POCsat) products are evaluated by comparison with an in situ dataset from 11 research cruises (2008-2017) to the SO, across multiple seasons, which includes measurements of POC and chlorophyll-a (Cin) from both High Performance Liquid Chromatography (CHPLC) and fluorometry (CFluo). Contrary to a number of previous studies, results highlighted good performance of the algorithm in the SO when comparing estimations with HPLC measurements. Using a time window of +/- 12 h and a mean satellite chlorophyll from a 5 x 5 pixel box centered on the in situ location, the median CSat:Cinsitu ratios were 0.89 (N = 46) and 0.49 (N = 73) for CHPLC and CFluo respectively. Differences between CHPLC and CFluo were associated with the presence of diatoms containing chlorophyll-c pigments, which induced an overestimation of chlorophyll-a when measured fluorometrically due to a potential overlap of the chlorophyll-a and chlorophyll-c emission spectra. An underestimation of similar to 0.13 mg m-3 was observed for the global POC algorithm. This error was likely due to an overestimate of in situ POCinsitu measurements from the impact of dissolved organic carbon not accounted for in the blank correction. These results highlight the important implications of different in situ methodologies when validating ocean colour products.</t>
  </si>
  <si>
    <t>[Moutier, William; Thomalla, Sandy J.; Ryan-Keogh, Thomas J.] CSIR, SOCCO, ZA-7700 Cape Town, South Africa; [Moutier, William; Bernard, Stewart] Univ Cape Town, Dept Oceanog, ZA-7701 Cape Town, South Africa; [Thomalla, Sandy J.] Univ Cape Town, Marine Res Inst MaRe, ZA-7701 Cape Town, South Africa; [Bernard, Stewart; Smith, Marie E.] CSIR, Earth Observ, ZA-7700 Cape Town, South Africa; [Wind, Galina] NASA, Goddard Space Flight Ctr, Greenbelt, MD 20771 USA; [Wind, Galina] SSAI Inc, 10210 Greenbelt Rd,Suite 600, Lanham, MD 20706 USA</t>
  </si>
  <si>
    <t>Council for Scientific &amp; Industrial Research (CSIR) - South Africa; University of Cape Town; University of Cape Town; Council for Scientific &amp; Industrial Research (CSIR) - South Africa; National Aeronautics &amp; Space Administration (NASA); NASA Goddard Space Flight Center</t>
  </si>
  <si>
    <t>Moutier, W (corresponding author), CSIR, SOCCO, ZA-7700 Cape Town, South Africa.;Moutier, W (corresponding author), Univ Cape Town, Dept Oceanog, ZA-7701 Cape Town, South Africa.</t>
  </si>
  <si>
    <t>william.moutier@meteo.be</t>
  </si>
  <si>
    <t>Thomalla, Sandy/AAS-4133-2021; Ryan-Keogh, Thomas/AAS-3716-2021; Smith, Marie/T-7430-2018</t>
  </si>
  <si>
    <t>Ryan-Keogh, Thomas/0000-0001-5144-171X; Wind, Galina/0000-0002-1001-3724; Smith, Marie/0000-0001-6781-2343; Thomalla, Sandy/0000-0002-6802-520X; Bernard, Stewart/0000-0001-6537-3682</t>
  </si>
  <si>
    <t>CSIR's Parliamentary Grant [SNA2011112600001]; NRF South African National Antarctic Programme (SANAP) [SNA2007051100001, SNA2011120800004, SNA14071475720]; European Commission [265294]; Swiss Polar Institute - ACE Foundation; Ferring Pharmaceuticals</t>
  </si>
  <si>
    <t>CSIR's Parliamentary Grant; NRF South African National Antarctic Programme (SANAP); European Commission(European Union (EU)European Commission Joint Research Centre); Swiss Polar Institute - ACE Foundation; Ferring Pharmaceuticals(Ferring Pharmaceuticals)</t>
  </si>
  <si>
    <t>This work was undertaken as part of the CSIR's Southern Ocean Carbon and Climate Observatory (SOCCO) (http://socco.org.za).This work was supported by CSIR's Parliamentary Grant (SNA2011112600001), the NRF South African National Antarctic Programme (SANAP) grants (SNA2007051100001, SNA2011120800004, SNA14071475720), the European Commission 7th Framework program through the GreenSeas Collaborative Project, FP7-ENV-2010 contract No. 265294 and the ACE scientific expedition carried out under the auspices of the Swiss Polar Institute, supported by funding from the ACE Foundation and Ferring Pharmaceuticals.</t>
  </si>
  <si>
    <t>10.3390/rs11151793</t>
  </si>
  <si>
    <t>IS9BG</t>
  </si>
  <si>
    <t>WOS:000482442800057</t>
  </si>
  <si>
    <t>Harris, CM; Herata, H; Hertel, F</t>
  </si>
  <si>
    <t>Harris, Cohn M.; Herata, Heike; Hertel, Fritz</t>
  </si>
  <si>
    <t>Environmental guidelines for operation of Remotely Piloted Aircraft Systems (RPAS): Experience from Antarctica</t>
  </si>
  <si>
    <t>BIOLOGICAL CONSERVATION</t>
  </si>
  <si>
    <t>Remotely Piloted Aircraft Systems (RPAS); Drone; UAS; Wildlife; Disturbance; Environmental impact; Guidelines; Policy; Antarctica</t>
  </si>
  <si>
    <t>DRONES; WILDLIFE; DISTURBANCE; SEALS</t>
  </si>
  <si>
    <t>Remotely Piloted Aircraft Systems (RPAS), or drones, are increasingly being used in close proximity to wildlife. RPAS can disturb animals in their natural environment, potentially causing stress or harm. However, research on the potential impact of RPAS on wildlife is preliminary and remains poorly understood. RPAS offer many benefits for research applications and other purposes, and can also help reduce wildlife disturbance that might otherwise occur. The Antarctic Treaty Parties recognised a need to develop environmental guidelines for RPAS use as a means to help avoid and/or reduce disturbance to wildlife in Antarctica while allowing for their beneficial use. To do so, a framework based on the Pressure - State - Response model was developed to provide a systematic means to consider relevant influences on RPAS and wildlife interactions. This framework was used as an aid to draft comprehensive environmental guidelines for RPAS use in Antarctica, which were adopted by the Antarctic Treaty Parties in 2018. The guidelines include recommendations for pre-flight preparations, on-site and in-flight protocols, and for post-flight actions and reporting. The guidelines were based on examples developed elsewhere in the world, on available scientific evidence for environmental impacts from RPAS, and through consultation among governments and scientific and technical bodies operating in Antarctica. The environmental guidelines adopted for RPAS operations in Antarctica could provide a model for application elsewhere in the world where there is a need to manage interactions between RPAS and wildlife and to avoid or reduce potential impacts.</t>
  </si>
  <si>
    <t>[Harris, Cohn M.] Environm Res &amp; Assessment, 12 Silverdale Ave, Cambridge CB23 7PP, England; [Herata, Heike; Hertel, Fritz] German Fed Minist Environm Nat Conservat &amp; Nucl S, Worlitzer Pl 1, D-06844 Dessau Rosslau, Germany; [Herata, Heike; Hertel, Fritz] POB 1406, D-06813 Dessau Rosslau, Germany</t>
  </si>
  <si>
    <t>Harris, CM (corresponding author), Environm Res &amp; Assessment, 12 Silverdale Ave, Cambridge CB23 7PP, England.</t>
  </si>
  <si>
    <t>colin.harris@era.gs; heike.herata@uba.de; fritz.hertel@uba.de</t>
  </si>
  <si>
    <t>German Federal Ministry for the Environment, Nature Conservation and Nuclear Safety</t>
  </si>
  <si>
    <t>Funding for the work presented in this paper was provided by the German Federal Ministry for the Environment, Nature Conservation and Nuclear Safety. All authors were engaged in study design. CH designed the conceptual framework and was lead author on the manuscript with reviews by HH and FH; the decision to submit the paper for publication was made by the funding agency represented by HH and FH.</t>
  </si>
  <si>
    <t>0006-3207</t>
  </si>
  <si>
    <t>1873-2917</t>
  </si>
  <si>
    <t>BIOL CONSERV</t>
  </si>
  <si>
    <t>Biol. Conserv.</t>
  </si>
  <si>
    <t>10.1016/j.biocon.2019.05.019</t>
  </si>
  <si>
    <t>IU9NT</t>
  </si>
  <si>
    <t>WOS:000483908400057</t>
  </si>
  <si>
    <t>Cummings, CR; Lea, MA; Lyle, JM</t>
  </si>
  <si>
    <t>Cummings, C. R.; Lea, M. A.; Lyle, J. M.</t>
  </si>
  <si>
    <t>Fur seals and fisheries in Tasmania: an integrated case study of human-wildlife conflict and coexistence</t>
  </si>
  <si>
    <t>Seal; Fisheries; Human-wildlife conflict; Conservation</t>
  </si>
  <si>
    <t>OPERATIONAL INTERACTION; GILLNET FISHERY; MARINE MAMMALS; HABITAT USE; MANAGEMENT; PUSILLUS; CONSERVATION; POPULATION; AUSTRALIA; LIONS</t>
  </si>
  <si>
    <t>Cultivating more harmonious ways of interacting with top predators is a major challenge in sustainably managing and developing fisheries. In-depth, interdisciplinary case studies represent important tools for high-lighting emergent properties in complex human-predator relationships. In this study we integrate original social research with detailed secondary historic and natural-scientific information on a long-standing case of human-wildlife conflict: the relationship between fur seals and fisheries in Tasmania. Stakeholders were targeted and surveyed via anonymous questionnaire about their experiences and perceptions of seal-fishery interactions and seals in the ecosystem. The most frequently cited outcomes of interactions for both commercial and recreational fishers were damaged gear, lost catch, and damaged catch. Most fishers indicated that they believed population-level controlled culling or targeted removal of problem individuals would be the most effective strategies to manage and reduce interactions. In contrast, the general public and resource/environmental managers indicated strong preferences for non-lethal forms of management, with culling the lowest ranked strategy in terms of perceived effectiveness. Perceptions of ongoing rapid population increase evident in fishing sub-groups contrast with available seal population data. Such discrepancy suggests that reported increasing seal-fishery interactions may be more reflective of behavioural change, with seals becoming habituated to certain fishing activities. Areas of promise identified for future research and management focus on: technical mitigation to minimise direct interactions, building tolerance in fishing communities, and targeted ecological research to disentangle the effects of pinniped abundance, distribution (including seasonal population flux between breeding regions), and habituation on interactions. Documenting the contemporary status of this relationship is an integral step in managing such conflicts.</t>
  </si>
  <si>
    <t>[Cummings, C. R.; Lea, M. A.] Univ Tasmania, Inst Marine &amp; Antarctic Studies, Ecol &amp; Biodivers Ctr, 20 Castray Esplanade, Hobart, Tas 7004, Australia; [Lyle, J. M.] Univ Tasmania, Inst Marine &amp; Antarctic Studies, Fisheries &amp; Aquaculture Ctr, Taroona, Tas 7053, Australia</t>
  </si>
  <si>
    <t>Cummings, CR (corresponding author), Univ Tasmania, Inst Marine &amp; Antarctic Studies, Ecol &amp; Biodivers Ctr, 20 Castray Esplanade, Hobart, Tas 7004, Australia.</t>
  </si>
  <si>
    <t>cloe.cummings@utas.edu.au; maryanne.lea@utas.edu.au; jeremy.lyle@utas.edu.au</t>
  </si>
  <si>
    <t>Lea, Mary-Anne/E-9054-2013; Lyle, Jeremy/J-7170-2014</t>
  </si>
  <si>
    <t>Lea, Mary-Anne/0000-0001-8318-9299; Lyle, Jeremy/0000-0001-9670-5854</t>
  </si>
  <si>
    <t>Tasmanian Governor's Environment Scholarship</t>
  </si>
  <si>
    <t>We would like to thank the survey respondents for their participation, as well as the institutions and organisations who assisted with survey promotion and distribution, especially TSIC, DPIPWE, TARFish, and Environment Tasmania. C. Cummings was supported by a Tasmanian Governor's Environment Scholarship in the course of this project.</t>
  </si>
  <si>
    <t>10.1016/j.biocon.2019.01.029</t>
  </si>
  <si>
    <t>Science Citation Index Expanded (SCI-EXPANDED); Social Science Citation Index (SSCI)</t>
  </si>
  <si>
    <t>WOS:000483908400058</t>
  </si>
  <si>
    <t>Song, JX; Guo, J; Liu, YF; Tan, Q; Zhang, S; Yu, Y</t>
  </si>
  <si>
    <t>Song, Jingxing; Guo, Jing; Liu, Yuanfa; Tan, Qian; Zhang, Sen; Yu, Yue</t>
  </si>
  <si>
    <t>A Comparative Study on Properties of Cellulose/Antarctic Krill Protein Composite Fiber by Centrifugal Spinning and Wet Spinning</t>
  </si>
  <si>
    <t>FIBERS AND POLYMERS</t>
  </si>
  <si>
    <t>Cellulose; Antarctic krill protein; Centrifugal wspinning; Wet spinning; Fiber</t>
  </si>
  <si>
    <t>CELLULOSE; MICROSTRUCTURE; FIBROIN</t>
  </si>
  <si>
    <t>Cellulose/antarctic krill protein (C/AKP) composite fibers are successfully prepared by centrifugal spinning. The main purpose of this paper is to compare the properties of C/AKP composite fibers prepared by centrifugal spinning and wet spinning. The hydrogen bond type, break strength, morphology, crystallinity, and thermal stability are analyzed by Fourier transform infrared spectroscopy, electronic single silk strength testing, X-ray diffraction, scanning electron microscopy, and differential scanning calorimetry. The results show that the C/AKP composite fibers contain intramolecular hydrogen bonds (OH-OH and annular polymer bonds) and intermolecular hydrogen bonds (OH-pi, OH-ether O, and OH-N). The centrifugal spinning composite fibers have a higher percentage of intermolecular hydrogen bonds, a higher break strength, and higher crystallinity than the wet spinning fibers. The wet spinning composite fibers have a more obvious groove structure and a higher degree of swelling than the centrifugally spun fibers.</t>
  </si>
  <si>
    <t>[Song, Jingxing; Guo, Jing; Liu, Yuanfa; Tan, Qian; Zhang, Sen; Yu, Yue] Dalian Polytech Univ, Dept Polymer Mat &amp; Engn, Dalian 116034, Peoples R China; [Guo, Jing] Dalian Polytech Univ, Liaoning Engn Technol Res Ctr Funct Fiber &amp; Its C, Dalian 116034, Peoples R China</t>
  </si>
  <si>
    <t>Dalian Polytechnic University; Dalian Polytechnic University</t>
  </si>
  <si>
    <t>Guo, J; Liu, YF (corresponding author), Dalian Polytech Univ, Dept Polymer Mat &amp; Engn, Dalian 116034, Peoples R China.;Guo, J (corresponding author), Dalian Polytech Univ, Liaoning Engn Technol Res Ctr Funct Fiber &amp; Its C, Dalian 116034, Peoples R China.</t>
  </si>
  <si>
    <t>guojing8161@163.com; Liuyf@dlpu.edu.cn</t>
  </si>
  <si>
    <t>zhang, sen/GXH-3513-2022; Zhang, Sen/HKW-2973-2023; Liao, Hongmei/ABT-7677-2022</t>
  </si>
  <si>
    <t>Zhang, Sen/0000-0001-7429-7300;</t>
  </si>
  <si>
    <t>National Natural Science Foundation of China [51773024]; National Science Foundation of Liaoning [2015020221]</t>
  </si>
  <si>
    <t>National Natural Science Foundation of China(National Natural Science Foundation of China (NSFC)); National Science Foundation of Liaoning</t>
  </si>
  <si>
    <t>This work was supported by the National Natural Science Foundation of China (grant number: 51773024) and the National Science Foundation of Liaoning (grant number: 2015020221).</t>
  </si>
  <si>
    <t>KOREAN FIBER SOC</t>
  </si>
  <si>
    <t>SEOUL</t>
  </si>
  <si>
    <t>KOREA SCIENCE TECHNOLOGY CTR #501 635-4 YEOGSAM-DONG, KANGNAM-GU, SEOUL 135-703, SOUTH KOREA</t>
  </si>
  <si>
    <t>1229-9197</t>
  </si>
  <si>
    <t>1875-0052</t>
  </si>
  <si>
    <t>FIBER POLYM</t>
  </si>
  <si>
    <t>Fiber. Polym.</t>
  </si>
  <si>
    <t>10.1007/s12221-019-8725-2</t>
  </si>
  <si>
    <t>Materials Science, Textiles; Polymer Science</t>
  </si>
  <si>
    <t>IU5XR</t>
  </si>
  <si>
    <t>WOS:000483661500001</t>
  </si>
  <si>
    <t>Meier, WJH; Aravena, JC; Griessinger, J; Hochreuther, P; Soto-Rogel, P; Zhu, HF; De Pol-Holz, R; Schneider, C; Braun, MH</t>
  </si>
  <si>
    <t>Meier, Wolfgang Jens-Henrik; Aravena, Juan-Carlos; Griessinger, Jussi; Hochreuther, Philipp; Soto-Rogel, Pamela; Zhu, Haifeng; De Pol-Holz, Ricardo; Schneider, Christoph; Braun, Matthias Holger</t>
  </si>
  <si>
    <t>Late Holocene Glacial Fluctuations of Schiaparelli Glacier at Monte Sarmiento Massif, Tierra del Fuego (54°24′ S)</t>
  </si>
  <si>
    <t>GEOSCIENCES</t>
  </si>
  <si>
    <t>Southern Patagonia; Moraine Dating; Little Ice Age; Dendrochronology; Glacier Fluctuations; Ecesis Time; Pith Offset; Neoglacial; Late Holocene</t>
  </si>
  <si>
    <t>SOUTHERN ANNULAR MODE; NORTH PATAGONIAN ICEFIELD; GRAN CAMPO NEVADO; TREE-RING; ICE-AGE; TEMPERATURE VARIABILITY; CORDILLERA DARWIN; PALEOENVIRONMENTAL CHANGE; ANTARCTIC OSCILLATION; NOTHOFAGUS-BETULOIDES</t>
  </si>
  <si>
    <t>The Magallanes-Tierra del Fuego region, Southern Patagonia (53-56 degrees S) features a plethora of fjords and remote and isolated islands, and hosts several thousand glaciers. The number of investigated glaciers with respect to the multiple Neoglacial advances is based on a few individual studies and is still fragmentary, which complicates the interpretation of the glacial dynamics in the southernmost part of America. Schiaparelli Glacier (54 degrees 24 ' S, 70 degrees 50 ' W), located at the western side of the Cordillera Darwin, was selected for tree-ring-based and radiocarbon dating of the glacial deposits. One focus of the study was to address to the potential dating uncertainties that arise by the use of Nothofagus spp. as a pioneer species. A robust analysis of the age-height relationship, missing the pith of the tree (pith offset), and site-specific ecesis time revealed a total uncertainty value of +/- 5-9 years. Three adjacent terminal moraines were identified, which increasingly tapered towards the glacier, with oldest deposition dates of 1749 +/- 5 CE, 1789 +/- 5 CE, and 1867 +/- 5 CE. Radiocarbon dates of trunks incorporated within the terminal moraine system indicate at least three phases of cumulative glacial activity within the last 2300 years that coincide with the Neoglacial phases of the Southern Patagonian Icefield and adjacent mountain glaciers. The sub-recent trunks revealed the first evidence of a Neoglacial advance between similar to 600 BCE and 100 CE, which so far has not been substantiated in the Magallanes-Tierra del Fuego region.</t>
  </si>
  <si>
    <t>[Meier, Wolfgang Jens-Henrik; Griessinger, Jussi; Hochreuther, Philipp; Soto-Rogel, Pamela; Braun, Matthias Holger] Friedrich Alexander Univ Erlangen Nurnberg, Inst Geog, D-91054 Erlangen, Germany; [Aravena, Juan-Carlos; De Pol-Holz, Ricardo] Univ Magallanes UMAG, Ctr Invest GAIA Antartica, Punta Arenas 6200000, Chile; [Zhu, Haifeng] Chinese Acad Sci, Inst Tibetan Plateau Res, Key Lab Alpine Ecol, Beijing 100101, Peoples R China; [Schneider, Christoph] Humboldt Univ, Geog Dept, D-10099 Berlin, Germany</t>
  </si>
  <si>
    <t>University of Erlangen Nuremberg; Chinese Academy of Sciences; Institute of Tibetan Plateau Research, CAS; Humboldt University of Berlin</t>
  </si>
  <si>
    <t>Meier, WJH (corresponding author), Friedrich Alexander Univ Erlangen Nurnberg, Inst Geog, D-91054 Erlangen, Germany.</t>
  </si>
  <si>
    <t>wolfgang.jh.meier@fau.de</t>
  </si>
  <si>
    <t>Grießinger, Jussi/D-6318-2013; Braun, Matthias H/S-4693-2016; Grießinger, Jussi/JAO-0179-2023; De Pol-Holz, Ricardo/E-3740-2013</t>
  </si>
  <si>
    <t>Grießinger, Jussi/0000-0001-6103-2071; De Pol-Holz, Ricardo/0000-0002-3281-8232; Soto-Rogel, Pamela/0000-0002-6488-9115</t>
  </si>
  <si>
    <t>Federal Ministry of Education and Research-BMBF [01DN 15020, 01DN 15007]; Comision Nacional de Ciencia y Tecnologia-CONICYT (Fondecyt) [1080381]</t>
  </si>
  <si>
    <t>Federal Ministry of Education and Research-BMBF(Federal Ministry of Education &amp; Research (BMBF)); Comision Nacional de Ciencia y Tecnologia-CONICYT (Fondecyt)(Comision Nacional de Investigacion Cientifica y Tecnologica (CONICYT)CONICYT FONDECYT)</t>
  </si>
  <si>
    <t>This research was funded by the Federal Ministry of Education and Research-BMBF (grant no. 01DN 15020 and 01DN 15007), and Comision Nacional de Ciencia y Tecnologia-CONICYT (Fondecyt 1080381)</t>
  </si>
  <si>
    <t>2076-3263</t>
  </si>
  <si>
    <t>Geosciences</t>
  </si>
  <si>
    <t>10.3390/geosciences9080340</t>
  </si>
  <si>
    <t>IT6KA</t>
  </si>
  <si>
    <t>WOS:000482981000036</t>
  </si>
  <si>
    <t>Tonelli, M; Marcello, F; Ferrero, B; Wainer, I</t>
  </si>
  <si>
    <t>Tonelli, Marcos; Marcello, Fernanda; Ferrero, Bruno; Wainer, Ilana</t>
  </si>
  <si>
    <t>Warm Deep Water Variability During the Last Millennium in the CESM-LME: Pre-Industrial Scenario versus Late 20th Century Changes</t>
  </si>
  <si>
    <t>Warm Deep Water; Weddell Sea; last millennium; late twentieth century</t>
  </si>
  <si>
    <t>ANTARCTIC BOTTOM WATER; OPTIMUM MULTIPARAMETER ANALYSIS; SCALE TEMPERATURE VARIABILITY; SOUTHERN-OCEAN; NORTHERN-HEMISPHERE; VOLCANIC-ERUPTIONS; WEDDELL GYRE; CLIMATE; CIRCULATION; PACIFIC</t>
  </si>
  <si>
    <t>Water transformation around Antarctica is recognized to significantly impact the climate. It is where the linkage between the upper and lower limbs of the Meridional Overturning Circulation (MOC) takes place by means of dense water formation, which may be affected by rapid climate change. Simulation results from the Community Earth System Model Last Millennium Ensemble (CESM-LME) are used to investigate the Weddell Sea Warm Deep Water (WDW) evolution during the Last Millennium (LM). The WDW is the primary heat source for the Weddell Sea (WS) and accounts for 71% of the Weddell Sea Bottom Water (WSBW), which is the regional variety of the Antarctic Bottom Water (AABW)-one of the densest water masses in the ocean bearing directly on the cold deep limb of the MOC. Earth System Models (ESMs) are known to misrepresent the deep layers of the ocean (below 2000 m), hence we aim at the upper component of the deep meridional overturning cell, i.e., the WDW. Salinity and temperature results from the CESM-LME from a transect crossing the WS are evaluated with the Optimum Multiparameter Analysis (OMP) water masses decomposition scheme. It is shown that, after a long-term cooling over the LM, a warming trend takes place at the surface waters in the WS during the 20th century, which is coherent with a global expression. The subsurface layers and. mainly. the WDW domain are subject to the same long-term cooling trend, which is decelerated after 1850 (instead of becoming warmer like the surface waters), probably due interactions with sea ice-insulated ambient waters. The evolution of this anomalous temperature pattern for the WS is clear throughout the three major LM climatic episodes: the Medieval Climate Anomaly (MCA), Little Ice Age (LIA) and late 20th century warming. Along with the continuous decline of WDW core temperatures, heat content in the water mass also decreases by 18.86%. OMP results indicate shoaling and shrinking of the WDW during the LM, with a similar to 6% decrease in its cross-sectional area. Although the AABW cannot be directly assessed from CESM-LME results, changes in the WDW structure and WS dynamics have the potential to influence the deep/bottom water formation processes and the global MOC.</t>
  </si>
  <si>
    <t>[Tonelli, Marcos; Marcello, Fernanda; Ferrero, Bruno; Wainer, Ilana] Univ Sao Paulo, Oceanog Inst, Dept Phys Oceanog, BR-05508120 Sao Paulo, Brazil</t>
  </si>
  <si>
    <t>Tonelli, M (corresponding author), Univ Sao Paulo, Oceanog Inst, Dept Phys Oceanog, BR-05508120 Sao Paulo, Brazil.</t>
  </si>
  <si>
    <t>mtonelli@usp.br</t>
  </si>
  <si>
    <t>Tonelli, Marcos/GYE-2675-2022; WAINER, ILANA/B-4540-2011</t>
  </si>
  <si>
    <t>Marcello, Fernanda/0000-0003-3084-707X; Ferrero, Bruno/0000-0003-3977-6968; WAINER, ILANA/0000-0003-3784-623X</t>
  </si>
  <si>
    <t>FAPESP [2015/17659-0, 2017/16511-5]; CNPq [301726/2013-2, 405869/2013-4]; Coordenacao de Aperfeicoamento de Pessoal de Nivel Superior-Brasil (CAPES) [001, CAPES 88887.318265/2019-00]; [CNPq-MCT-INCT-594 CRIOSFERA 573720/2008-8]</t>
  </si>
  <si>
    <t>FAPESP(Fundacao de Amparo a Pesquisa do Estado de Sao Paulo (FAPESP)); CNPq(Conselho Nacional de Desenvolvimento Cientifico e Tecnologico (CNPQ)); Coordenacao de Aperfeicoamento de Pessoal de Nivel Superior-Brasil (CAPES)(Coordenacao de Aperfeicoamento de Pessoal de Nivel Superior (CAPES));</t>
  </si>
  <si>
    <t>This study was financed in part by the grants FAPESP: #2015/17659-0, #2017/16511-5; CNPq: #301726/2013-2, #405869/2013-4; CNPq-MCT-INCT-594 CRIOSFERA 573720/2008-8 and Coordenacao de Aperfeicoamento de Pessoal de Nivel Superior-Brasil (CAPES)-Finance Code 001; CAPES 88887.318265/2019-00.</t>
  </si>
  <si>
    <t>10.3390/geosciences9080346</t>
  </si>
  <si>
    <t>WOS:000482981000028</t>
  </si>
  <si>
    <t>Finore, I; Lama, L; Di Donato, P; Romano, I; Tramice, A; Leone, L; Nicolaus, B; Poli, A</t>
  </si>
  <si>
    <t>Finore, Ilaria; Lama, Licia; Di Donato, Paola; Romano, Ida; Tramice, Annabella; Leone, Luigi; Nicolaus, Barbara; Poli, Annarita</t>
  </si>
  <si>
    <t>Parageobacillus thermantarcticus, an Antarctic Cell Factory: From Crop Residue Valorization by Green Chemistry to Astrobiology Studies</t>
  </si>
  <si>
    <t>DIVERSITY-BASEL</t>
  </si>
  <si>
    <t>Parageobacillus thermantarcticus; mount melbourne Antarctica; xylanase; beta-xylosidase; xylose; glucose isomerase; protease; exopolysaccharide; draft genoma; astrobiology; xylooligosaccharides</t>
  </si>
  <si>
    <t>THERMOSTABLE GLUCOSE-ISOMERASE; BACTERIUM GEOBACILLUS-THERMODENITRIFICANS; SP-NOV.; XYLOSE ISOMERASE; BETA-XYLOSIDASE; SACCHAROCOCCUS-CALDOXYLOSILYTICUS; BIOCHEMICAL-CHARACTERIZATION; BACILLUS-THERMOANTARCTICUS; EXTRACELLULAR PROTEASES; INDUSTRIAL APPLICATIONS</t>
  </si>
  <si>
    <t>Knowledge of Antarctic habitat biodiversity, both marine and terrestrial, has increased considerably in recent years, causing considerable development in the studies of life science related to Antarctica. In the Austral summer 1986-1987, a new thermophilic bacterium, Parageobacillus thermantarcticus strain M1 was isolated from geothermal soil of the crater of Mount Melbourne (74 degrees 22 ' S, 164 degrees 40 ' E) during the Italian Antarctic Expedition. In addition to the biotechnological potential due to the production of exopolysaccharides and thermostable enzymes, successful studies have demonstrated its use in the green chemistry for the transformation and valorization of residual biomass and its employment as a suitable microbial model for astrobiology studies. The recent acquisition of its genome sequence opens up new opportunities for the use of this versatile bacterium in still unexplored biotechnology sectors.</t>
  </si>
  <si>
    <t>[Finore, Ilaria; Lama, Licia; Di Donato, Paola; Romano, Ida; Tramice, Annabella; Leone, Luigi; Nicolaus, Barbara; Poli, Annarita] CNR, Inst Biomol Chem, Via Campi Flegrei 34, I-80078 Pozzuoli, Italy; [Di Donato, Paola] Univ Naples Parthenope, Ctr Direz, Dept Sci &amp; Technol, Isola C4, I-80143 Naples, Italy</t>
  </si>
  <si>
    <t>Consiglio Nazionale delle Ricerche (CNR); Parthenope University Naples</t>
  </si>
  <si>
    <t>Poli, A (corresponding author), CNR, Inst Biomol Chem, Via Campi Flegrei 34, I-80078 Pozzuoli, Italy.</t>
  </si>
  <si>
    <t>apoli@icb.cnr.it</t>
  </si>
  <si>
    <t>lama, licia/AAX-6572-2020; tramice, annabella/G-5453-2012; Di Donato, Paola/P-9245-2016</t>
  </si>
  <si>
    <t>lama, licia/0000-0003-3312-204X; Di Donato, Paola/0000-0002-7485-1815</t>
  </si>
  <si>
    <t>[PNRA16_00020]</t>
  </si>
  <si>
    <t>This research was funded by PNRA16_00020.</t>
  </si>
  <si>
    <t>1424-2818</t>
  </si>
  <si>
    <t>Diversity-Basel</t>
  </si>
  <si>
    <t>10.3390/d11080128</t>
  </si>
  <si>
    <t>Biodiversity Conservation; Ecology</t>
  </si>
  <si>
    <t>IT6DZ</t>
  </si>
  <si>
    <t>WOS:000482961700012</t>
  </si>
  <si>
    <t>Titlyanov, EA; Titlyanova, TV; Scriptsova, AV; Ren, YX; Li, XB; Huang, H</t>
  </si>
  <si>
    <t>Titlyanov, Eduard A.; Titlyanova, Tamara, V; Scriptsova, Anna, V; Ren, Yuxiao; Li, Xiubao; Huang, Hui</t>
  </si>
  <si>
    <t>Interannual and Seasonal Changes in the Benthic Algae Flora of Coral Reef in Xiaodong Hai (Hainan Island, China)</t>
  </si>
  <si>
    <t>JOURNAL OF MARINE SCIENCE AND ENGINEERING</t>
  </si>
  <si>
    <t>Hainan Island; Xiaodong Hai locality; climatic conditions; intertidal; macroalgae; Cyanobacteria; seasonality</t>
  </si>
  <si>
    <t>UPPER SUBTIDAL ZONE; SPECIES COMPOSITION; COMMUNITIES; SANYA; BAY; ARCHIPELAGO; MACROALGAE; COAST</t>
  </si>
  <si>
    <t>Intensive algal sampling conducted in 2016-2019 in the Xiaodong Hai locality (Hainan Island, South China Sea), yielded a total of 198 benthic macroalgal species and their taxonomic forms (54% reds, 20% browns and 26% greens) and 20 species of Cyanobacteria. The largest number of species belonged to the families Rhodomelaceae, Ceramiaceae and Corallinaceae (Rhodophyta); Sargassaceae and Dictyotaceae (Phaeophyceae); Cladophoraceae and Caulerpaceae (Chlorophyta). The majority (79%) of species inhabiting only the tropics or subtropics were previously recorded and 21% of the species were also inhabiting temperate latitudes. Cosmopolitan algae inhabiting from the tropics to Arctic or Antarctic waters amounted to 14%. The level of maximum similarity of macroalgal species diversity in different years was on average more than 70%, interannual species specificity was observed only in the group of dominating species in algal turf communities. The seasonal variability of floras was manifested in a significant decrease in species diversity from the dry season to the rainy and in the change of dominant species in algal turf communities.</t>
  </si>
  <si>
    <t>[Titlyanov, Eduard A.; Titlyanova, Tamara, V; Huang, Hui] Chinese Acad Sci, South China Sea Inst Oceanol, Key Lab Trop Marine Bioresources &amp; Ecol, 164 West Xingang Rd, Guangzhou 510301, Guangdong, Peoples R China; [Titlyanov, Eduard A.; Titlyanova, Tamara, V; Scriptsova, Anna, V] Russian Acad Sci, Natl Sci Ctr Marine Biol, AV Zhirmunsky Inst Marine Biol, Far Eastern Branch, Palchevskogo 17, Vladivostok 690041, Russia; [Ren, Yuxiao; Li, Xiubao] Hainan Univ, Coll Marine Sci, State Key Lab Marine Resource Utilizat South Chin, 58th Renmin Ave, Haikou 570228, Hainan, Peoples R China; [Huang, Hui] Chinese Acad Sci, Trop Marine Biol Res Stn Hainan, Sanya 572000, Peoples R China</t>
  </si>
  <si>
    <t>Chinese Academy of Sciences; South China Sea Institute of Oceanology, CAS; Russian Academy of Sciences; National Scientific Center of Marine Biology, Far East Branch of the Russian Academy of Sciences; Hainan University; Chinese Academy of Sciences</t>
  </si>
  <si>
    <t>Huang, H (corresponding author), Chinese Acad Sci, South China Sea Inst Oceanol, Key Lab Trop Marine Bioresources &amp; Ecol, 164 West Xingang Rd, Guangzhou 510301, Guangdong, Peoples R China.;Li, XB (corresponding author), Hainan Univ, Coll Marine Sci, State Key Lab Marine Resource Utilizat South Chin, 58th Renmin Ave, Haikou 570228, Hainan, Peoples R China.;Huang, H (corresponding author), Chinese Acad Sci, Trop Marine Biol Res Stn Hainan, Sanya 572000, Peoples R China.</t>
  </si>
  <si>
    <t>xiubaoli@hainanu.edu.cn; huanghui@scsio.ac.cn</t>
  </si>
  <si>
    <t>Titlyanov, Eduard/AAD-6925-2019; Titlyanova, Tamara/AAD-6929-2019; Yin, Jing/KDO-6274-2024; Skriptsova, Anna/S-7365-2016</t>
  </si>
  <si>
    <t>Skriptsova, Anna/0000-0001-5943-4522</t>
  </si>
  <si>
    <t>National Natural Science Foundation of China [41476134]; Open Project of State Key Laboratory of Marine Resource Utilization in South China Sea [DX2017003]; Foundation of Hainan University [KYQD(ZR)1805]; grant 'China-Russia special funds 2019' from the Chinese Academy of Sciences</t>
  </si>
  <si>
    <t>National Natural Science Foundation of China(National Natural Science Foundation of China (NSFC)); Open Project of State Key Laboratory of Marine Resource Utilization in South China Sea; Foundation of Hainan University; grant 'China-Russia special funds 2019' from the Chinese Academy of Sciences</t>
  </si>
  <si>
    <t>This work was financially supported by the National Natural Science Foundation of China (41476134), the Open Project of State Key Laboratory of Marine Resource Utilization in South China Sea (DX2017003), the Foundation of Hainan University (KYQD(ZR)1805) and the grant 'China-Russia special funds 2019' from the Chinese Academy of Sciences.</t>
  </si>
  <si>
    <t>2077-1312</t>
  </si>
  <si>
    <t>J MAR SCI ENG</t>
  </si>
  <si>
    <t>J. Mar. Sci. Eng.</t>
  </si>
  <si>
    <t>10.3390/jmse7080243</t>
  </si>
  <si>
    <t>Engineering, Marine; Engineering, Ocean; Oceanography</t>
  </si>
  <si>
    <t>Engineering; Oceanography</t>
  </si>
  <si>
    <t>IT6NF</t>
  </si>
  <si>
    <t>WOS:000482991100040</t>
  </si>
  <si>
    <t>Knestrick, MA; Wilson, NG; Roth, A; Adamss, JH; Baker, BJ</t>
  </si>
  <si>
    <t>Knestrick, Matthew A.; Wilson, Nerida G.; Roth, Alison; Adamss, John H.; Baker, Bill J.</t>
  </si>
  <si>
    <t>Friomaramide, a Highly Modified Linear Hexapeptide from an Antarctic Sponge, Inhibits Plasmodium falciparum Liver-Stage Development</t>
  </si>
  <si>
    <t>JOURNAL OF NATURAL PRODUCTS</t>
  </si>
  <si>
    <t>PEPTIDES; ALKALOIDS; TERPEPTIN; FUNGUS</t>
  </si>
  <si>
    <t>The cold waters of Antarctica are known to harbor a rich biodiversity. Our continuing interest in the chemical analysis of Antarctic invertebrates has resulted in the isolation of friomaramide (1), a new, highly modified hexapeptide, from the Antarctic sponge Inflatella coelosphaeroides. The structure of friomaramide was determined using spectroscopic methods and its configuration established by Marfeys method. Friomaramide, which bears the unusual permethylation of the amino acid backbone and is the longest polypeptide bearing a tryptenamine C-terminus, blocks &gt;90% of Plasmodium falciparum liver-stage parasite development at 6.1 mu M.</t>
  </si>
  <si>
    <t>[Knestrick, Matthew A.; Baker, Bill J.] Univ S Florida, Dept Chem, 4202 E Fowler Ave,CHE205, Tampa, FL 33620 USA; [Wilson, Nerida G.] Western Australian Museum, Fremantle, WA 6106, Australia; [Wilson, Nerida G.] Univ Western Australia Perth, Fremantle, WA 6106, Australia; [Roth, Alison; Adamss, John H.; Baker, Bill J.] Univ S Florida, Coll Publ Hlth, Ctr Global Hlth &amp; Infect Dis Res, Tampa, FL 33620 USA</t>
  </si>
  <si>
    <t>State University System of Florida; University of South Florida; Western Australian Museum; University of Western Australia; State University System of Florida; University of South Florida</t>
  </si>
  <si>
    <t>Baker, BJ (corresponding author), Univ S Florida, Dept Chem, 4202 E Fowler Ave,CHE205, Tampa, FL 33620 USA.;Baker, BJ (corresponding author), Univ S Florida, Coll Publ Hlth, Ctr Global Hlth &amp; Infect Dis Res, Tampa, FL 33620 USA.</t>
  </si>
  <si>
    <t>bjbaker@usf.edu</t>
  </si>
  <si>
    <t>Baker, Bill/N-4312-2019; Adams, John H./ABB-8458-2020; Wilson, Nerida G./AAC-1456-2019; Adams, John H./G-1800-2015; Wilson, Nerida/G-8433-2011</t>
  </si>
  <si>
    <t>Roth, Alison/0000-0001-6917-3485; Baker, Bill/0000-0003-3033-5779; Adams, John H./0000-0003-3707-7979; Wilson, Nerida/0000-0002-0784-0200</t>
  </si>
  <si>
    <t>National Science Foundation [ANT-1043749, ANT-0838776, PLR-1341339]; University of South Florida</t>
  </si>
  <si>
    <t>National Science Foundation(National Science Foundation (NSF)); University of South Florida</t>
  </si>
  <si>
    <t>We would like to thank the team of the research vessel of the Nathanial B. Palmer and G. Rouse, for providing support during many field seasons of collection, in particular the 2013 cruise, and A. Hickling for sequencing support at WAM. This project was supported by the National Science Foundation through grant ANT-1043749 (to N.G.W.), grants ANT-0838776 and PLR-1341339 (to B.J.B.), and University of South Florida (to J.H.A.).</t>
  </si>
  <si>
    <t>0163-3864</t>
  </si>
  <si>
    <t>1520-6025</t>
  </si>
  <si>
    <t>J NAT PROD</t>
  </si>
  <si>
    <t>J. Nat. Prod.</t>
  </si>
  <si>
    <t>10.1021/acs.jnatprod.9b00362</t>
  </si>
  <si>
    <t>Plant Sciences; Chemistry, Medicinal; Pharmacology &amp; Pharmacy</t>
  </si>
  <si>
    <t>Science Citation Index Expanded (SCI-EXPANDED); Index Chemicus (IC)</t>
  </si>
  <si>
    <t>Plant Sciences; Pharmacology &amp; Pharmacy</t>
  </si>
  <si>
    <t>IU2UJ</t>
  </si>
  <si>
    <t>WOS:000483435000034</t>
  </si>
  <si>
    <t>Taniguchi, S; Colabuono, FI; Dalla Rosa, L; Secchi, ER; da Silva, J; Maia, DA; Montone, RC</t>
  </si>
  <si>
    <t>Taniguchi, Satie; Colabuono, Fernanda, I; Dalla Rosa, Luciano; Secchi, Eduardo R.; da Silva, Josilene; Maia, Daniela A.; Montone, Rosalinda C.</t>
  </si>
  <si>
    <t>Persistent organic pollutants in blubber of fin whales (Balaenoptera physalus) from the Southern Ocean</t>
  </si>
  <si>
    <t>MARINE POLLUTION BULLETIN</t>
  </si>
  <si>
    <t>Antartica; Fin whale; Balaenoptera physalus; POPs; Organochlorine pesticides; Southern Ocean</t>
  </si>
  <si>
    <t>MEDITERRANEAN SEA; ORGANOCHLORINE CONTAMINANTS; HUMPBACK WHALES; CETACEANS; BIOPSIES; PCBS; ENVIRONMENT; PESTICIDES; DDTS; GULF</t>
  </si>
  <si>
    <t>Persistent organic pollutants (POPs) were analyzed in eighteen blubber samples biopsied from fin whales (Balaenoptera physalus) during the feeding season near the Antarctic Peninsula in the summer of 2013. POP content (in ng g(-1) lipid weight) ranged from 46.4 to 708 for polychlorinated biphenyls (Sigma PCBs), 6.77 to 123 for hexachlorobenzene (HCB), 10.1 to 489 for dichlorodiphenyltrichloroethane and derivatives (Sigma DDTs), 5.38 to 52.8 for hexachlorocyclohexanes (Sigma HCH) and &lt; 0.40 to 2.54 for polybrominated diphenyl ethers (Sigma PBDEs). The presence of those compounds in Southern Ocean fin whales is related to long-range transport and their diet based mainly on euphausiids (krill). Their contents were much lower compared to the same species in other locations, especially in the Northern Hemisphere, presumably due to differences in trophic position and the proximity of POP sources and contamination of prey items.</t>
  </si>
  <si>
    <t>[Taniguchi, Satie; Colabuono, Fernanda, I; da Silva, Josilene; Maia, Daniela A.; Montone, Rosalinda C.] Univ Sao Paulo, Inst Oceanog, Praca Oceanog 191, BR-05508120 Sao Paulo, SP, Brazil; [Dalla Rosa, Luciano; Secchi, Eduardo R.] Univ Fed Rio Grande FURG, Inst Oceanog, BR-96203000 Rio Grande, RS, Brazil</t>
  </si>
  <si>
    <t>Universidade de Sao Paulo; Universidade Federal do Rio Grande</t>
  </si>
  <si>
    <t>Taniguchi, S (corresponding author), Univ Sao Paulo, Inst Oceanog, Praca Oceanog 191, BR-05508120 Sao Paulo, SP, Brazil.</t>
  </si>
  <si>
    <t>satie@usp.br</t>
  </si>
  <si>
    <t>Montone, Rosalinda C/J-9110-2012; Colabuono, Fernanda Imperatrice/B-7197-2012; Maia, Daniela/JWA-1479-2024; Secchi, Eduardo R./ABF-1191-2020; Rosa, Luciano Dalla/D-5660-2012; Taniguchi, Satie/D-2552-2013</t>
  </si>
  <si>
    <t>Secchi, Eduardo R./0000-0001-9087-9909; Rosa, Luciano Dalla/0000-0002-1583-6471; Taniguchi, Satie/0000-0002-6825-6390; da Silva, Josilene/0000-0002-4527-9311</t>
  </si>
  <si>
    <t>CNPq [557064/2009-0, 408096/2013-6, PQ309258/2016-2, PQ 307846/2014-8]; INCT-APA (National Institute of Science and Technology on Antarctic Environmental Research)</t>
  </si>
  <si>
    <t>CNPq(Conselho Nacional de Desenvolvimento Cientifico e Tecnologico (CNPQ)); INCT-APA (National Institute of Science and Technology on Antarctic Environmental Research)</t>
  </si>
  <si>
    <t>The authors are grateful to all crew members of the Polar Vessel Almirante Maximiano of the Brazilian Navy and the investigators who helped collecting samples and data, especially Alexandre Azevedo, Artur Andriolo and Jorge Acevedo. This study was conducted by Projeto Baleias/Brazilian Antarctic Program (CNPq grants 557064/2009-0 and 408096/2013-6), with additional support by INCT-APA (National Institute of Science and Technology on Antarctic Environmental Research). CNPq provided research fellowships to L.D.R. (PQ309258/2016-2) and to E.R.S. (PQ 307846/2014-8). The authors are also grateful to Marcia Caruso Bicego and the Brazilian fostering agency FAPESP (Process number: 2015/18348-1) for the use of gas chromatograph with triple quadrupole mass spectrometer (GC/MS/MS).</t>
  </si>
  <si>
    <t>0025-326X</t>
  </si>
  <si>
    <t>1879-3363</t>
  </si>
  <si>
    <t>MAR POLLUT BULL</t>
  </si>
  <si>
    <t>Mar. Pollut. Bull.</t>
  </si>
  <si>
    <t>10.1016/j.marpolbul.2019.05.045</t>
  </si>
  <si>
    <t>IS9UI</t>
  </si>
  <si>
    <t>WOS:000482493000018</t>
  </si>
  <si>
    <t>Ferreira, MF; Lo Nostro, F; Honji, R; Ansaldo, M; Genovese, G</t>
  </si>
  <si>
    <t>Florencia Ferreira, Maria; Lo Nostro, Fabiana; Honji, Renato; Ansaldo, Martin; Genovese, Griselda</t>
  </si>
  <si>
    <t>Endocrine and reproductive endpoints of Notothenia rossii and N. coriiceps: A baseline study for ecotoxicological monitoring in Antarctic waters</t>
  </si>
  <si>
    <t>Notothenia; Antarctica; EDCs; Vitellogenin-like; Sex steroids; Lobular testes; Mucus</t>
  </si>
  <si>
    <t>PERSISTENT ORGANIC POLLUTANTS; SOUTH SHETLAND ISLANDS; KING GEORGE ISLAND; CICHLASOMA-DIMERUS PERCIFORMES; POLYCYCLIC AROMATIC-HYDROCARBONS; FISH TREMATOMUS-BERNACCHII; ZONA-RADIATA PROTEIN; POTTER COVE; GENE-EXPRESSION; FRESH-WATER</t>
  </si>
  <si>
    <t>Pollution threats Antarctica and scientists blame xenobiotics and anthropic activities. Yet little is known about their effect on Antarctic ichthyofauna. Accordingly, we investigated the endocrine system of male fish Notothenia rossii and N. coriiceps (Perciformes, Nototheniidae) collected during Austral summer. For N. rossii, hormone levels of estradiol, testosterone, and 11-ketotestosterone were higher in fish collected during March than those of January; whereas for N. coriiceps estradiol and androgens levels were higher and lower in March, respectively. Histological analysis of the testes showed an unrestricted lobular type with no pathological alterations. However, detection of vitellogenin-like in plasma and skin mucus were seen in 75% of N. coriiceps males and 7% of N. rossii males. This is the first report of mucus vitellogenin-like detection as a non-invasive biomarker of endocrine disruption in notothenioid males and settles a baseline for future studies of reproductive biology and endocrine disruption in Antarctic fishes.</t>
  </si>
  <si>
    <t>[Florencia Ferreira, Maria; Lo Nostro, Fabiana; Genovese, Griselda] UBA, Fac Ciencias Exactas &amp; Nat, DBBE, Lab Ecotoxicol Acuat, Buenos Aires, DF, Argentina; [Florencia Ferreira, Maria; Lo Nostro, Fabiana; Genovese, Griselda] UBA, CONICET, Inst Biodiversidad &amp; Biol Expt IBBEA, Buenos Aires, DF, Argentina; [Honji, Renato] Univ Sao Paulo, Ctr Biol Marinha, Sao Paulo, Brazil; [Ansaldo, Martin] Minist Relac Exteriores &amp; Culto, Direct Nacl Antartico, Inst Antartico Argentine, Dept Ecofisiol &amp; Ecotoxicol, Buenos Aires, DF, Argentina</t>
  </si>
  <si>
    <t>University of Buenos Aires; Consejo Nacional de Investigaciones Cientificas y Tecnicas (CONICET); University of Buenos Aires; Universidade de Sao Paulo; Instituto Antartico Argentino</t>
  </si>
  <si>
    <t>Genovese, G (corresponding author), UBA, Fac Ciencias Exactas &amp; Nat, DBBE, Lab Ecotoxicol Acuat, Buenos Aires, DF, Argentina.</t>
  </si>
  <si>
    <t>genovese@bg.fcen.uba.ar</t>
  </si>
  <si>
    <t>Honji, Renato Massaaki/F-3485-2012</t>
  </si>
  <si>
    <t>Honji, Renato Massaaki/0000-0001-7198-7728; Genovese, Griselda/0000-0002-7189-6639; Lo Nostro, Fabiana/0000-0001-8816-9449; Ferreira, Maria Florencia/0000-0001-8824-5392</t>
  </si>
  <si>
    <t>Agenda Nacional de Promocion Cientffica y Tecnologica-DNA [PICTO Antartida 0091]; Universidad de Buenos Aires [UBACyT 056]; CONICET [PIP 1021]</t>
  </si>
  <si>
    <t>Agenda Nacional de Promocion Cientffica y Tecnologica-DNA; Universidad de Buenos Aires(University of Buenos Aires); CONICET(Consejo Nacional de Investigaciones Cientificas y Tecnicas (CONICET))</t>
  </si>
  <si>
    <t>We are grateful to Gabriel Rosa, Fernando Meijide, Hernan Sacristan, and Carlos Bellisio for sampling collection during scientific campaigns. We are especially grateful for the generous gifts of piscine antisera against vitellogenin provided by Helge K. Johnsen (University of Tromso, Norway) and Akio Shimitzu (National Research Institute of Fisheries Science, Japan). We are also in debt to Renata Guimaraes Moreira (Universidade de Sao Paulo, Brazil) for her support with the hormone assays and Harry Grier (Florida Marine Research Institute) for his valuable revision of gonadal histology. The financial support was provided by Agenda Nacional de Promocion Cientffica y Tecnologica-DNA (PICTO Antartida 0091; Ansaldo, Genovese, Lo Nostro). Grants from Universidad de Buenos Aires (UBACyT 056, Lo Nostro) and CONICET (PIP 1021, Lo Nostro) partially contributed to this research.</t>
  </si>
  <si>
    <t>10.1016/j.marpolbul.2019.06.044</t>
  </si>
  <si>
    <t>WOS:000482493000049</t>
  </si>
  <si>
    <t>Kasmalkar, I; Mantelli, E; Suckale, J</t>
  </si>
  <si>
    <t>Kasmalkar, Indraneel; Mantelli, Elisa; Suckale, Jenny</t>
  </si>
  <si>
    <t>Spatial heterogeneity in subglacial drainage driven by till erosion</t>
  </si>
  <si>
    <t>PROCEEDINGS OF THE ROYAL SOCIETY A-MATHEMATICAL PHYSICAL AND ENGINEERING SCIENCES</t>
  </si>
  <si>
    <t>subglacial hydrology; subglacial processes; canals; ice streams; subglacial till; erosional instability</t>
  </si>
  <si>
    <t>ANTARCTIC ICE STREAM; FREE-SURFACE FLOW; SEDIMENT TRANSPORT; WEST ANTARCTICA; RING-SHEAR; WATER-FLOW; BED; DEFORMATION; BENEATH; MOTION</t>
  </si>
  <si>
    <t>The distribution and drainage of meltwater at the base of glaciers sensitively affects fast ice flow. Previous studies suggest that thin meltwater films between the overlying ice and a hard-rock bed channelize into efficient drainage elements by melting the overlying ice. However, these studies do not account for the presence of soft deformable sediment observed underneath many West Antarctic ice streams, and the inextricable coupling that sediment exhibits with meltwater drainage. Our work presents an alternate mechanism for initiating drainage elements such as canals where meltwater films grow by eroding the sediment beneath. We conduct a linearized stability analysis on a meltwater film flowing over an erodible bed. We solve the Orr-Sommerfeld equation for the film flow, and we compute bed evolution with the Exner equation. We identify a regime where the coupled dynamics of hydrology and sediment transport drives a morphological instability that generates spatial heterogeneity at the bed. We show that this film instability operates at much faster time scales than the classical thermal instability proposed by Walden We discuss the physics of the instability using the framework of ripple formation on erodible beds.</t>
  </si>
  <si>
    <t>[Kasmalkar, Indraneel; Suckale, Jenny] Stanford Univ, Inst Computat &amp; Math Engn, Stanford, CA 94305 USA; [Mantelli, Elisa; Suckale, Jenny] Stanford Univ, Dept Geophys, Stanford, CA 94305 USA; [Suckale, Jenny] Stanford Univ, Dept Civil &amp; Environm Engn, Stanford, CA 94305 USA; [Mantelli, Elisa] Princeton Univ, Atmospher &amp; Ocean Sci Program, Princeton, NJ 08544 USA</t>
  </si>
  <si>
    <t>Stanford University; Stanford University; Stanford University; Princeton University; National Oceanic Atmospheric Admin (NOAA) - USA</t>
  </si>
  <si>
    <t>Kasmalkar, I (corresponding author), Stanford Univ, Inst Computat &amp; Math Engn, Stanford, CA 94305 USA.</t>
  </si>
  <si>
    <t>ineel@stanford.edu</t>
  </si>
  <si>
    <t>MANTELLI, ELISA/G-4965-2018</t>
  </si>
  <si>
    <t>MANTELLI, ELISA/0000-0001-5096-7998; Kasmalkar, Indraneel/0000-0001-5248-077X</t>
  </si>
  <si>
    <t>National Science Foundation through the Office of Polar Programs [PLR-1341499, PLR-1744758]; Hewlett Family through the Stanford Graduate Fellowship</t>
  </si>
  <si>
    <t>National Science Foundation through the Office of Polar Programs; Hewlett Family through the Stanford Graduate Fellowship</t>
  </si>
  <si>
    <t>This research was supported by the National Science Foundation through the Office of Polar Programs awards PLR-1341499 and PLR-1744758. I.K. was supported by the Hewlett Family through the Stanford Graduate Fellowship.</t>
  </si>
  <si>
    <t>1364-5021</t>
  </si>
  <si>
    <t>1471-2946</t>
  </si>
  <si>
    <t>P ROY SOC A-MATH PHY</t>
  </si>
  <si>
    <t>Proc. R. Soc. A-Math. Phys. Eng. Sci.</t>
  </si>
  <si>
    <t>10.1098/rspa.2019.0259</t>
  </si>
  <si>
    <t>IT5BI</t>
  </si>
  <si>
    <t>WOS:000482874300013</t>
  </si>
  <si>
    <t>Konrad, H; Hogg, AE; Mulvaney, R; Arthern, R; Tuckwell, RJ; Medley, B; Shepherd, A</t>
  </si>
  <si>
    <t>Konrad, Hannes; Hogg, Anna E.; Mulvaney, Robert; Arthern, Robert; Tuckwell, Rebecca J.; Medley, Brooke; Shepherd, Andrew</t>
  </si>
  <si>
    <t>Observations of surface mass balance on Pine Island Glacier, West Antarctica, and the effect of strain history in fast-flowing sections</t>
  </si>
  <si>
    <t>JOURNAL OF GLACIOLOGY</t>
  </si>
  <si>
    <t>ground-penetrating radar; ice core; ice dynamics; ice-sheet mass balance; snow/ice surface processes; surface mass budget</t>
  </si>
  <si>
    <t>ICE FLOW; ACCUMULATION VARIABILITY; RADAR; GREENLAND; FIRN; REASSESSMENT; CLIMATE; SHEET</t>
  </si>
  <si>
    <t>Surface mass balance (SMB) is the net input of mass on a glacier's upper surface, composed of snow deposition, melt and erosion processes, and is a major contributor to the overall mass balance. Pine Island Glacier (PIG) in West Antarctica has been dynamically imbalanced since the early 1990s, indicating that discharge of solid ice into the oceans exceeds snow deposition. However, observations of the SMB pattern on the fast flowing regions are scarce, and are potentially affected by the firn's strain history. Here, we present new observations from radar-derived stratigraphy and a relatively dense network of firn cores, collected along a similar to 900 km traverse of PIG. Between 1986 and 2014, the SMB along the traverse was 0.505 m w.e. a(-1) on average with a gradient of higher snow deposition in the South-West compared with the North-East of the catchment. We show that along similar to 80% of the traverse the strain history amounts to a misestimation of SMB below the nominal uncertainty, but can exceed it by a factor 5 in places, making it a significant correction to the SMB estimate locally. We find that the strain correction changes the basin-wide SMB by similar to 0.7 Gt a(-1) and thus forms a negligible (1%) correction to the glacier's total SMB.</t>
  </si>
  <si>
    <t>[Konrad, Hannes; Hogg, Anna E.; Shepherd, Andrew] Univ Leeds, Ctr Polar Observat &amp; Modelling, Leeds, W Yorkshire, England; [Konrad, Hannes] Deutsch Wetterdienst, Offenbach, Germany; [Mulvaney, Robert; Arthern, Robert; Tuckwell, Rebecca J.] British Antarctic Survey, Cambridge, England; [Medley, Brooke] NASA, Cryospher Sci Lab, Goddard Space Flight Ctr, Greenbelt, MD USA</t>
  </si>
  <si>
    <t>UK Research &amp; Innovation (UKRI); Natural Environment Research Council (NERC); NERC British Antarctic Survey; National Aeronautics &amp; Space Administration (NASA); NASA Goddard Space Flight Center</t>
  </si>
  <si>
    <t>Hogg, AE (corresponding author), Univ Leeds, Ctr Polar Observat &amp; Modelling, Leeds, W Yorkshire, England.</t>
  </si>
  <si>
    <t>a.e.hogg@leeds.ac.uk</t>
  </si>
  <si>
    <t>Konrad, Hannes/H-7647-2013; Mulvaney, Robert/K-3929-2012; Konrad, Hannes/A-1813-2016</t>
  </si>
  <si>
    <t>Konrad, Hannes/0000-0002-5058-8637</t>
  </si>
  <si>
    <t>Natural Environment Research Council [cpom300001]; NERC's iSTAR Programme; NERC [NE/J005681/1, NE/R012407/1]; CPOM; Natural Environment Research Council [NE/L005212/1] Funding Source: researchfish; NERC [NE/J00569X/1, NE/L005212/1, NE/J005681/1, bas0100024, cpom30001, bas0100034, NE/J005657/1, NE/T009470/1] Funding Source: UKRI</t>
  </si>
  <si>
    <t>Natural Environment Research Council(UK Research &amp; Innovation (UKRI)Natural Environment Research Council (NERC)); NERC's iSTAR Programme; NERC(UK Research &amp; Innovation (UKRI)Natural Environment Research Council (NERC)); CPOM; Natural Environment Research Council(UK Research &amp; Innovation (UKRI)Natural Environment Research Council (NERC)); NERC(UK Research &amp; Innovation (UKRI)Natural Environment Research Council (NERC))</t>
  </si>
  <si>
    <t>This work was led by the NERC Centre for Polar Observation and Modelling, supported by the Natural Environment Research Council (cpom300001). H. K. and R. M. were funded through the NERC's iSTAR Programme and NERC Grant Number NE/J005681/1. A. E. H. was funded by CPOM and a NERC Fellowship (NE/R012407/1). The authors gratefully acknowledge the logistical support provided by British Antarctic Survey during the iSTAR field campaigns and the constructive comments by two anonymous reviewers and the editor that helped to improve the manuscript.</t>
  </si>
  <si>
    <t>0022-1430</t>
  </si>
  <si>
    <t>1727-5652</t>
  </si>
  <si>
    <t>J GLACIOL</t>
  </si>
  <si>
    <t>J. Glaciol.</t>
  </si>
  <si>
    <t>10.1017/jog.2019.36</t>
  </si>
  <si>
    <t>IS9ZZ</t>
  </si>
  <si>
    <t>Green Accepted, gold, Green Published</t>
  </si>
  <si>
    <t>WOS:000482507800007</t>
  </si>
  <si>
    <t>Washam, P; Nicholls, KW; Münchow, A; Padman, L</t>
  </si>
  <si>
    <t>Washam, Peter; Nicholls, Keith W.; Munchow, Andreas; Padman, Laurie</t>
  </si>
  <si>
    <t>Summer surface melt thins Petermann Gletscher Ice Shelf by enhancing channelized basal melt</t>
  </si>
  <si>
    <t>SUBGLACIAL DISCHARGE; LECONTE GLACIER; NORTH GREENLAND; SUBMARINE MELT; GROUNDING LINE; OCEAN; BENEATH; WEST; VELOCITY; SHEET</t>
  </si>
  <si>
    <t>Increasing ocean and air temperatures have contributed to the removal of floating ice shelves from several Greenland outlet glaciers; however, the specific contribution of these external forcings remains poorly understood. Here we use atmospheric, oceanographic and glaciological time series data from the ice shelf of Petermann Gletscher, NW Greenland to quantify the forcing of the ocean and atmosphere on the ice shelf at a site similar to 16 km from the grounding line within a large sub-ice-shelf channel. Basal melt rates here indicate a strong seasonality, rising from a winter mean of 2 m a(-1) to a maximum of 80 m a(-1) during the summer melt season. This increase in basal melt rates confirms the direct link between summer atmospheric warming around Greenland and enhanced ocean-forced melting of its remaining ice shelves. We attribute this enhanced melting to increased discharge of subglacial runoff into the ocean at the grounding line, which strengthens under-ice currents and drives a greater ocean heat flux toward the ice base.</t>
  </si>
  <si>
    <t>[Washam, Peter; Munchow, Andreas] Univ Delaware, Coll Earth Ocean &amp; Environm, Newark, DE 19716 USA; [Nicholls, Keith W.] NERC, British Antarctic Survey, Cambridge, England; [Padman, Laurie] Earth &amp; Space Res, Corvallis, OR USA</t>
  </si>
  <si>
    <t>University of Delaware; UK Research &amp; Innovation (UKRI); Natural Environment Research Council (NERC); NERC British Antarctic Survey</t>
  </si>
  <si>
    <t>Washam, P (corresponding author), Univ Delaware, Coll Earth Ocean &amp; Environm, Newark, DE 19716 USA.</t>
  </si>
  <si>
    <t>pwasham@udel.edu</t>
  </si>
  <si>
    <t>Padman, Laurence/AAH-3808-2021; Muenchow, Andreas/J-8257-2012</t>
  </si>
  <si>
    <t>Muenchow, Andreas/0000-0001-8360-5686; Washam, Peter/0000-0001-8861-520X; Padman, Laurence/0000-0003-2010-642X</t>
  </si>
  <si>
    <t>National Science Foundation (NSF); National Aeronautics and Space Administration (NASA); NASA [NNX15AL77G, NNX17AG63G]; Jet Propulsion Laboratory; NSF [1604076, 1708424]; NERC [bas0100033] Funding Source: UKRI; Directorate For Geosciences; Office of Polar Programs (OPP) [1604076, 1708424] Funding Source: National Science Foundation; NASA [NNX15AL77G, 798587] Funding Source: Federal RePORTER</t>
  </si>
  <si>
    <t>National Science Foundation (NSF)(National Science Foundation (NSF)); National Aeronautics and Space Administration (NASA)(National Aeronautics &amp; Space Administration (NASA)); NASA(National Aeronautics &amp; Space Administration (NASA)); Jet Propulsion Laboratory(National Aeronautics &amp; Space Administration (NASA)); NSF(National Science Foundation (NSF)); NERC(UK Research &amp; Innovation (UKRI)Natural Environment Research Council (NERC)); Directorate For Geosciences; Office of Polar Programs (OPP)(National Science Foundation (NSF)NSF - Directorate for Geosciences (GEO)); NASA(National Aeronautics &amp; Space Administration (NASA))</t>
  </si>
  <si>
    <t>Both the National Science Foundation (NSF) and National Aeronautics and Space Administration (NASA) supported this work. We are grateful to crew and staff aboard the Swedish Ice Breaker Oden in 2015 who made this work possible by providing helicopter support for field operations on the glacier. Alan Mix of Oregon State University generously shared time and resources in the field in 2015. Paul Anker and Mike Brian of the British Antarctic Survey provided critical support for hot water drilling and glacier traveling. The PG 16 atmospheric and oceanographic mooring was designed and built by David Huntley at the University of Delaware and funded by NASA grant NNX15AL77G. AM was supported by a subcontract from Jet Propulsion Laboratory in 2015 and NSF grant 1604076 in 2016. LP was supported by NSF grant 1708424 and NASA grant NNX17AG63G. We thank Emily Shroyer, who generously shared her model output, as well as Tore Hattermann and one anonymous reviewer for their thoughtful comments during the revision process.</t>
  </si>
  <si>
    <t>10.1017/jog.2019.43</t>
  </si>
  <si>
    <t>WOS:000482507800012</t>
  </si>
  <si>
    <t>Sugiyama, S; Navarro, FJ; Sawagaki, T; Minowa, M; Segawa, T; Onuma, Y; Otero, J; Vasilenko, EV</t>
  </si>
  <si>
    <t>Sugiyama, Shin; Navarro, Francisco J.; Sawagaki, Takanobu; Minowa, Masahiro; Segawa, Takahiro; Onuma, Yukihiko; Otero, Jaime; Vasilenko, Evgeny V.</t>
  </si>
  <si>
    <t>Subglacial water pressure and ice-speed variations at Johnsons Glacier, Livingston Island, Antarctic Peninsula</t>
  </si>
  <si>
    <t>Antarctic glaciology; glacier flow; ice temperature; ice velocity; subglacial processes</t>
  </si>
  <si>
    <t>SURFACE VELOCITY; DRAINAGE SYSTEM; HURD; STORGLACIAREN; RADAR; FINDELENGLETSCHER; CONFIGURATION; FLUCTUATIONS; TEMPERATURE; VARIABILITY</t>
  </si>
  <si>
    <t>To study subglacial hydrological condition and its influence on the glacier dynamics, we drilled Johnsons Glacier on Livingston Island in the Antarctic Peninsula region. Subglacial water pressure was recorded in boreholes at two locations over 2 years, accompanied by high-frequency ice-speed measurements during two summer melt seasons. Water pressure showed two different regimes, namely high frequency and large amplitude variations during the melt season (January-April) and small fluctuations near the overburden pressure the rest of the year. Speed-up events were observed several times in each summer measurement period. Ice motion during these events substantially contributed to total glacier motion, for example, fast ice flow over 1 week accounted for similar to 70% of the total displacement over a 25-day long measurement period. We did not find a clear relationship between subglacial water pressure and ice speed. This was probably because subglacial hydraulic conditions were spatially inhomogeneous and thus our borehole data did not always represent a large-scale subglacial condition. Ice temperature measurements in the boreholes confirmed the existence of a cold ice layer near the glacier surface. Our data provide a basis to better understand the dynamic and hydrological conditions of relatively unstudied glaciers in the Antarctic Peninsula region.</t>
  </si>
  <si>
    <t>[Sugiyama, Shin] Hokkaido Univ, Inst Low Temp Sci, Sapporo, Hokkaido, Japan; [Navarro, Francisco J.; Otero, Jaime] Univ Politecn Madrid, ETSI Telecomunicac, Dept Matemat Aplicada TIC, Madrid, Spain; [Sawagaki, Takanobu] Hosei Univ, Fac Social Sci, Tokyo, Japan; [Minowa, Masahiro] Univ Austral Chile, Inst Ciencias Fis &amp; Matemat, Valdivia, Chile; [Segawa, Takahiro] Univ Yamanashi, Ctr Life Sci Res, Kofu, Yamanashi, Japan; [Onuma, Yukihiko] Univ Tokyo, Inst Ind Sci, Kashiwa, Chiba, Japan; [Vasilenko, Evgeny V.] Acad Sci Uzbek, Inst Ind Res Akadempribor, Tashkent, Uzbekistan</t>
  </si>
  <si>
    <t>Hokkaido University; Universidad Politecnica de Madrid; Hosei University; Universidad Austral de Chile; University of Yamanashi; University of Tokyo; Academy of Sciences of Uzbekistan</t>
  </si>
  <si>
    <t>Sugiyama, S (corresponding author), Hokkaido Univ, Inst Low Temp Sci, Sapporo, Hokkaido, Japan.</t>
  </si>
  <si>
    <t>sugishin@lowtem.hokudai.ac.jp</t>
  </si>
  <si>
    <t>Sawagaki, Takanobu/C-7632-2012; Minowa, Masahiro/AAX-1280-2021; Onuma, Yukihiko/IZD-6967-2023; Onuma, Yukihiko/AGH-2563-2022; Vasilenko, Evgeny/ABH-7433-2020; Navarro, Francisco/L-2941-2014; Sugiyama, Shin/C-2511-2012; Otero, Jaime/L-6521-2014</t>
  </si>
  <si>
    <t>Minowa, Masahiro/0000-0003-2667-9798; Onuma, Yukihiko/0000-0003-4872-6444; Onuma, Yukihiko/0000-0003-4872-6444; Navarro, Francisco/0000-0002-5147-0067; Otero, Jaime/0000-0002-3518-7763; Segawa, Takahiro/0000-0002-3111-708X</t>
  </si>
  <si>
    <t>Juan Carlos I Station on Livingston Island; Spanish Polar Programme [CTM2014-56473-R]; Japan Society for the Promotion of Science [26550001, 16H05734, 17H06320]; Grants-in-Aid for Scientific Research [26550001, 16H05734] Funding Source: KAKEN</t>
  </si>
  <si>
    <t>Juan Carlos I Station on Livingston Island; Spanish Polar Programme;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</si>
  <si>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Field activity was supported by the Juan Carlos I Station on Livingston Island. We thank the members of the field campaigns from 2014/15 to 2016/17. Thanks are also to two anonymous reviewers for providing helpful comments, and the Scientific Editor B. Kulessa for handling the paper. English text was corrected by A. Kidder. This study, Project CTM2014-56473-R was funded by the Spanish Polar Programme, and by Grants-in-Aid for Scientific Research (26550001, 16H05734 and 17H06320) from the Japan Society for the Promotion of Science.</t>
  </si>
  <si>
    <t>10.1017/jog.2019.45</t>
  </si>
  <si>
    <t>WOS:000482507800014</t>
  </si>
  <si>
    <t>Hwang, JM; Bose, N; Fan, SS</t>
  </si>
  <si>
    <t>Hwang, Jimin; Bose, Neil; Fan, Shuangshuang</t>
  </si>
  <si>
    <t>AUV Adaptive Sampling Methods: A Review</t>
  </si>
  <si>
    <t>APPLIED SCIENCES-BASEL</t>
  </si>
  <si>
    <t>autonomous underwater vehicle(s); maritime robotics; adaptive sampling; underwater feature tracking; in-situ sensors; sensor fusion</t>
  </si>
  <si>
    <t>AUTONOMOUS UNDERWATER VEHICLE; POLYMERASE-CHAIN-REACTION; COOPERATIVE CONTROL; COORDINATED CONTROL; MASS-SPECTROMETRY; FLOW-CYTOMETRY; ALGAL; PHYTOPLANKTON; TRACKING; CHEMOTAXIS</t>
  </si>
  <si>
    <t>Autonomous underwater vehicles (AUVs) are unmanned marine robots that have been used for a broad range of oceanographic missions. They are programmed to perform at various levels of autonomy, including autonomous behaviours and intelligent behaviours. Adaptive sampling is one class of intelligent behaviour that allows the vehicle to autonomously make decisions during a mission in response to environment changes and vehicle state changes. Having a closed-loop control architecture, an AUV can perceive the environment, interpret the data and take follow-up measures. Thus, the mission plan can be modified, sampling criteria can be adjusted, and target features can be traced. This paper presents an overview of existing adaptive sampling techniques. Included are adaptive mission uses and underlying methods for perception, interpretation and reaction to underwater phenomena in AUV operations. The potential for future research in adaptive missions is discussed.</t>
  </si>
  <si>
    <t>[Hwang, Jimin] Univ Tasmania, Australian Maritime Coll, Launceston, Tas 7250, Australia; [Bose, Neil] Mem Univ Newfoundland, Dept Ocean &amp; Naval Architectural Engn, St John, NF A1C 5S7, Canada; [Fan, Shuangshuang] Sun Yat Sen Univ, Sch Marine Sci, Zhuhai 519082, Guangdong, Peoples R China</t>
  </si>
  <si>
    <t>University of Tasmania; Australian Maritime College; Memorial University Newfoundland; Sun Yat Sen University</t>
  </si>
  <si>
    <t>Fan, SS (corresponding author), Sun Yat Sen Univ, Sch Marine Sci, Zhuhai 519082, Guangdong, Peoples R China.</t>
  </si>
  <si>
    <t>jimin.hwang@utas.edu.au; nbose@mun.ca; fanshsh6@mail.sysu.edu.cn</t>
  </si>
  <si>
    <t>Bose, Neil/AAG-6329-2019; Hwang, Jimin/KAZ-9921-2024</t>
  </si>
  <si>
    <t>Bose, Neil/0000-0002-6444-0756; Hwang, Jimin/0000-0002-9641-0631</t>
  </si>
  <si>
    <t>Australian Research Council's Special Research Initiative under the Antarctic Gateway Partnership [SR140300001]; Fisheries and Oceans Canada through the Multi-partner Oil Spill Research Initiative (MPRI) 1.03: Oil Spill Reconnaissance and Delineation through Robotic Autonomous Underwater Vehicle Technology in Open and Iced Waters; Australian Government Research Training Program Scholarship</t>
  </si>
  <si>
    <t>Australian Research Council's Special Research Initiative under the Antarctic Gateway Partnership(Australian Research Council); Fisheries and Oceans Canada through the Multi-partner Oil Spill Research Initiative (MPRI) 1.03: Oil Spill Reconnaissance and Delineation through Robotic Autonomous Underwater Vehicle Technology in Open and Iced Waters; Australian Government Research Training Program Scholarship(Australian GovernmentDepartment of Industry, Innovation and Science)</t>
  </si>
  <si>
    <t>This research was supported by the Australian Research Council's Special Research Initiative under the Antarctic Gateway Partnership (Project ID SR140300001). Funding was also received from Fisheries and Oceans Canada through the Multi-partner Oil Spill Research Initiative (MPRI) 1.03: Oil Spill Reconnaissance and Delineation through Robotic Autonomous Underwater Vehicle Technology in Open and Iced Waters. The first author also acknowledges the Australian Government Research Training Program Scholarship in support of this higher degree research.</t>
  </si>
  <si>
    <t>2076-3417</t>
  </si>
  <si>
    <t>APPL SCI-BASEL</t>
  </si>
  <si>
    <t>Appl. Sci.-Basel</t>
  </si>
  <si>
    <t>AUG 1</t>
  </si>
  <si>
    <t>10.3390/app9153145</t>
  </si>
  <si>
    <t>Chemistry, Multidisciplinary; Engineering, Multidisciplinary; Materials Science, Multidisciplinary; Physics, Applied</t>
  </si>
  <si>
    <t>Chemistry; Engineering; Materials Science; Physics</t>
  </si>
  <si>
    <t>IS4PB</t>
  </si>
  <si>
    <t>gold, Green Accepted, Green Submitted</t>
  </si>
  <si>
    <t>WOS:000482134500200</t>
  </si>
  <si>
    <t>Staebe, K; Meiklejohn, KI; Singh, SM; Matcher, GF</t>
  </si>
  <si>
    <t>Staebe, K.; Meiklejohn, K., I; Singh, S. M.; Matcher, G. F.</t>
  </si>
  <si>
    <t>Biogeography of soil bacterial populations in the Jutulsessen and Ahlmannryggen of Western Dronning Maud Land, Antarctica</t>
  </si>
  <si>
    <t>POLAR BIOLOGY</t>
  </si>
  <si>
    <t>Antarctica; Soil ecology; Bacterial diversity; Biogeography</t>
  </si>
  <si>
    <t>ANOXYGENIC PHOTOTROPHIC BACTERIA; NORTHERN VICTORIA LAND; MICROBIAL COMMUNITIES; RONDANE MOUNTAINS; DIVERSITY; CARBON; TEMPERATURE; VALLEY; CYCLE; VARIABILITY</t>
  </si>
  <si>
    <t>Soils of continental Antarctic nunataks represent unusual ecosystems with concomitant unique bacterial community profiles which have not been assessed for the vast majority of Antarctic nunataks. This study focussed on the previously uncharacterised inland nunataks of the Jutulsessen and Ahlmannryggen ranges in Dronning Maud Land. As with many oligotrophic soils in Antarctica, bacteria from the phyla Acidobacteria, Actinobacteria and Proteobacteria were prevalent. High relative abundances of Bacteroidetes and Chloroflexi were also observed in these soils. Potential phototrophic capabilities of these bacterial populations were indicated by the presence of genes involved in the Calvin-Benson reductive pentose phosphate cycle as well as that of aerobic phototrophic bacteriochlorophyll. Clear spatial patterns of bacterial biodiversity between nunataks in this study were observed, particularly between the Jutulsessen and Ahlmannryggen nunataks which are geographically separated by the Jutulstraumen glacier. Not unexpectedly, the bacterial community profiles found in these nunataks were distinct from those found in alternate biogeographic regions (e.g. Dry Valleys, Peninsula and Larsemann Hills). Despite belonging to the same bioregion (i.e. Dronning Maud Land), however, the clear differentiation of bacterial communities between the Jutulsessen/Ahlmannryggen and that of Sor Rondane suggests that, based on bacterial phylogeography, the Dronning Maud Land bioregion can be divided into sub-bioregions.</t>
  </si>
  <si>
    <t>[Staebe, K.; Matcher, G. F.] Rhodes Univ, Dept Biochem &amp; Microbiol, Grahamstown, South Africa; [Meiklejohn, K., I] Rhodes Univ, Dept Geog, Grahamstown, South Africa; [Singh, S. M.] Natl Ctr Antarctic &amp; Ocean Res, Polar Biol Lab, Vasco Da Gama, Goa, India; [Singh, S. M.] BHU, Inst Sci, Dept Bot, Varanasi, Uttar Pradesh, India</t>
  </si>
  <si>
    <t>Rhodes University; Rhodes University; Ministry of Earth Sciences (MoES) - India; National Centre for Polar and Ocean Research (NCPOR); Banaras Hindu University (BHU)</t>
  </si>
  <si>
    <t>Matcher, GF (corresponding author), Rhodes Univ, Dept Biochem &amp; Microbiol, Grahamstown, South Africa.</t>
  </si>
  <si>
    <t>g.matcher@ru.ac.za</t>
  </si>
  <si>
    <t>Meiklejohn, Ian/F-3183-2012</t>
  </si>
  <si>
    <t>Meiklejohn, Ian/0000-0001-8890-2938; Staebe, Karin/0000-0001-8092-3283</t>
  </si>
  <si>
    <t>National Research Foundation (SANAP Grant) [93085]; Govt. of India; South Africa National Antarctic Program</t>
  </si>
  <si>
    <t>National Research Foundation (SANAP Grant); Govt. of India; South Africa National Antarctic Program</t>
  </si>
  <si>
    <t>The authors would like to acknowledge the financial support from the National Research Foundation (SANAP Grant Number 93085), the NRF-SAIAB Aquatic Genomics Research platform for the use of Illumina sequencing facilities and the National Centre of High Performance Computing in Cape Town (www.chpc.ac.za) for providing computational facilities. Logistical support from the personnel at the SANAE IV (South Africa) and Troll (Norway) research stations was invaluable in the completion of field sampling for this research. SM Singh was supported by the Govt. of India and the South Africa National Antarctic Program.</t>
  </si>
  <si>
    <t>NEW YORK</t>
  </si>
  <si>
    <t>ONE NEW YORK PLAZA, SUITE 4600, NEW YORK, NY, UNITED STATES</t>
  </si>
  <si>
    <t>0722-4060</t>
  </si>
  <si>
    <t>1432-2056</t>
  </si>
  <si>
    <t>POLAR BIOL</t>
  </si>
  <si>
    <t>Polar Biol.</t>
  </si>
  <si>
    <t>10.1007/s00300-019-02532-1</t>
  </si>
  <si>
    <t>IS3JW</t>
  </si>
  <si>
    <t>WOS:000482050500003</t>
  </si>
  <si>
    <t>Rovelli, L; Attard, KM; Cárdenas, CA; Glud, RN</t>
  </si>
  <si>
    <t>Rovelli, Lorenzo; Attard, Karl M.; Cardenas, Cesar A.; Glud, Ronnie N.</t>
  </si>
  <si>
    <t>Benthic primary production and respiration of shallow rocky habitats: a case study from South Bay (Doumer Island, Western Antarctic Peninsula)</t>
  </si>
  <si>
    <t>Aquatic eddy covariance; Community oxygen exchange; Doumer Island; Base Yelcho</t>
  </si>
  <si>
    <t>KING-GEORGE ISLAND; EDDY-CORRELATION MEASUREMENTS; ICE SCOUR DISTURBANCE; SIGNY ISLAND; COASTAL ENVIRONMENT; PERMEABLE SEDIMENTS; ADELAIDE ISLAND; SEASONAL RATES; ORKNEY ISLANDS; POTTER COVE</t>
  </si>
  <si>
    <t>Rocky benthic communities are common in Antarctic coastal habitats; yet little is known about their carbon turnover rates. Here, we performed a broad survey of shallow ( &lt; 65 m depth) rocky ice-scoured habitats of South Bay (Doumer Island, Western Antarctic Peninsula), combining (i) biodiversity assessments from benthic imaging, and (ii) in situ benthic dissolved oxygen (O-2) exchange rates quantified by the aquatic eddy covariance technique. The 18 study sites revealed a gradual transition from macroalgae and coralline-dominated communities at ice-impacted depths (15-25 m; zone I) to large suspension feeders (e.g., sponges, bivalves) at depth zone II (25-40 m) and extensive suspension feeders at the deepest study location (zone III; 40-65 m). Gross primary production (GPP) in zone I was up to 70 mmol O-2 m(-2) d(-1) and dark ecosystem respiration (ER) ranged from 15 to 90 mmol m(-2) d(-1). Zone II exhibited reduced GPP (average 1.1 mmol m(-2) d(-1)) and ER rates from 6 to 36 mmol m(-2) d(-1), whereas aphotic zone III exhibited ER between 1 and 6 mmol m(-2) d(-1). Benthic ER exceeded GPP at all study sites, with daily net ecosystem metabolism (NEM) ranging from - 22 mmol m(-2) d(-1) at the shallow sites to - 4 mmol m(-2) d(-1) at 60 m. Similar NEM dynamics have been observed for hard-substrate Arctic habitats at comparable depths. Despite relatively high GPP during summer, coastal rocky habitats appear net heterotrophic. This is likely due to active drawdown of organic material by suspension-feeding communities that are key for biogeochemical and ecological functioning of high-latitude coastal ecosystems.</t>
  </si>
  <si>
    <t>[Rovelli, Lorenzo; Attard, Karl M.; Glud, Ronnie N.] Univ Southern Denmark, Dept Biol, Nordcee, DK-5230 Odense M, Denmark; [Attard, Karl M.] Univ Helsinki, Tvarminne Zool Stn, Hango 10900, Finland; [Cardenas, Cesar A.] Inst Antartico Chileno, Dept Cient, Punta Arenas 6200965, Chile; [Glud, Ronnie N.] Tokyo Univ Marine Sci &amp; Technol, Dept Ocean &amp; Environm Sci, Tokyo 1088477, Japan; [Rovelli, Lorenzo] Univ Koblenz Landau, Inst Environm Sci, Landau, Germany</t>
  </si>
  <si>
    <t>University of Southern Denmark; University of Helsinki; Tokyo University of Marine Science &amp; Technology; University of Koblenz &amp; Landau</t>
  </si>
  <si>
    <t>Rovelli, L (corresponding author), Univ Southern Denmark, Dept Biol, Nordcee, DK-5230 Odense M, Denmark.;Rovelli, L (corresponding author), Univ Koblenz Landau, Inst Environm Sci, Landau, Germany.</t>
  </si>
  <si>
    <t>lorenzo@biology.sdu.dk</t>
  </si>
  <si>
    <t>Rovelli, Lorenzo/C-6765-2015; Attard, Karl Michael/ABE-6044-2021; Attard, Karl/AAO-8314-2021; Cardenas, Cesar/ABF-1664-2020</t>
  </si>
  <si>
    <t>Attard, Karl Michael/0000-0002-8009-5462; Rovelli, Lorenzo/0000-0003-4011-7484; Glud, Ronnie N./0000-0002-7069-893X; Cardenas, Cesar/0000-0001-6662-6899</t>
  </si>
  <si>
    <t>Comision de Ciencia y Tecnologia de Chile (CONICYT/FONDECYT/INACH/INICIACION/) [11150129]; European Union's Horizon 2020 research and innovation programme [678760]; Walter and Andree de Nottbeck Foundation; European Research Council [669947]; Danish Council for Independent Research [FNU-7014-00078]; Scientific Committee on Antarctic Research (SCAR AnT-ERA) programme [FNU-7014-00078]; European Research Council (ERC) [669947] Funding Source: European Research Council (ERC)</t>
  </si>
  <si>
    <t>Comision de Ciencia y Tecnologia de Chile (CONICYT/FONDECYT/INACH/INICIACION/); European Union's Horizon 2020 research and innovation programme; Walter and Andree de Nottbeck Foundation; European Research Council(European Research Council (ERC)); Danish Council for Independent Research(Det Frie Forskningsrad (DFF)); Scientific Committee on Antarctic Research (SCAR AnT-ERA) programme; European Research Council (ERC)(European Research Council (ERC)Spanish Government)</t>
  </si>
  <si>
    <t>We thank F. Beaujot, L. Novoa, D. Bravo, and the INACH (Instituto Antartico Chileno) personnel at Yelcho Antarctic Research Station for their invaluable help during the field activities. We are also thankful to U. Braeckman and two anonymous reviewers for their constructive reviews of this work. The work was supported by the Comision de Ciencia y Tecnologia de Chile (CONICYT/FONDECYT/INACH/INICIACION/#11150129). This project has received funding from the European Union's Horizon 2020 research and innovation programme under grant Agreement No. 678760 (ATLAS). This output reflects only the author's view, and the European Union cannot be held responsible for any use that may be made of the information contained therein. KMA was supported through a Postdoctoral fellowship from the Walter and Andree de Nottbeck Foundation. This study contributes to the project HADES-ERC funded by the European Research Council Advanced Investigator Grant 669947, to the FNU-7014-00078 Grant, awarded by the Danish Council for Independent Research, and the Scientific Committee on Antarctic Research (SCAR AnT-ERA) programme.</t>
  </si>
  <si>
    <t>233 SPRING ST, NEW YORK, NY 10013 USA</t>
  </si>
  <si>
    <t>10.1007/s00300-019-02533-0</t>
  </si>
  <si>
    <t>WOS:000482050500004</t>
  </si>
  <si>
    <t>Benthic primary production and respiration of shallow rocky habitats: a case study from South Bay (Doumer Island, Western Antarctic Peninsula) (vol 42, pg 1459, 2019)</t>
  </si>
  <si>
    <t>Attard, Karl/AAO-8314-2021; Cardenas, Cesar/ABF-1664-2020; Attard, Karl Michael/ABE-6044-2021</t>
  </si>
  <si>
    <t>Attard, Karl Michael/0000-0002-8009-5462; Cardenas, Cesar/0000-0001-6662-6899; Glud, Ronnie N./0000-0002-7069-893X; Rovelli, Lorenzo/0000-0003-4011-7484</t>
  </si>
  <si>
    <t>10.1007/s00300-019-02548-7</t>
  </si>
  <si>
    <t>WOS:000482050500005</t>
  </si>
  <si>
    <t>Fearnbach, H; Durban, JW; Ellifrit, DK; Pitman, RL</t>
  </si>
  <si>
    <t>Fearnbach, Holly; Durban, John W.; Ellifrit, David K.; Pitman, Robert L.</t>
  </si>
  <si>
    <t>Abundance of Type A killer whales (Orcinus orca) in the coastal waters off the western Antarctic Peninsula</t>
  </si>
  <si>
    <t>Predator; Orcinus orca; Population; Telemetry; Mark-recapture; Capture-recapture</t>
  </si>
  <si>
    <t>PRINCE-WILLIAM-SOUND; MARK-RECAPTURE; PREY ABUNDANCE; ASSOCIATION; PATTERNS; MODEL; POPULATION; SELECTION; DYNAMICS; IMPACTS</t>
  </si>
  <si>
    <t>A diverse community of phenotypically, genetically, and culturally distinct killer whales (Orcinus orca; Types B1, B2, and A) are important top predators in the coastal waters off the western Antarctic Peninsula (WAP), but there are currently no data on their abundance or trends. Most research to date has focused on the distinctive and pagophilic Type B killer whales and much less is known about the Type A killer whale, an open-water form that is more typical in appearance. Here, we integrate satellite telemetry (n = 10 tags, median duration = 57 days) and photo-identifications (13 years, 15,828 photographs) collected during austral summers from 2004/2005 to 2016/2017 to describe the movement patterns of Type A killer whales and estimate their abundance and trends in the coastal waters of the WAP. Tagged whales typically ranged widely on the continental shelf in the austral summer, but also moved over long distances into the Southern Ocean and beyond off both sides of South America (up to 3048 km from tagging site). Photographic re-sightings within this core summer range were common across years (up to 13 years), and a Bayesian Mark-recapture analysis estimated high average annual survival (posterior median = 0.98, 95% probability interval 0.74-1), and an average annual abundance that increased from a low of 91 (95% probability interval 58-147) in 2009/2010 to a high of 149 (95% PI 101-226) in 2016/2017. This increase may be a response to changing ice conditions that increased access to new feeding areas, and/or an increasing local abundance of marine mammal prey species in the WAP.</t>
  </si>
  <si>
    <t>[Fearnbach, Holly] SR3 SeaLife Response Rehabil &amp; Res, 2255 Harbor Ave,SW 101, Seattle, WA 98126 USA; [Durban, John W.] Natl Marine Fisheries Serv, Marine Mammal &amp; Turtle Div, Southwest Fisheries Sci Ctr, 8901 La Jolla Shores Dr, La Jolla, CA 92037 USA; [Ellifrit, David K.] Ctr Whale Res, 355 Smugglers Cove Rd, Friday Harbor, WA 98250 USA; [Pitman, Robert L.] Natl Marine Fisheries Serv, Antarctic Ecosyst Res Div, Southwest Fisheries Sci Ctr, 8901 La Jolla Shores Dr, La Jolla, CA 92037 USA</t>
  </si>
  <si>
    <t>National Oceanic Atmospheric Admin (NOAA) - USA; National Oceanic Atmospheric Admin (NOAA) - USA</t>
  </si>
  <si>
    <t>Fearnbach, H (corresponding author), SR3 SeaLife Response Rehabil &amp; Res, 2255 Harbor Ave,SW 101, Seattle, WA 98126 USA.</t>
  </si>
  <si>
    <t>hfearnbach@sealifer3.org</t>
  </si>
  <si>
    <t>Lindblad Expeditions-National Geographic Conservation Fund; E. R. Johnson; Pew Charitable Trusts</t>
  </si>
  <si>
    <t>This paper would not have been possible without the contribution of photographs from many dedicated naturalists and photographers. We are grateful to IAATO for promoting our project and encouraging photographic submissions. The authors also collected photo-identifications from platforms of opportunity provided by the BBC, and Lindblad Expeditions-National Geographic (LEX-NG). The Pew Charitable Trusts, the Lindblad Expeditions-National Geographic Conservation Fund, and a private grant from E. R. Johnson supported photo-identification efforts and analyses. Field research by the authors was conducted under Antarctic Conservation Area Permit 2009-013, and Marine Mammal Protection Act Permits 774-1714 and 14097 issued to NOAA, Southwest Fisheries Science Center.</t>
  </si>
  <si>
    <t>10.1007/s00300-019-02534-z</t>
  </si>
  <si>
    <t>WOS:000482050500006</t>
  </si>
  <si>
    <t>Risi, MM; Jones, CW; Schoombie, S; Ryan, PG</t>
  </si>
  <si>
    <t>Risi, Michelle M.; Jones, Christopher W.; Schoombie, Stefan; Ryan, Peter G.</t>
  </si>
  <si>
    <t>Plumage and bill abnormalities in albatross chicks on Marion Island</t>
  </si>
  <si>
    <t>Thalassarche chrysostoma; Phoebetria palpebrata; Leucism; Colour aberrations; Deformities; Bent-beak syndrome</t>
  </si>
  <si>
    <t>DOUBLE-CRESTED CORMORANTS; AVIAN KERATIN DISORDER; BEAK DEFORMITIES; BIRDS; TRENDS</t>
  </si>
  <si>
    <t>Accessible colonies of Grey-headed Albatross Thalassarche chrysostoma chicks on Marion Island have been inspected for chicks presenting mouse wounds from 2015, and during these inspections we found several cases of plumage and bill abnormalities. We report on two cases of leucism and three cases of 'bent-beak syndrome' in Grey-headed Albatross chicks, and one case of 'bent-beak syndrome' in a Light-mantled Albatross Phoebetria palpebrata chick. The leucistic Grey-headed Albatross chicks were found in 2018 and 2019, and both apparently fledged successfully. Three Grey-headed Albatross chicks with deviated upper mandibles were recorded in 2015, 2018 and 2019, and a single Light-mantled Albatross chick with deviated upper mandible was recorded in a study colony in 2014. None of these chicks survived to fledge. These appear to be the first records of leucism for Grey-headed Albatross, and the first records of bill deformities in any albatross species. Although bill deformities may have been overlooked in the past among Grey-headed and Light-mantled Albatrosses at Marion Island, it is worrying that we have had four records in the last few years. Albatrosses have been intensively studied at many colonies for more than 50 years, and we would have expected previous records of the 'bent-beak syndrome' if it occurred naturally at low levels, suggesting a novel threat to these seabirds.</t>
  </si>
  <si>
    <t>[Risi, Michelle M.; Jones, Christopher W.; Schoombie, Stefan; Ryan, Peter G.] Univ Cape Town, FitzPatrick Inst African Ornithol, DST NRF Ctr Excellence, ZA-7701 Rondebosch, South Africa</t>
  </si>
  <si>
    <t>University of Cape Town; National Research Foundation - South Africa</t>
  </si>
  <si>
    <t>Risi, MM (corresponding author), Univ Cape Town, FitzPatrick Inst African Ornithol, DST NRF Ctr Excellence, ZA-7701 Rondebosch, South Africa.</t>
  </si>
  <si>
    <t>mish.risi22@gmail.com</t>
  </si>
  <si>
    <t>Jones, Christopher/0000-0002-4112-1912</t>
  </si>
  <si>
    <t>South African Department of Environmental Affairs, through the South African National Antarctic Programme (SANAP), the National Research Foundation through the FitzPatrick Institute of African Ornithology, University of Cape Town</t>
  </si>
  <si>
    <t>We thank the numerous field assistants who conducted monitoring over the years, recently in particular to Christiaan Brink, Delia Davies, Ben Dilley, Alexis Osborne, Vonica Perold, Janine Schoombie, Kim Stevens and Michelle Thompson. Logistical and financial support was provided by the South African Department of Environmental Affairs, through the South African National Antarctic Programme (SANAP), the National Research Foundation through the FitzPatrick Institute of African Ornithology, University of Cape Town. The Department of Environmental Affairs, South Africa, provided permission, to work on Marion Island.</t>
  </si>
  <si>
    <t>10.1007/s00300-019-02528-x</t>
  </si>
  <si>
    <t>WOS:000482050500017</t>
  </si>
  <si>
    <t>Lee, WY; Jung, JW; Chung, H; Kim, JH</t>
  </si>
  <si>
    <t>Lee, Won Young; Jung, Jin-Woo; Chung, Hosung; Kim, Jeong-Hoon</t>
  </si>
  <si>
    <t>Weddell seal feeds on Adelie Penguins in the Ross Sea, Antarctica</t>
  </si>
  <si>
    <t>Weddell seal; Adelie penguin; Foraging behavior; Predation</t>
  </si>
  <si>
    <t>LEPTONYCHOTES-WEDDELLII; DIET; PREDATION; ISLAND</t>
  </si>
  <si>
    <t>In the Antarctic ecosystem, leopard seals are known to be a main predator of penguins, while Weddell seals typically feed on fish and small crustaceans. In this study, we describe the observation of a Weddell seal that hunted juvenile Adelie Penguins on Inexpressible Island in the Ross Sea, Antarctica. The Weddell seal remained in the water near the edge of the sea ice and attacked young individuals. The penguins were in the late phase of molting and appeared to just venture into the water, which indicates that the individuals were unfamiliar with the water and had lower swimming ability than adults. To the best of our knowledge, this is the first video recording of Weddell seal predation on penguins and the first record on Adelie Penguins being attacked by the Weddell seals. Here, we discuss the possibility that Weddell seals could be an opportunistic predator of juvenile penguins when they are highly vulnerable.</t>
  </si>
  <si>
    <t>[Lee, Won Young; Jung, Jin-Woo; Chung, Hosung; Kim, Jeong-Hoon] Korea Polar Res Inst, Div Polar Life Sci, Incheon, South Korea</t>
  </si>
  <si>
    <t>Lee, WY; Kim, JH (corresponding author), Korea Polar Res Inst, Div Polar Life Sci, Incheon, South Korea.</t>
  </si>
  <si>
    <t>wonyounglee@kopri.re.kr; jhkim94@kopri.re.kr</t>
  </si>
  <si>
    <t>'Ecosystem Structure and Function of Marine Protected Area (MPA) in Antarctica' project - Ministry of Oceans and Fisheries, Korea [PM18060, 20170336]</t>
  </si>
  <si>
    <t>'Ecosystem Structure and Function of Marine Protected Area (MPA) in Antarctica' project - Ministry of Oceans and Fisheries, Korea</t>
  </si>
  <si>
    <t>We specially thank to Wanho Im for sharing his video recordings on the Weddell seals and thank to Dr. V. Benno Meyer-Rochow for English correction. This research was supported by the ` Ecosystem Structure and Function of Marine Protected Area (MPA) in Antarctica' project (PM18060), funded by the Ministry of Oceans and Fisheries (20170336), Korea. We thank logistic help from overwintering members at Jang Bogo Station during the field seasons. This study was conducted under permission from Korean Ministry of Foreign Affairs and Trade, according to the current laws of Republic of Korea (Act on Antarctic Activities and Protection of Antarctic Environment).</t>
  </si>
  <si>
    <t>10.1007/s00300-019-02539-8</t>
  </si>
  <si>
    <t>WOS:000482050500018</t>
  </si>
  <si>
    <t>Robbins, JR; Poncet, D; Evans, AR; Hocking, DP</t>
  </si>
  <si>
    <t>Robbins, James R.; Poncet, Dion; Evans, Alistair R.; Hocking, David P.</t>
  </si>
  <si>
    <t>A rare observation of group prey processing in wild leopard seals (Hydrurga leptonyx)</t>
  </si>
  <si>
    <t>Cooperation; Foraging behaviour; Leopard seal; Predation; Kleptoparasitism; Social behaviour</t>
  </si>
  <si>
    <t>PREDATION; BEHAVIOR</t>
  </si>
  <si>
    <t>Cooperative feeding is often observed among predators with strong social bonds; however, it is unexpected in solitary predators. During 2016, several mass predation events were witnessed in St Andrews Bay and Right Whale Bay, South Georgia, where up to 36 leopard seals (Hydrurga leptonyx) were seen feeding together at king penguin (Aptenodytes patagonicus) colonies. Three post-mortem prey-processing events were observed where two leopard seals actively fed on the same carcass in an unusual display of tolerance for a species where anti-social behaviour is the norm. The seals were observed repeatedly tearing adult king penguins between themselves, while floating alongside each other at the surface of the water. This is the first record of co-feeding in this difficult-to-study species; however, it is expected that the behaviour is rare within the population. We propose that the high density of predators combined with the readily available prey, makes it costlier to defend a kill than it is to tolerate kleptoparasitism. It is unclear whether this behaviour shows cooperative feeding, which would likely enable more efficient prey processing: by holding the prey in their jaws, each seal provides an anchor on the prey that others can pull against to stretch and tear it.</t>
  </si>
  <si>
    <t>[Robbins, James R.] Plymouth Univ, Sch Biol &amp; Marine Sci, Plymouth, Devon, England; [Robbins, James R.] British Antarctic Survey, Cambridge, England; [Evans, Alistair R.; Hocking, David P.] Monash Univ, Sch Biol Sci, Melbourne, Vic, Australia; [Evans, Alistair R.; Hocking, David P.] Museums Victoria, Geosci, Melbourne, Vic, Australia; [Poncet, Dion] Shallow Marine Surveys Grp, Stanley, Falkland Island</t>
  </si>
  <si>
    <t>University of Plymouth; UK Research &amp; Innovation (UKRI); Natural Environment Research Council (NERC); NERC British Antarctic Survey; Monash University; Melbourne Genomics Health Alliance; Melbourne Genomics Health Alliance</t>
  </si>
  <si>
    <t>Robbins, JR (corresponding author), Plymouth Univ, Sch Biol &amp; Marine Sci, Plymouth, Devon, England.;Robbins, JR (corresponding author), British Antarctic Survey, Cambridge, England.</t>
  </si>
  <si>
    <t>jamesrichardrobbins@googlemail.com</t>
  </si>
  <si>
    <t>Robbins, James/ABA-4124-2020; Hocking, David Philip/A-2666-2017; Evans, Alistair/D-4239-2011</t>
  </si>
  <si>
    <t>Hocking, David Philip/0000-0001-6848-1208; Evans, Alistair/0000-0002-4078-4693; Robbins, James/0000-0003-2633-719X</t>
  </si>
  <si>
    <t>10.1007/s00300-019-02542-z</t>
  </si>
  <si>
    <t>WOS:000482050500019</t>
  </si>
  <si>
    <t>Kashiwase, H; Ohshima, KI; Fukamachi, Y; Nihashi, S; Tamura, T</t>
  </si>
  <si>
    <t>Kashiwase, Haruhiko; Ohshima, Kay, I; Fukamachi, Yasushi; Nihashi, Sohey; Tamura, Takeshi</t>
  </si>
  <si>
    <t>Evaluation of AMSR-E Thin Ice Thickness Algorithm from a Mooring-Based Observation: How Can the Satellite Observe a Sea Ice Field with Nonuniform Thickness Distribution?</t>
  </si>
  <si>
    <t>JOURNAL OF ATMOSPHERIC AND OCEANIC TECHNOLOGY</t>
  </si>
  <si>
    <t>Sea ice; Ice thickness; Algorithms; In situ oceanic observations; Microwave observations; Satellite observations</t>
  </si>
  <si>
    <t>PASSIVE MICROWAVE OBSERVATIONS; UNDERSIDE TOPOGRAPHY; BEAUFORT SEA; WEDDELL SEA; SSM/I DATA; OKHOTSK; POLYNYA; IMAGERY; WATER; VARIABILITY</t>
  </si>
  <si>
    <t>The quantification of sea ice production in coastal polynyas is a key issue to understand the global climate system. In this study, we directly compared Advanced Microwave Scanning Radiometer-EOS (AMSR-E) data with the sea ice thickness distribution obtained from a mooring observation during the winter of 2003 off Sakhalin in the Sea of Okhotsk to evaluate the algorithm for estimation of sea ice thickness in coastal polynyas. By using thermal ice thickness as a target physical quantity, we found that the obtained relationship between the polarization ratio (PR) and ice thickness can provide an appropriate AMSR-E algorithm to estimate thin ice thickness, irrespective of the uniform or nonuniform ice thickness field. The relationship between the PR value and thermal ice thickness is likewise consistent with the local PR-thickness relationship that is observed at individual ice floes. This is because both the PR value and thermal ice thickness are more sensitive to thinner ice. Furthermore, we evaluated the method for detection of active frazil in a coastal polynya by comparing with the mooring data, and subsequently modified it to classify the coastal polynya into three thin ice types, namely, active frazil, thin solid ice, and mixed ice (mixture of active frazil and thin solid ice). The improved algorithm successfully represents the thermal ice thickness even for a relatively small-scale polynya off Sakhalin and is expected to be useful for better quantification of sea ice production in the global ocean owing to its high versatility.</t>
  </si>
  <si>
    <t>[Kashiwase, Haruhiko] Natl Inst Polar Res, Tachikawa, Tokyo, Japan; [Ohshima, Kay, I; Fukamachi, Yasushi] Hokkaido Univ, Inst Low Temp Sci, Sapporo, Hokkaido, Japan; [Ohshima, Kay, I; Fukamachi, Yasushi] Hokkaido Univ, Arctic Res Ctr, Sapporo, Hokkaido, Japan; [Fukamachi, Yasushi] Hokkaido Univ, Global Stn Arctic Res, Sapporo, Hokkaido, Japan; [Nihashi, Sohey] Tomakomai Coll, Natl Inst Technol, Tomakomai, Japan; [Tamura, Takeshi] Natl Inst Polar Res, Tachikawa, Tokyo, Japan; [Tamura, Takeshi] Grad Univ Adv Studies, SOKENDAI, Tachikawa, Tokyo, Japan; [Tamura, Takeshi] Univ Tasmania, Antarctic Climate &amp; Ecosyst Cooperat Res Ctr, Hobart, Tas, Australia</t>
  </si>
  <si>
    <t>Research Organization of Information &amp; Systems (ROIS); National Institute of Polar Research (NIPR) - Japan; Hokkaido University; Hokkaido University; Hokkaido University; Research Organization of Information &amp; Systems (ROIS); National Institute of Polar Research (NIPR) - Japan; Graduate University for Advanced Studies - Japan; University of Tasmania; Antarctic Climate &amp; Ecosystems Cooperative Research Centre (ACE CRC)</t>
  </si>
  <si>
    <t>Kashiwase, H (corresponding author), Natl Inst Polar Res, Tachikawa, Tokyo, Japan.</t>
  </si>
  <si>
    <t>kashiwase.haruhiko@nipr.ac.jp</t>
  </si>
  <si>
    <t>Ohshima, Kay I/D-6909-2012</t>
  </si>
  <si>
    <t>research fund for Global Change Observation Mission Water 1(GCOM-W1) of the Japan Aerospace Exploration Agency (JAXA) [PI RA1W403, ER2GWF404]; Ministry of Education, Culture, Sports, Science and Technology in Japan; [15403008]; [17540405]; [25241001]; [17H01157]; [17H06317]</t>
  </si>
  <si>
    <t>research fund for Global Change Observation Mission Water 1(GCOM-W1) of the Japan Aerospace Exploration Agency (JAXA); Ministry of Education, Culture, Sports, Science and Technology in Japan(Ministry of Education, Culture, Sports, Science and Technology, Japan (MEXT)); ; ; ; ;</t>
  </si>
  <si>
    <t>The AMSR-E data were provided by the National Snow and Ice Data Center (NSIDC), University of Colorado. This work was supported by Grants-in-Aids for Scientific Research (15403008, 17540405, 25241001, 17H01157, and 17H06317), and Arctic Research for Sustainability (ArCS) Project, from the Ministry of Education, Culture, Sports, Science and Technology in Japan. This work was also supported by a research fund for Global Change Observation Mission Water 1(GCOM-W1) of the Japan Aerospace Exploration Agency (JAXA) (PI RA1W403 and ER2GWF404).</t>
  </si>
  <si>
    <t>0739-0572</t>
  </si>
  <si>
    <t>1520-0426</t>
  </si>
  <si>
    <t>J ATMOS OCEAN TECH</t>
  </si>
  <si>
    <t>J. Atmos. Ocean. Technol.</t>
  </si>
  <si>
    <t>10.1175/JTECH-D-18-0218.1</t>
  </si>
  <si>
    <t>Engineering, Ocean; Meteorology &amp; Atmospheric Sciences</t>
  </si>
  <si>
    <t>Engineering; Meteorology &amp; Atmospheric Sciences</t>
  </si>
  <si>
    <t>IS3DZ</t>
  </si>
  <si>
    <t>WOS:000482034900001</t>
  </si>
  <si>
    <t>Teets, NM; Kawarasaki, Y; Potts, LJ; Philip, BN; Gantz, JD; Denlinger, DL; Lee, RE</t>
  </si>
  <si>
    <t>Teets, Nicholas M.; Kawarasaki, Yuta; Potts, Leslie J.; Philip, Benjamin N.; Gantz, J. D.; Denlinger, David L.; Lee, Richard E., Jr.</t>
  </si>
  <si>
    <t>Rapid cold hardening protects against sublethal freezing injury in an Antarctic insect</t>
  </si>
  <si>
    <t>JOURNAL OF EXPERIMENTAL BIOLOGY</t>
  </si>
  <si>
    <t>Acclimation; Antarctica; Freeze tolerance; Heat shock proteins; Phenotypic plasticity; Stress</t>
  </si>
  <si>
    <t>MIDGE BELGICA-ANTARCTICA; HEAT-SHOCK PROTEINS; CHILL-COMA RECOVERY; CRYOPROTECTIVE DEHYDRATION; DROSOPHILA-MELANOGASTER; MOLECULAR CHAPERONES; ION HOMEOSTASIS; GENE-EXPRESSION; TOLERANCE; DIPTERA</t>
  </si>
  <si>
    <t>Rapid cold hardening (RCH) is a type of beneficial phenotypic plasticity that occurs on extremely short time scales (minutes to hours) to enhance insects' ability to cope with cold snaps and diurnal temperature fluctuations. RCH has a well-established role in extending lower lethal limits, but its ability to prevent sublethal cold injury has received less attention. The Antarctic midge, Belgica antarctica, is Antarctica's only endemic insect and has a well-studied RCH response that extends freeze tolerance in laboratory conditions. However, the discriminating temperatures used in previous studies of RCH are far below those ever experienced in the field. Here, we tested the hypothesis that RCH protects against non-lethal freezing injury. Larvae of B. antarctica were exposed to control (2 degrees C), direct freezing (-9 degrees C for 24 h) or RCH (-5 degrees C for 2 h followed by -9 degrees C for 24 h). All larvae survived both freezing treatments, but RCH larvae recovered more quickly from freezing stress and had a significantly higher metabolic rate during recovery. RCH larvae also sustained less damage to fat body and midgut tissue and had lower expression of two heat shock protein transcripts (hsp60 and hsp90), which is consistent with RCH protecting against protein denaturation. The protection afforded by RCH resulted in energy savings; directly frozen larvae experienced a significant depletion in glycogen energy stores that was not observed in RCH larvae. Together, these results provide strong evidence that RCH protects against a variety of sublethal freezing injuries and allows insects to rapidly fine-tune their performance in thermally variable environments.</t>
  </si>
  <si>
    <t>[Teets, Nicholas M.; Potts, Leslie J.; Lee, Richard E., Jr.] Univ Kentucky, Dept Entomol, Lexington, KY 40546 USA; [Kawarasaki, Yuta] Gustavus Adolphus Coll, Dept Biol, St Peter, MN 56082 USA; [Philip, Benjamin N.; Gantz, J. D.; Lee, Richard E., Jr.] Miami Univ, Dept Biol, Oxford, OH 45056 USA; [Denlinger, David L.] Ohio State Univ, Dept Entomol, 1735 Neil Ave, Columbus, OH 43210 USA; [Gantz, J. D.] Hendrix Coll, Dept Biol, Conway, AR 72032 USA</t>
  </si>
  <si>
    <t>University of Kentucky; Gustavus Adolphus College; University System of Ohio; Miami University; University System of Ohio; Ohio State University</t>
  </si>
  <si>
    <t>Teets, NM (corresponding author), Univ Kentucky, Dept Entomol, Lexington, KY 40546 USA.</t>
  </si>
  <si>
    <t>n.teets@uky.edu</t>
  </si>
  <si>
    <t>Philip, Ben/JYQ-5173-2024; Kawarasaki, Yuta/AAD-4032-2019; Teets, Nicholas/IQT-5328-2023; Teets, Nicholas/H-7386-2013</t>
  </si>
  <si>
    <t>Teets, Nicholas/0000-0003-0963-7457</t>
  </si>
  <si>
    <t>United States Department of Agriculture National Institute of Food and Agriculture [1010996]; National Science Foundation [OIA-1826689, OPP-1341393, OPP-1341385]</t>
  </si>
  <si>
    <t>United States Department of Agriculture National Institute of Food and Agriculture(United States Department of Agriculture (USDA)); National Science Foundation(National Science Foundation (NSF))</t>
  </si>
  <si>
    <t>This work was supported by United States Department of Agriculture National Institute of Food and Agriculture Hatch Project grant 1010996 and National Science Foundation grant OIA-1826689 to N.M.T., National Science Foundation grant OPP-1341393 to D.L.D., and National Science Foundation grant OPP-1341385 to R.E.L.</t>
  </si>
  <si>
    <t>COMPANY BIOLOGISTS LTD</t>
  </si>
  <si>
    <t>BIDDER BUILDING, STATION RD, HISTON, CAMBRIDGE CB24 9LF, ENGLAND</t>
  </si>
  <si>
    <t>0022-0949</t>
  </si>
  <si>
    <t>1477-9145</t>
  </si>
  <si>
    <t>J EXP BIOL</t>
  </si>
  <si>
    <t>J. Exp. Biol.</t>
  </si>
  <si>
    <t>jeb206011</t>
  </si>
  <si>
    <t>10.1242/jeb.206011</t>
  </si>
  <si>
    <t>IR7KJ</t>
  </si>
  <si>
    <t>WOS:000481619200014</t>
  </si>
  <si>
    <t>Pacheco, N; Orellana-Saez, M; Pepczynska, M; Enrione, J; Bassas-Galia, M; Borrero-de Acuña, JM; Zacconi, FC; Marcoleta, AE; Poblete-Castro, I</t>
  </si>
  <si>
    <t>Pacheco, Nicolas; Orellana-Saez, Matias; Pepczynska, Marzena; Enrione, Javier; Bassas-Galia, Monica; Borrero-de Acuna, Jose M.; Zacconi, Flavia C.; Marcoleta, Andres E.; Poblete-Castro, Ignacio</t>
  </si>
  <si>
    <t>Exploiting the natural poly(3-hydroxyalkanoates) production capacity of Antarctic Pseudomonas strains: from unique phenotypes to novel biopolymers</t>
  </si>
  <si>
    <t>JOURNAL OF INDUSTRIAL MICROBIOLOGY &amp; BIOTECHNOLOGY</t>
  </si>
  <si>
    <t>Antarctic Pseudomonas; Poly(3-hydroxyalkanoates); Low temperature; Glycerol; Exopolysaccharide; Psychrophiles</t>
  </si>
  <si>
    <t>PUTIDA; TEMPERATURE; POLYHYDROXYALKANOATE; GROWTH; POLYHYDROXYBUTYRATE; ADAPTATION; BIOSYNTHESIS; MAINTENANCE; DIVERSITY; SURVIVAL</t>
  </si>
  <si>
    <t>Extreme environments are a unique source of microorganisms encoding metabolic capacities that remain largely unexplored. In this work, we isolated two Antarctic bacterial strains able to produce poly(3-hydroxyalkanoates) (PHAs), which were classified after 16S rRNA analysis as Pseudomonas sp. MPC5 and MPC6. The MPC6 strain presented nearly the same specific growth rate whether subjected to a temperature of 4 degrees C 0.18 (1/h) or 30 degrees C 0.2 (1/h) on glycerol. Both Pseudomonas strains produced high levels of PHAs and exopolysaccharides from glycerol at 4 degrees C and 30 degrees C in batch cultures, an attribute that has not been previously described for bacteria of this genus. The MPC5 strain produced the distinctive medium-chain-length-PHA whereas Pseudomonas sp. MPC6 synthesized a novel polyoxoester composed of poly(3-hydroxybutyrate-co-3-hydroxyhexanoate-co-3-hydroxyoctanoate-co-3-hydroxydecanoate-co-3-hydroxydodecanoate). Batch bioreactor production of PHAs in MPC6 resulted in a titer of 2.6 (g/L) and 1.3 (g/L), accumulating 47.3% and 34.5% of the cell dry mass as PHA, at 30 and 4 degrees C, respectively. This study paves the way for using Antarctic Pseudomonas strains for biosynthesizing novel PHAs from low-cost substrates such as glycerol and the possibility to carry out the bioconversion process for biopolymer synthesis without the need for temperature control.</t>
  </si>
  <si>
    <t>[Pacheco, Nicolas; Orellana-Saez, Matias; Poblete-Castro, Ignacio] Univ Andres Bello, Biosyst Engn Lab, CBIB, Fac Ciencias Vida, Santiago 330, Chile; [Pepczynska, Marzena; Enrione, Javier] Univ los Andes, Biopolymer Res &amp; Engn Lab BiopREL, Escuela Nutr &amp; Dietet, Santiago, Chile; [Bassas-Galia, Monica] Univ Appl Sci &amp; Arts Western Switzerland HES SO V, Inst Life Technol, Route Rawyl 47, CH-1950 Sion, Switzerland; [Borrero-de Acuna, Jose M.] Tech Univ Carolo Wilhelmina Braunschweig, Inst Microbiol, Braunschweig, Germany; [Zacconi, Flavia C.] Pontificia Univ Catolica Chile, Fac Quim &amp; Farm, Santiago, Chile; [Zacconi, Flavia C.] Pontificia Univ Catolica Chile, Sch Engn, Inst Biol &amp; Med Engn, Santiago, Chile; [Marcoleta, Andres E.] Univ Chile, Fac Ciencias, Dept Biol, Santiago, Chile</t>
  </si>
  <si>
    <t>Universidad Andres Bello; Universidad de los Andes - Chile; Braunschweig University of Technology; Pontificia Universidad Catolica de Chile; Pontificia Universidad Catolica de Chile; Universidad de Chile</t>
  </si>
  <si>
    <t>Poblete-Castro, I (corresponding author), Univ Andres Bello, Biosyst Engn Lab, CBIB, Fac Ciencias Vida, Santiago 330, Chile.</t>
  </si>
  <si>
    <t>ignacio.poblete@unab.cl</t>
  </si>
  <si>
    <t>Poblete-Castro, Ignacio/J-2755-2019; Caldera, Andrés Marcoleta/AFN-3162-2022; Borrero-de Acuña, José Manuel/AAT-7277-2020</t>
  </si>
  <si>
    <t>Borrero-de Acuña, José Manuel/0000-0002-6409-8110; Poblete-Castro, Ignacio/0000-0001-6649-0389; Zacconi, Flavia/0000-0002-3676-0453; Marcoleta Caldera, Andres Esteban/0000-0003-2950-7510; Pepczynska, Marzena/0000-0002-4655-9585</t>
  </si>
  <si>
    <t>CONICYT (Fondecyt Inicio Grant) [11150174]; Chilean Antarctic Institute (INACH) [RT_51-16]</t>
  </si>
  <si>
    <t>CONICYT (Fondecyt Inicio Grant); Chilean Antarctic Institute (INACH)</t>
  </si>
  <si>
    <t>This study was funded by CONICYT (Fondecyt Inicio Grant number 11150174) to I.P-C, and from the Chilean Antarctic Institute (INACH) through the Grant (RT_51-16) to A.E.M.</t>
  </si>
  <si>
    <t>1367-5435</t>
  </si>
  <si>
    <t>1476-5535</t>
  </si>
  <si>
    <t>J IND MICROBIOL BIOT</t>
  </si>
  <si>
    <t>J. Ind. Microbiol. Biotechnol.</t>
  </si>
  <si>
    <t>10.1007/s10295-019-02186-2</t>
  </si>
  <si>
    <t>IR9WF</t>
  </si>
  <si>
    <t>WOS:000481796500009</t>
  </si>
  <si>
    <t>Lowry, DP; Golledge, NR; Bertler, NAN; Jones, RS; McKay, R</t>
  </si>
  <si>
    <t>Lowry, Daniel P.; Golledge, Nicholas R.; Bertler, Nancy A. N.; Jones, R. Selwyn; McKay, Robert</t>
  </si>
  <si>
    <t>Deglacial grounding-line retreat in the Ross Embayment, Antarctica, controlled by ocean and atmosphere forcing</t>
  </si>
  <si>
    <t>ICE-SHEET; HOLOCENE DEGLACIATION; SOUTHERN-OCEAN; SEA; TEMPERATURE; CLIMATE; SURFACE; MODEL; SIMULATION; CHRONOLOGY</t>
  </si>
  <si>
    <t>Modern observations appear to link warming oceanic conditions with Antarctic ice sheet grounding-line retreat. Yet, interpretations of past ice sheet retreat over the last deglaciation in the Ross Embayment, Antarctica's largest catchment, differ considerably and imply either extremely high or very low sensitivity to environmental forcing. To investigate this, we perform regional ice sheet simulations using a wide range of atmosphere and ocean forcings. Constrained by marine and terrestrial geological data, these models predict earliest retreat in the central embayment and rapid terrestrial ice sheet thinning during the Early Holocene. We find that atmospheric conditions early in the deglacial period can enhance or diminish ice sheet sensitivity to rising ocean temperatures, thereby controlling the initial timing and spatial pattern of grounding-line retreat. Through the Holocene, however, grounding-line position is much more sensitive to subshelf melt rates, implicating ocean thermal forcing as the key driver of past ice sheet retreat.</t>
  </si>
  <si>
    <t>[Lowry, Daniel P.; Golledge, Nicholas R.; Bertler, Nancy A. N.; McKay, Robert] Victoria Univ Wellington, Antarctic Res Ctr, Wellington 6012, New Zealand; [Golledge, Nicholas R.; Bertler, Nancy A. N.] GNS Sci, Lower Hutt 5010, New Zealand; [Jones, R. Selwyn] Univ Durham, Dept Geog, Durham DH1 3LE, England</t>
  </si>
  <si>
    <t>Victoria University Wellington; GNS Science - New Zealand; Durham University</t>
  </si>
  <si>
    <t>Lowry, DP (corresponding author), Victoria Univ Wellington, Antarctic Res Ctr, Wellington 6012, New Zealand.</t>
  </si>
  <si>
    <t>dan.lowry@vuw.ac.nz</t>
  </si>
  <si>
    <t>Jones, Richard Selwyn/AAJ-3949-2021; Bertler, Nancy A N/F-3967-2011</t>
  </si>
  <si>
    <t>Jones, Richard Selwyn/0000-0003-2988-0999; Bertler, Nancy/0000-0001-6028-4891; McKay, Robert/0000-0002-5602-6985; Lowry, Daniel/0000-0002-9668-0850; Golledge, Nicholas/0000-0001-7676-8970</t>
  </si>
  <si>
    <t>Royal Society Te Aparangi Marsden Fund through Victoria University of Wellington [15-VUW-131]; New Zealand Ministry of Business, Innovation, and Employment Grant through GNS Science [540GCT32]; New Zealand Antarctic Research Institute [NZARI2014-11]; NASA [NNX17AG65G]; NSF [PLR-1603799, PLR-1644277]; Antarctica New Zealand Doctoral Scholarship program; Royal Society Te Aparangi [VUW1501]; Durham University [609412]; European Union [609412]; Royal Society Te Aparangi Rutherford Discovery Fellowship [RDF-13-VUW-003, RDF-VUW-1103]</t>
  </si>
  <si>
    <t>Royal Society Te Aparangi Marsden Fund through Victoria University of Wellington(Royal Society of New Zealand); New Zealand Ministry of Business, Innovation, and Employment Grant through GNS Science(New Zealand Ministry of Business, Innovation and Employment (MBIE)); New Zealand Antarctic Research Institute; NASA(National Aeronautics &amp; Space Administration (NASA)); NSF(National Science Foundation (NSF)); Antarctica New Zealand Doctoral Scholarship program; Royal Society Te Aparangi(Royal Society of New Zealand); Durham University; European Union(European Union (EU)); Royal Society Te Aparangi Rutherford Discovery Fellowship(Royal Society of New Zealand)</t>
  </si>
  <si>
    <t>Funding for this project was provided by the Royal Society Te Aparangi Marsden Fund through Victoria University of Wellington (15-VUW-131); the New Zealand Ministry of Business, Innovation, and Employment Grant through GNS Science (540GCT32); and the New Zealand Antarctic Research Institute (NZARI2014-11). The development of PISM was supported by NASA grant NNX17AG65G and NSF grants PLR-1603799 and PLR-1644277. D.P.L. acknowledges support from the Antarctica New Zealand Doctoral Scholarship program. N.R.G. acknowledges support from the Royal Society Te Aparangi under contract VUW1501. R.S.J. was supported by a Junior Research Fellowship COFUNDed between Durham University and the European Union under grant agreement number 609412. R.M. acknowledges support from the Royal Society Te Aparangi Rutherford Discovery Fellowship (RDF-13-VUW-003). N.A.N.B. acknowledges support from the Royal Society Te Aparangi Rutherford Discovery Fellowship (RDF-VUW-1103).</t>
  </si>
  <si>
    <t>eaav8754</t>
  </si>
  <si>
    <t>10.1126/sciadv.aav8754</t>
  </si>
  <si>
    <t>IR9WX</t>
  </si>
  <si>
    <t>WOS:000481798400011</t>
  </si>
  <si>
    <t>Treasure, AM; Ruzicka, JJ; Pakhomov, EA; Ansorge, IJ</t>
  </si>
  <si>
    <t>Treasure, Anne M.; Ruzicka, James J.; Pakhomov, Evgeny A.; Ansorge, Isabelle J.</t>
  </si>
  <si>
    <t>Physical Transport Mechanisms Driving Sub-Antarctic Island Marine Ecosystems</t>
  </si>
  <si>
    <t>ECOSYSTEMS</t>
  </si>
  <si>
    <t>Prince Edward Islands; sub-Antarctic; end-to-end modelling; ECOTRAN; advection</t>
  </si>
  <si>
    <t>PRINCE-EDWARD-ISLANDS; END-TO-END; GLOBAL OCEAN CIRCULATION; SOUTHERN-OCEAN; CLIMATE-CHANGE; FOOD-WEB; VARIABILITY; ENVIRONMENT; PENINSULA; PRODUCTIVITY</t>
  </si>
  <si>
    <t>The Southern Ocean is undergoing rapid environmental change, which has impacted its ecosystems and food webs. There is need for ecosystem models that incorporate all levels of the biotic system and consider physical context. Using an end-to-end ecosystem model of the Prince Edward Islands (PEIs), we investigated the importance of the input of oceanic nutrients, oceanic plankton, and run-off of terrestrial ammonium to nearshore production. We compared ecosystem state as group production rates and as the relative scale of pelagic versus demersal food web pathways under alternate ocean current regimes, assumptions of macrozooplankton advection into shelf waters, and assumptions of plankton retention within the nearshore region. The major outcomes are: (1) oceanic plankton, more than oceanic nutrients or terrestrial nutrients, is the major driver of production for all groups within the nearshore ecosystem. Island run-off of ammonium is a minor driver of production but is most important among groups with higher reliance upon detrital food chains (benthic invertebrates, demersal fishes, Gentoo penguins); (2) groups most sensitive to changes in ocean current regime and assumptions of macrozooplankton advection into shelf waters are planktivores (southern rockhopper penguins, Macaroni penguins) and piscivores whose diets rely heavily upon planktivorous fishes; (3) zooplankton populations cannot support estimated levels of predation pressure within the nearshore ecosystem if they behave as purely passive drifters. Our findings suggest changes to physical processes, such as a postulated southward shift in the position of the sub-Antarctic front leading to intensification of currents approaching the islands, has already had and will continue to have significant impacts on the PEIs ecosystem.</t>
  </si>
  <si>
    <t>[Treasure, Anne M.; Ansorge, Isabelle J.] Univ Cape Town, Dept Oceanog, Private Bag X3, ZA-7701 Cape Town, South Africa; [Treasure, Anne M.; Ansorge, Isabelle J.] Univ Cape Town, Marine Res Inst Ma Re, Private Bag X3, ZA-7701 Cape Town, South Africa; [Ruzicka, James J.] Oregon State Univ, Cooperat Inst Marine Resources Studies, Newport, OR USA; [Pakhomov, Evgeny A.] Univ British Columbia, Dept Earth Ocean &amp; Atmospher Sci, Vancouver, BC, Canada; [Pakhomov, Evgeny A.] Univ British Columbia, Inst Oceans &amp; Fisheries, Vancouver, BC, Canada; [Pakhomov, Evgeny A.] Hakai Inst, Heriot Bay, BC, Canada; [Treasure, Anne M.] Univ Pretoria, Dept Zool &amp; Entomol, Mammal Res Inst, Hatfield, South Africa</t>
  </si>
  <si>
    <t>University of Cape Town; University of Cape Town; Oregon State University; University of British Columbia; University of British Columbia; Hakai Institute; University of Pretoria</t>
  </si>
  <si>
    <t>Treasure, AM (corresponding author), Univ Cape Town, Dept Oceanog, Private Bag X3, ZA-7701 Cape Town, South Africa.;Treasure, AM (corresponding author), Univ Cape Town, Marine Res Inst Ma Re, Private Bag X3, ZA-7701 Cape Town, South Africa.;Treasure, AM (corresponding author), Univ Pretoria, Dept Zool &amp; Entomol, Mammal Res Inst, Hatfield, South Africa.</t>
  </si>
  <si>
    <t>anne.m.treasure@gmail.com</t>
  </si>
  <si>
    <t>ANSORGE, ISABELLE/AAY-7396-2020</t>
  </si>
  <si>
    <t>Treasure, Anne/0000-0002-8345-4811; Ansorge, Isabelle/0000-0001-7071-8147</t>
  </si>
  <si>
    <t>South African National Research Foundation (NRF); US National Science Foundation [1258667]; Division Of Ocean Sciences; Directorate For Geosciences [1258667] Funding Source: National Science Foundation</t>
  </si>
  <si>
    <t>South African National Research Foundation (NRF)(National Research Foundation - South Africa); US National Science Foundation(National Science Foundation (NSF)); Division Of Ocean Sciences; Directorate For Geosciences(National Science Foundation (NSF)NSF - Directorate for Geosciences (GEO))</t>
  </si>
  <si>
    <t>AMT was supported by the South African National Research Foundation (NRF). JJR was supported by US National Science Foundation Project 1258667.</t>
  </si>
  <si>
    <t>1432-9840</t>
  </si>
  <si>
    <t>1435-0629</t>
  </si>
  <si>
    <t>Ecosystems</t>
  </si>
  <si>
    <t>10.1007/s10021-018-0326-1</t>
  </si>
  <si>
    <t>IQ1YS</t>
  </si>
  <si>
    <t>WOS:000480546800010</t>
  </si>
  <si>
    <t>Wei, T; Yan, Q; Ding, MH</t>
  </si>
  <si>
    <t>Wei, Ting; Yan, Qing; Ding, Minghu</t>
  </si>
  <si>
    <t>Distribution and temporal trends of temperature extremes over Antarctica</t>
  </si>
  <si>
    <t>ENVIRONMENTAL RESEARCH LETTERS</t>
  </si>
  <si>
    <t>temperature extremes; Antarctica; spatial distribution; temporal trend</t>
  </si>
  <si>
    <t>HEMISPHERE ANNULAR MODE; SOUTHERN-HEMISPHERE; SURFACE TEMPERATURES; EAST ANTARCTICA; ICE; PENINSULA; OSCILLATION; VARIABILITY</t>
  </si>
  <si>
    <t>The spatiotemporal characteristics of temperature extremes over Antarctica remain largely unknown. Here, we use quality-controlled daily datasets from Antarctic weather stations to show that the annual maximum and minimum temperatures exhibit a decreasing pattern over Antarctica from the coast to inland regions. This feature holds for the warmest daily maximum and coldest daily minimum temperatures, which define the intensity of extremes, but not for the number of warm (cold) days measuring the frequency of extremes, which show limited dependence on latitude or elevation. During 1970-2000, the temperature extremes in the South Orkney islands and on the margins of East Antarctica show opposite trends, especially with a significant increasing and decreasing trend in warm events, respectively. During 1999-2013, the intensity and frequency of extreme temperatures decrease significantly over West Antarctica, but the trends vary greatly across sub-regions of Antarctica. Despite the limited number of stations and the potential time dependence of trends, these results not only help to decipher the climate regimes of Antarctica and fill current gaps in the map of global climate extremes, but also may guide the future design of Antarctic observational networks and be used to assess the capability of reanalysis datasets and climate models.</t>
  </si>
  <si>
    <t>[Wei, Ting; Ding, Minghu] Chinese Acad Meteorol Sci, State Key Lab Severe Weather, Beijing, Peoples R China; [Yan, Qing] Chinese Acad Sci, Inst Atmospher Phys, Nansen Zhu Int Res Ctr, Beijing, Peoples R China; [Yan, Qing] Nanjing Univ Informat Sci &amp; Technol, Collaborat Innovat Ctr Forecast &amp; Evaluat Meteoro, Key Lab Meteorol Disaster, Nanjing, Jiangsu, Peoples R China; [Yan, Qing] Chinese Acad Sci, CAS Ctr Excellence Tibetan Plateau Earth Sci, Beijing, Peoples R China</t>
  </si>
  <si>
    <t>China Meteorological Administration; Chinese Academy of Meteorological Sciences (CAMS); Chinese Academy of Sciences; Institute of Atmospheric Physics, CAS; Nanjing University of Information Science &amp; Technology; Chinese Academy of Sciences</t>
  </si>
  <si>
    <t>Ding, MH (corresponding author), Chinese Acad Meteorol Sci, State Key Lab Severe Weather, Beijing, Peoples R China.;Yan, Q (corresponding author), Chinese Acad Sci, Inst Atmospher Phys, Nansen Zhu Int Res Ctr, Beijing, Peoples R China.;Yan, Q (corresponding author), Nanjing Univ Informat Sci &amp; Technol, Collaborat Innovat Ctr Forecast &amp; Evaluat Meteoro, Key Lab Meteorol Disaster, Nanjing, Jiangsu, Peoples R China.;Yan, Q (corresponding author), Chinese Acad Sci, CAS Ctr Excellence Tibetan Plateau Earth Sci, Beijing, Peoples R China.</t>
  </si>
  <si>
    <t>yanqing@mail.iap.ac.cn; dingminghu@foxmail.com</t>
  </si>
  <si>
    <t>Ding, Minghu/AFU-3600-2022; Yan, Qing/C-5413-2013</t>
  </si>
  <si>
    <t>Ding, Minghu/0000-0002-1142-6598; Yan, Qing/0000-0001-5299-7824</t>
  </si>
  <si>
    <t>National Key Research and Development Program of China [2018YFC1406103]; Strategic Priority Research Program of Chinese Academy of Sciences [XDA20100300]; Youth Innovation Promotion Association by Chinese Academy of Sciences [2019080]; Young Elite Scientists Sponsorship Program of CAST [2017QNRC001]</t>
  </si>
  <si>
    <t>National Key Research and Development Program of China; Strategic Priority Research Program of Chinese Academy of Sciences(Chinese Academy of Sciences); Youth Innovation Promotion Association by Chinese Academy of Sciences; Young Elite Scientists Sponsorship Program of CAST</t>
  </si>
  <si>
    <t>Many thanks to the two anonymous reviewers for their very constructive and useful comments in helping to improve our manuscript. This study was jointly funded by the National Key Research and Development Program of China (2018YFC1406103) and the Strategic Priority Research Program of Chinese Academy of Sciences (XDA20100300). Q Yan was supported by the Youth Innovation Promotion Association by Chinese Academy of Sciences (2019080) and the Young Elite Scientists Sponsorship Program of CAST(2017QNRC001).</t>
  </si>
  <si>
    <t>1748-9326</t>
  </si>
  <si>
    <t>ENVIRON RES LETT</t>
  </si>
  <si>
    <t>Environ. Res. Lett.</t>
  </si>
  <si>
    <t>10.1088/1748-9326/ab33c1</t>
  </si>
  <si>
    <t>IR6GH</t>
  </si>
  <si>
    <t>WOS:000481537200001</t>
  </si>
  <si>
    <t>Yang, ZX; Huang, KM; Wang, R; Zhang, SD</t>
  </si>
  <si>
    <t>Yang ZunXun; Huang KaiMing; Wang Rui; Zhang ShaoDong</t>
  </si>
  <si>
    <t>An observational study of inertia gravity waves in the lower stratosphere over the Arctic</t>
  </si>
  <si>
    <t>CHINESE JOURNAL OF GEOPHYSICS-CHINESE EDITION</t>
  </si>
  <si>
    <t>Chinese</t>
  </si>
  <si>
    <t>Inertial gravity waves (IGWs); Lower stratosphere; Hodograph technique; Radiosonde observation</t>
  </si>
  <si>
    <t>GLOBAL MORPHOLOGY</t>
  </si>
  <si>
    <t>Relative to many investigations of inertial gravity waves (IGWs) in the Antarctic, IGW activity in the Arctic region is less reported. We use radiosonde observations at the Ny-Alesund station (78. 9 degrees N, 11. 9 degrees E) during 5 years from 1 April 2012 to 31 March 2017 to study the IGW characteristics in the lower stratosphere over the Arctic. The observation reveals a prevailing eastward zonal background wind below 20 km, and then, with the increase of height, the monthly averaged zonal wind exhibits a semiannual oscillation. The tropopause is in a height range of 5 similar to 13 km, and its monthly averaged height shows an annual cycle with the maximum at about 10 km in summer and the minimum at about 8. 5 km in winter. An obvious annual cycle can be seen in the background temperature from the troposphere to the lower stratosphere, which is different from the results at middle and low latitudes. By combining Lomb-Scargle spectrum and hodograph technique, the parameters of IGWs are estimated. The case analysis demonstrates that the lower stratospheric IGWs exhibit a feature of freely propagating waves. The statistical study indicates that the IGWs have the dominant horizontal and vertical wavelengths of 50 similar to 450 km and 1 similar to 4 km, respectively, and the dominant intrinsic frequency being 1 similar to 2. 5 times the inertia frequency. These values are slightly smaller than those observed at middle and low latitudes. The intrinsic phase speed is mainly in the range of -0. 3 similar to m . s(-1) in the vertical direction, and in the range of -40 similar to 40 m . s(-1) in both the zonal and meridional directions. About 91.5% of the IGWs propagate upward, while in winter and early spring, the downward propagating waves increase to about 20% due to the activity of polar stratospheric vortex. Because of the filtering of the prevailing eastward zonal wind in the lower atmosphere, the IGWs in the lower stratosphere display a dominant direction of westward propagation. Wave energy is the maximum in winter and the minimum in summer, which is consistent with the results at middle and low latitudes in the northern hemisphere. This indicates that the IGW activity over the northern hemisphere is generally the strongest in winter and the weakest in summer.</t>
  </si>
  <si>
    <t>[Yang ZunXun; Huang KaiMing; Zhang ShaoDong] Wuhan Univ, Sch Elect Informat, Wuhan 430072, Hubei, Peoples R China; [Wang Rui] Polar Res Inst China, Shanghai 200136, Peoples R China</t>
  </si>
  <si>
    <t>Wuhan University; Polar Research Institute of China</t>
  </si>
  <si>
    <t>Huang, KM (corresponding author), Wuhan Univ, Sch Elect Informat, Wuhan 430072, Hubei, Peoples R China.</t>
  </si>
  <si>
    <t>yangzunxun@qq.com; hkm@whu.edu.cn</t>
  </si>
  <si>
    <t>Zhang, Shaodong/F-9888-2013; Huang, Kai/JVO-5066-2024</t>
  </si>
  <si>
    <t>Zhang, Shaodong/0000-0003-3345-1927;</t>
  </si>
  <si>
    <t>SCIENCE PRESS</t>
  </si>
  <si>
    <t>BEIJING</t>
  </si>
  <si>
    <t>16 DONGHUANGCHENGGEN NORTH ST, BEIJING 100717, PEOPLES R CHINA</t>
  </si>
  <si>
    <t>0001-5733</t>
  </si>
  <si>
    <t>CHINESE J GEOPHYS-CH</t>
  </si>
  <si>
    <t>Chinese J. Geophys.-Chinese Ed.</t>
  </si>
  <si>
    <t>10.6038/cjg2019M0200</t>
  </si>
  <si>
    <t>IP8MN</t>
  </si>
  <si>
    <t>WOS:000480300600002</t>
  </si>
  <si>
    <t>Xu, M; Yang, QH; Li, YB; Han, B; Yang, YJ; Yu, LJ</t>
  </si>
  <si>
    <t>Xu Min; Yang QingHua; Li YuBin; Han Bo; Yang YuanJian; Yu LeJiang</t>
  </si>
  <si>
    <t>Vertical structures and trends of atmospheric temperature and wind during 1987-2017 at the South Pole</t>
  </si>
  <si>
    <t>South Pole; Temperature; Wind; Vertical profile; Trend</t>
  </si>
  <si>
    <t>ANTARCTIC SEA-ICE; DOME-C; SURFACE; RADIOSONDE; CLIMATE; STRATOSPHERE; CIRCULATION; EXTENT; ENSO; SAM</t>
  </si>
  <si>
    <t>The vertical profiles and trends of temperature, wind direction and wind speed up to 30 km altitude are investigated by using the radiosonde data collected over the South Pole during the period from 1987 through 2017. The multi-year averaged data showed that the temperature had a significant seasonal variation with the highest (lowest) temperature in southern hemisphere summer (winter). The highest (lowest) temperature in the lower troposphere was approximately -25 degrees C (-60 degrees C) in January (July) at a height of about 500 m above the surface (at surface). The annual mean temperature showed a warming trend of 0. 3 degrees C per decade at surface, but the trends kept decreasing with increasing height, and turned to negative (-0. 25 degrees C/decade) in the upper troposphere. For the height averaged temperature in the whole troposphere, the most apparent increasing trend occurred in autumn, reaching 0. 55 degrees C/decade, while the yearly averaged temperature had a trend of about 0.3 degrees C/decade. Throughout all the seasons there were the dominant northerlies to easterlies close to the surface, north-westerlies (westerlies to southerlies) at lower (upper) troposphere, and southerlies (southerlies to easterlies) in lower (upper) stratosphere. Near surface more northerlies and less easterlies were recorded, and less southerlies but more easterlies and northerlies occurred in higher levels. The wind speed near surface was frequently in 2 similar to 10 m . s(-1) range. Around 6 similar to 9 km above mean sea level a tropopause jet up to 25 m . s(-1) was observed. In the upper stratosphere, strong winds larger than 30 m . s(-1) sometimes appeared. The correlation coefficient between seasonal/yearly wind speed and temperature gradient was negative (positive) over South Pole at the height section of surface -10 km (10 similar to 30 km). The seasonal and height averaged wind speed of the whole troposphere showed increasing trends in the recent 30 years, and similar to temperature, the most significant trend occurred in autumn, reaching 0. 59 m . s(-1)/decade, while the mildest trend appeared in spring with a value of only 0. 05 m . s(-1)/decade. For the yearly and height averaged wind speed of the whole troposphere, there was an increasing trend of 0. 24 m . s(-1)/decade. The annual mean surface wind speed increased at a rate of 0. 05 m . s(-1)/decade.</t>
  </si>
  <si>
    <t>[Xu Min; Li YuBin] Nanjing Univ Informat Sci &amp; Technol, Collaborat Innovat Ctr Forecast &amp; Evaluat Meteoro, Nanjing 210044, Jiangsu, Peoples R China; [Xu Min] Nanjing Univ Informat Sci &amp; Technol, Sch Remote Sensing &amp; Geomat Engn, Nanjing 210044, Jiangsu, Peoples R China; [Yang QingHua; Han Bo] Sun Yat Sen Univ, Sch Atmospher Sci, Zhuhai 519082, Guangdong, Peoples R China; [Yang QingHua; Han Bo] Sun Yat Sen Univ, Guangdong Prov Key Lab Climate Change &amp; Nat Disas, Zhuhai 519082, Guangdong, Peoples R China; [Yang QingHua; Han Bo] Southern Marine Sci &amp; Engn Guangdong Lab Zhuhai, Zhuhai 519082, Guangdong, Peoples R China; [Li YuBin] Nanjing Univ Informat Sci &amp; Technol, Sch Atmospher Phys, Nanjing 210044, Jiangsu, Peoples R China; [Yang YuanJian] Chinese Univ Hong Kong, Inst Environm Energy &amp; Sustainabil, Hong Kong 999077, Peoples R China; [Yu LeJiang] Polar Res Inst China, SOA Key Lab Polar Sci, Shanghai 200136, Peoples R China</t>
  </si>
  <si>
    <t>Nanjing University of Information Science &amp; Technology; Nanjing University of Information Science &amp; Technology; Sun Yat Sen University; Sun Yat Sen University; Southern Marine Science &amp; Engineering Guangdong Laboratory; Southern Marine Science &amp; Engineering Guangdong Laboratory (Zhuhai); Nanjing University of Information Science &amp; Technology; Chinese University of Hong Kong; Polar Research Institute of China</t>
  </si>
  <si>
    <t>Li, YB (corresponding author), Nanjing Univ Informat Sci &amp; Technol, Collaborat Innovat Ctr Forecast &amp; Evaluat Meteoro, Nanjing 210044, Jiangsu, Peoples R China.;Li, YB (corresponding author), Nanjing Univ Informat Sci &amp; Technol, Sch Atmospher Phys, Nanjing 210044, Jiangsu, Peoples R China.</t>
  </si>
  <si>
    <t>xumin@nuist.edu.cn; liyubin@nuist.edu.cn</t>
  </si>
  <si>
    <t>Han, Bo/KBC-0855-2024; Yang, Yuan-Jian/AAR-2465-2021; yang, yang/GWB-9426-2022; Yang, Yuanjian/AAC-7494-2020; yang, yang/HGT-7999-2022; Li, Yubin/HOC-0722-2023</t>
  </si>
  <si>
    <t>Han, Bo/0000-0002-6137-7907; Yang, Yuan-Jian/0000-0003-3486-6286; Li, Yubin/0000-0003-3965-3845</t>
  </si>
  <si>
    <t>10.6038/cjg2019N0029</t>
  </si>
  <si>
    <t>WOS:000480300600003</t>
  </si>
  <si>
    <t>Lin, Z; Yi, L; Wang, HF; Deng, XG; Yang, JC; Fu, TF; Yu, HJ; Xie, Q; Deng, CL</t>
  </si>
  <si>
    <t>Lin Zhen; Yi Liang; Wang HaiFeng; Deng XiGuang; Yang JiChao; Fu TengFei; Yu HongJun; Xie Qiang; Deng ChengLong</t>
  </si>
  <si>
    <t>Rock magnetism of deep-sea sediments at Caiwei Guyot, Magellan seamounts of Northwest Pacific and its significance to abyssal environmental changes</t>
  </si>
  <si>
    <t>Northwest Pacific; Caiwei Guyot; Rock magnetism; Early diagenesis; Deep-sea environmental changes</t>
  </si>
  <si>
    <t>MARINE-SEDIMENTS; PARTICLE-SYSTEMS; SURFACE VORTEX; LOESS PLATEAU; DISCRIMINATION; DIAGENESIS; EROSION; CLIMATE; MONSOON; EDDIES</t>
  </si>
  <si>
    <t>Seamounts constitute some of the most direct evidence about intraplate volcanism, and can profoundly affect physical and biological processes, mesoscale circulation and primary production. Caiwei Guyot locates within the Magellan Seamounts of the Northwest Pacific Ocean, where is one of the key investigation areas discovered, named and responsible for resource exploration by China. In this study, we carried out detailed rock magnetic investigations on a sedimentary sequence obtained from the Caiwei Guyot. The methods include hysteresis loops, isothermal remanent acquisition curves, and first-order reversal curves. It is found that the magnetic minerals in the surface sediments of the Caiwei Guyot are mainly fine-grained magnetite with low coercivity; and three magnetic sub-groups with different coercivity values can be mathematically distinguished by a log-normal distribution function, inferring that the change of the coercivity of the magnetic particles can effectively indicate the intensity of the early diagenesis of the sediments. Referring to the physical ocean process, we speculate that the production changes of the Antarctic bottom water and solar insolation may affect the environmental evolution of ocean bottom. Therefore, we suggest that this result provides new perspective to explore the possible impacts of the Antarctic climate on the North Pacific, and to assess the interactions between the upper and lower parts of the oceans, which both may have directly contributed to global changes.</t>
  </si>
  <si>
    <t>[Lin Zhen; Xie Qiang] Chinese Acad Sci, Inst Deep Sea Sci &amp; Engn, Sanya 572000, Hainan, Peoples R China; [Lin Zhen; Deng ChengLong] Univ Chinese Acad Sci, Beijing 100049, Peoples R China; [Yi Liang] Tongji Univ, State Key Lab Marine Geol, Shanghai 200092, Peoples R China; [Wang HaiFeng; Deng XiGuang] China Geol Survey, Guangzhou Marine Geol Survey, MNR Key Lab Marine Mineral Resources, Guangzhou 510640, Guangdong, Peoples R China; [Yang JiChao; Yu HongJun] Natl Deep Sea Ctr China, Qingdao 266061, Shandong, Peoples R China; [Fu TengFei] Minist Nat Resources, MNR Key Lab Marine Sedimentol &amp; Environm Geol, Inst Oceanog 1, Qingdao 266061, Shandong, Peoples R China; [Deng ChengLong] Chinese Acad Sci, State Key Lab Lithospher Evolut, Inst Geol &amp; Geophys, Beijing 100029, Peoples R China; [Deng ChengLong] Chinese Acad Sci, Inst Earth Sci, Beijing 100029, Peoples R China</t>
  </si>
  <si>
    <t>Chinese Academy of Sciences; Institute of Deep-Sea Science &amp; Engineering, CAS; Chinese Academy of Sciences; University of Chinese Academy of Sciences, CAS; Tongji University; China Geological Survey; Guangzhou Marine Geological Survey; Ministry of Natural Resources of the People's Republic of China; First Institute of Oceanography, Ministry of Natural Resources; Chinese Academy of Sciences; Institute of Geology &amp; Geophysics, CAS; Chinese Academy of Sciences</t>
  </si>
  <si>
    <t>Deng, CL (corresponding author), Univ Chinese Acad Sci, Beijing 100049, Peoples R China.;Deng, CL (corresponding author), Chinese Acad Sci, State Key Lab Lithospher Evolut, Inst Geol &amp; Geophys, Beijing 100029, Peoples R China.;Deng, CL (corresponding author), Chinese Acad Sci, Inst Earth Sci, Beijing 100029, Peoples R China.</t>
  </si>
  <si>
    <t>cldeng@mail.iggcas.ac.cn</t>
  </si>
  <si>
    <t>Deng, Chenglong/B-8871-2009; WANG, Haifeng/F-1342-2016; Yi, Liang/AAM-9737-2020</t>
  </si>
  <si>
    <t>Yi, Liang/0000-0003-3377-8591</t>
  </si>
  <si>
    <t>10.6038/cjg2019M0526</t>
  </si>
  <si>
    <t>WOS:000480300600023</t>
  </si>
  <si>
    <t>Pourasghar, F; Oliver, ECJ; Holbrook, NJ</t>
  </si>
  <si>
    <t>Pourasghar, Farnaz; Oliver, Eric C. J.; Holbrook, Neil J.</t>
  </si>
  <si>
    <t>Modulation of wet-season rainfall over Iran by the Madden-Julian Oscillation, Indian Ocean Dipole and El Nino-Southern Oscillation</t>
  </si>
  <si>
    <t>INTERNATIONAL JOURNAL OF CLIMATOLOGY</t>
  </si>
  <si>
    <t>Indian Ocean Dipole; intra-seasonal variability; Madden-Julian Oscillation; rainfall probability</t>
  </si>
  <si>
    <t>TEMPORAL VARIABILITY; SPATIAL-PATTERNS; AUTUMN RAINFALL; ENSO; PRECIPITATION; MJO; DROUGHT</t>
  </si>
  <si>
    <t>The intra-seasonal variation of precipitation over Iran is examined in terms of the combined effects of the Madden-Julian Oscillation (MJO), Indian Ocean Dipole (IOD) and El Nino-Southern Oscillation (ENSO), using daily observations during the wet season (October-May) from 1961 to 2015. We have examined how the probability of daily rainfall above the upper tercile varies across MJO phases during positive and negative IOD and ENSO states. The results indicate that the response of Iran's wet-season rainfall to the MJO is affected more by large-scale atmospheric variations associated with the IOD than by ENSO. The negative (positive) IOD strengthens (suppresses) the MJO-rainfall relationship in the wet and dry MJO phases. The variation in the atmospheric variables (relative humidity and vertical velocity) indicates more (less) humidity and upwards (downwards) motion which increases (decreases) precipitation in wet (dry) MJO phases during the negative IOD. The rainfall relationship with the MJO during the negative IOD is statistically significant, while the relationship during the positive IOD is weak; and no significant relationship is found during either phase of ENSO.</t>
  </si>
  <si>
    <t>[Pourasghar, Farnaz] Bur Meteorol, Res Dept, Tabriz, Iran; [Oliver, Eric C. J.] Dalhousie Univ, Dept Oceanog, Halifax, NS, Canada; [Oliver, Eric C. J.; Holbrook, Neil J.] Univ Tasmania, Inst Marine &amp; Antarctic Studies, Hobart, Tas, Australia; [Oliver, Eric C. J.; Holbrook, Neil J.] Univ Tasmania, ARC Ctr Excellence Climate Extremes, Hobart, Tas, Australia</t>
  </si>
  <si>
    <t>Dalhousie University; University of Tasmania; University of Tasmania</t>
  </si>
  <si>
    <t>Pourasghar, F (corresponding author), Bur Meteorol, Tabriz, Iran.</t>
  </si>
  <si>
    <t>farnaz_pourasghar@yahoo.com</t>
  </si>
  <si>
    <t>Oliver, Eric/G-5118-2014; Holbrook, Neil/M-7544-2013</t>
  </si>
  <si>
    <t>Oliver, Eric/0000-0002-4006-2826; Holbrook, Neil/0000-0002-3523-6254</t>
  </si>
  <si>
    <t>Australian Research Council Centre of Excellence for Climate System Science (ARCCSS); ARCCSS [CE110001028]; ARC Centre of Excellence for Climate Extremes [CE170100023]</t>
  </si>
  <si>
    <t>Australian Research Council Centre of Excellence for Climate System Science (ARCCSS)(Australian Research Council); ARCCSS; ARC Centre of Excellence for Climate Extremes</t>
  </si>
  <si>
    <t>Daily rainfall data analysed in this article are from the Iran Meteorological Organization. Daily atmospheric reanalysis data analysed here have been provided by the National Centers for Environmental Prediction (NCEP)/National Center for Atmospheric Research (NCAR) Reanalysis. Monthly Nino3 SST index have been provided by National Oceanic and Atmosphere Administration (NOAA) and DMI by Japan Agency for Marine-Earth Science and Technology (JAMSTEC). The historical reconstruction of the MJO index is available on ECJO's personal website: https://ecjoliver.weebly.com/mjo-reconstruction.html. F.P.acknowledges travel grant funding from the Australian Research Council Centre of Excellence for Climate System Science (ARCCSS). E.C.J.O. was supported by ARCCSS (Grant CE110001028). N.J.H. received funding from the ARC Centre of Excellence for Climate Extremes (Grant CE170100023).</t>
  </si>
  <si>
    <t>0899-8418</t>
  </si>
  <si>
    <t>1097-0088</t>
  </si>
  <si>
    <t>INT J CLIMATOL</t>
  </si>
  <si>
    <t>Int. J. Climatol.</t>
  </si>
  <si>
    <t>10.1002/joc.6057</t>
  </si>
  <si>
    <t>IN9WU</t>
  </si>
  <si>
    <t>WOS:000479031900010</t>
  </si>
  <si>
    <t>Groeskamp, S; Barkers, PM; McDougall, TJ; Abernathey, RP; Griffies, SM</t>
  </si>
  <si>
    <t>Groeskamp, Sjoerd; Barkers, Paul M.; McDougall, Trevor J.; Abernathey, Ryan P.; Griffies, Stephen M.</t>
  </si>
  <si>
    <t>VENM: An Algorithm to Accurately Calculate Neutral Slopes and Gradients</t>
  </si>
  <si>
    <t>neutral direction; algorithms; numerical modeling; data analyses; physical oceanography; mixing processes</t>
  </si>
  <si>
    <t>ANTARCTIC CIRCUMPOLAR CURRENT; EQUATION-OF-STATE; OCEAN CIRCULATION; ISONEUTRAL DIFFUSION; GLOBAL PATTERNS; ARGO FLOAT; WATER; SURFACE; MODEL; PARAMETERIZATION</t>
  </si>
  <si>
    <t>Mesoscale eddies stir along the neutral plane, and the resulting neutral diffusion is a fundamental aspect of subgrid-scale tracer transport in ocean models. Calculating neutral diffusion traditionally involves calculating neutral slopes and three-dimensional tracer gradients. The calculation of the neutral slope traditionally occurs by computing the ratio of the horizontal to vertical locally referenced potential density derivative. However, this approach is problematic in regions of weak vertical stratification, prompting the use of a variety of ad hoc regularization methods that can lead to rather nonphysical dependencies for the resulting neutral tracer gradients. Here we use a VErtical Non-local Method VENM, a search algorithm that requires no ad hoc regularization and significantly improves the numerical accuracy of calculating neutral slopes, neutral tracer gradients, and associated neutral diffusive fluxes. We compare and contrast VENM against a more traditional method, using an independent objective neutrality condition combined with estimates of spurious diffusion, heat transport, and water mass transformation rates. VENM is more accurate, both physically and numerically, and should form the basis for future efforts involving neutral diffusion calculations from observations and possibly numerical model simulations.</t>
  </si>
  <si>
    <t>[Groeskamp, Sjoerd; Barkers, Paul M.; McDougall, Trevor J.] Univ New South Wales, Sch Math &amp; Stat, Sydney, NSW, Australia; [Abernathey, Ryan P.] Columbia Univ, Lamont Doherty Earth Observ, New York, NY USA; [Griffies, Stephen M.] NOAA, Geophys Fluid Dynam Lab, Princeton, NJ USA; [Griffies, Stephen M.] Princeton Univ, Program Atmospher &amp; Ocean Sci, Princeton, NJ 08544 USA</t>
  </si>
  <si>
    <t>University of New South Wales Sydney; Columbia University; National Oceanic Atmospheric Admin (NOAA) - USA; Princeton University; National Oceanic Atmospheric Admin (NOAA) - USA</t>
  </si>
  <si>
    <t>Groeskamp, S (corresponding author), Univ New South Wales, Sch Math &amp; Stat, Sydney, NSW, Australia.</t>
  </si>
  <si>
    <t>sjoerdgroeskamp@gmail.com</t>
  </si>
  <si>
    <t>Griffies, Stephen Matthew/N-9144-2019</t>
  </si>
  <si>
    <t>Griffies, Stephen Matthew/0000-0002-3711-236X; Abernathey, Ryan/0000-0001-5999-4917; Groeskamp, Sjoerd/0000-0002-7898-3030</t>
  </si>
  <si>
    <t>NASA Award [NNX14AI46]; Australian Research Council [FL150100090]</t>
  </si>
  <si>
    <t>NASA Award; Australian Research Council(Australian Research Council)</t>
  </si>
  <si>
    <t>S. G. and R. P. A. acknowledge support from NASA Award NNX14AI46. S. G., P. M. B., and T. J. M. acknowledges support from the Australian Research Council Grant FL150100090. We thank Andrew Shao, Alistair Adcroft, and Robert Hallberg for useful discussions, as well as Florian Lemarie and two anonymous reviewers whose efforts helped to improve this paper. The TEOS-10 software toolbox can be downloaded at http://www.teos-10.org/. The VENM Matlab code is available on https://github.com/Sjoerdgr/VENM.World Ocean Atlas data can be downloaded from https://www.nodc.noaa.gov/OC5/woa13/.</t>
  </si>
  <si>
    <t>10.1029/2019MS001613</t>
  </si>
  <si>
    <t>IP8FR</t>
  </si>
  <si>
    <t>WOS:000480282800003</t>
  </si>
  <si>
    <t>dos Santos, MAZ; de Freitas, SC; Berneira, LM; Mansilla, A; Astorga-España, MS; Colepicolo, P; de Pereira, CMP</t>
  </si>
  <si>
    <t>Ziemann dos Santos, Marco Aurelio; de Freitas, Samantha Coelho; Berneira, Lucas Moraes; Mansilla, Andres; Soledad Astorga-Espana, Maria; Colepicolo, Pio; Pereira de Pereira, Claudio Martin</t>
  </si>
  <si>
    <t>Pigment concentration, photosynthetic performance, and fatty acid profile of sub-Antarctic brown macroalgae in different phases of development from the Magellan Region, Chile</t>
  </si>
  <si>
    <t>JOURNAL OF APPLIED PHYCOLOGY</t>
  </si>
  <si>
    <t>Polyunsaturated; Fatty acids; Brown algae; Photosynthetic activity; Sub-Antarctic region</t>
  </si>
  <si>
    <t>KELP MACROCYSTIS-PYRIFERA; RAPID LIGHT CURVES; ULTRAVIOLET-RADIATION; UV-RADIATION; SACCHARINA-LATISSIMA; REPRODUCTIVE PHASES; SEASONAL-VARIATIONS; MARINE MACROALGAE; AMINO-ACID; ALGAE</t>
  </si>
  <si>
    <t>Macroalgae Durvillaea antarctica, Lessonia flavicans, and Macrocystis pyrifera in distinct development phases from the ecoregion of Magellan (Chile) were analyzed by pulse amplitude modulated fluorometry under eight irradiation conditions (11 to 490 mu mol photons m(-2) s(-1)). Pigmentation was assessed by UV/Vis spectrophotometry (400 to 700 nm), and fatty acid (FA) profile was determined by gas chromatography using the standards of their respective methyl esters (0.625 to 20 mg mL(-1)). Photosynthetic efficiency had significant differences for L. flavicans (0.31 +/- 0.01 to 0.38 +/- 0.01 mu mol e(-) m(-2) s(-1) (mu mol photons m(-2) s(-1))(-1)) and M. pyrifera (0.26 +/- 0.02 to 0.31 +/- 0.03 mu mol e(-) m(-2) s(-1) (mu mol photons m(-2) s(-1))(-1)) for reproductive and vegetative phases, respectively. The relative maximum electron transfer rate varied significantly for L. flavicans (8.10 +/- 0.84 to 12.40 +/- 1.57 mu mol e(-) s(-1)) and M. pyrifera (6.49 +/- 1.30 to 12.89 +/- 1.53 mu mol e(-) s(-1)) in distinct development phases. Saturation irradiance analysis showed significant differences for D. antarctica, varying from 166.18 +/- 14.33 (vegetative) to 132.98 +/- 18.43 mu mol photon m(-2) s(-1) (reproductive). The highest concentrations of pigments were found in reproductive M. pyrifera with 35.36 +/- 0.21 of Chl a, 7.04 +/- 0.93 of Chl c, and 15.75 +/- 1.42 mu g g(-1) of fucoxanthin. Finally, the highest concentrations of total FAs were 35.24 +/- 2.38% (saturated) and 22.02 +/- 1.95% (monounsaturated) in M. pyrifera and 63.53 +/- 3.36% (polyunsaturated) in D. antarctica. Therefore, the study showed significant differences for photosynthetic parameters and FA profiles correlating these results to the development phases of macroalgae.</t>
  </si>
  <si>
    <t>[Ziemann dos Santos, Marco Aurelio; de Freitas, Samantha Coelho; Berneira, Lucas Moraes; Pereira de Pereira, Claudio Martin] Univ Fed Pelotas, Ctr Chem Pharmaceut &amp; Food Sci, Univ Campus S-N, BR-96160000 Capao Do Leao, RS, Brazil; [Mansilla, Andres; Soledad Astorga-Espana, Maria] Univ Magallanes, IEB, Lab Antarctic &amp; Subantarctic Marine Ecosyst, 01855 Bulnes Ave, Punta Arenas 6200000, Chile; [Colepicolo, Pio] Univ Sao Paulo, Chem Inst, Dept Biochem, Av Prof Lineu Prestes 748, Butanta, SP, Brazil</t>
  </si>
  <si>
    <t>Universidade Federal de Pelotas; Universidad de Magallanes; Universidade de Sao Paulo</t>
  </si>
  <si>
    <t>dos Santos, MAZ (corresponding author), Univ Fed Pelotas, Ctr Chem Pharmaceut &amp; Food Sci, Univ Campus S-N, BR-96160000 Capao Do Leao, RS, Brazil.</t>
  </si>
  <si>
    <t>marcziemann@gmail.com</t>
  </si>
  <si>
    <t>de Pereira, Claudio Pereira/T-7512-2019; Santos, Marco/HGF-1439-2022; dos Santos, Marco Aurélio Ziemann/T-6159-2019</t>
  </si>
  <si>
    <t>de Pereira, Claudio Pereira/0000-0002-2818-4281; dos Santos, Marco Aurélio Ziemann/0000-0002-3776-3701; Astorga Espana, Maria Soledad/0000-0003-0647-7515; Moraes Berneira, Lucas/0000-0003-0859-9647; Mansilla, Andres/0000-0003-3505-7018</t>
  </si>
  <si>
    <t>Brazilian research funding agency: the National Program for Post-Doctoral Studies, Coordination for Improvement of Higher Level Personnel (PNPD-CAPES, General Program of International Cooperation) [PGCI-99999.002378/2015]; Brazilian research funding agency: National Council for Scientific and Technological Development (CNPq)</t>
  </si>
  <si>
    <t>Brazilian research funding agency: the National Program for Post-Doctoral Studies, Coordination for Improvement of Higher Level Personnel (PNPD-CAPES, General Program of International Cooperation); Brazilian research funding agency: National Council for Scientific and Technological Development (CNPq)(Conselho Nacional de Desenvolvimento Cientifico e Tecnologico (CNPQ))</t>
  </si>
  <si>
    <t>The authors are grateful for the financial and fellowship support from the Brazilian research funding agencies: the National Program for Post-Doctoral Studies, Coordination for Improvement of Higher Level Personnel (PNPD-CAPES, General Program of International Cooperation PGCI-99999.002378/2015), and National Council for Scientific and Technological Development (CNPq).</t>
  </si>
  <si>
    <t>0921-8971</t>
  </si>
  <si>
    <t>1573-5176</t>
  </si>
  <si>
    <t>J APPL PHYCOL</t>
  </si>
  <si>
    <t>J. Appl. Phycol.</t>
  </si>
  <si>
    <t>10.1007/s10811-019-01777-x</t>
  </si>
  <si>
    <t>Biotechnology &amp; Applied Microbiology; Marine &amp; Freshwater Biology</t>
  </si>
  <si>
    <t>IO0GK</t>
  </si>
  <si>
    <t>WOS:000479057200042</t>
  </si>
  <si>
    <t>Tong, X; Yan, ZW; Xia, JJ; Lou, X</t>
  </si>
  <si>
    <t>Tong, Xuan; Yan, Zhongwei; Xia, Jiangjiang; Lou, Xiao</t>
  </si>
  <si>
    <t>Decisive Atmospheric Circulation Indices for July-August Precipitation in North China Based on Tree Models</t>
  </si>
  <si>
    <t>JOURNAL OF HYDROMETEOROLOGY</t>
  </si>
  <si>
    <t>Atmospheric circulation; Precipitation; Data mining; Interannual variability</t>
  </si>
  <si>
    <t>INTENSITY CHANGE CLASSIFICATION; TROPICAL CYCLONE TRACKS; SURFACE-TEMPERATURE; PART I; EAST; PATTERNS; PACIFIC; TELECONNECTION; IMPACTS; MACHINE</t>
  </si>
  <si>
    <t>Numerous circulation indices have been applied in practical climate services focused on regional precipitation. It is beneficial to identify the most influential or decisive indices, but this is difficult with conventional correlation analyses because of the underlying nonlinear mechanisms for precipitation. This paper demonstrates a set of the most influential indices for July-August precipitation in North China, based on the recursive random forest (RRF) method. These decisive circulation indices include the Polar-Eurasia teleconnection, North African subtropical high ridge position, India-Burma trough, Antarctic Oscillation, Northern Hemisphere polar vortex central latitude, North Atlantic Oscillation, and western Pacific subtropical high northern boundary position. Some of these factors have been recognized as directly influential to the regional precipitation, for example, those of the northwestern Pacific subtropical high; however, some are not easily understood. Decision tree (DT) models using these indices were developed to facilitate composite analyses to explain the RRF results. Taking one of the most interesting DT rules as an example, when the North African subtropical high ridge position is sufficiently far south, an anomalous anticyclone occurs in the upstream and an anomalous cyclone in the downstream of North China. This is unfavorable for northward moisture transport in eastern China and hence causes less precipitation in North China than climatology. The present results are not only helpful for improving diagnostic models of regional precipitation, but also enlightening for exploring how global climate change could impact a region by modulating large-scale circulation patterns.</t>
  </si>
  <si>
    <t>[Tong, Xuan; Yan, Zhongwei; Xia, Jiangjiang] Inst Atmospher Phys, Beijing, Peoples R China; [Tong, Xuan; Yan, Zhongwei; Xia, Jiangjiang] Univ Chinese Acad Sci, Beijing, Peoples R China; [Lou, Xiao] Chinese Acad Sci, Inst Atmospher Phys, Beijing, Peoples R China</t>
  </si>
  <si>
    <t>Chinese Academy of Sciences; Institute of Atmospheric Physics, CAS; Chinese Academy of Sciences; University of Chinese Academy of Sciences, CAS; Chinese Academy of Sciences; Institute of Atmospheric Physics, CAS</t>
  </si>
  <si>
    <t>Yan, ZW (corresponding author), Inst Atmospher Phys, Beijing, Peoples R China.;Yan, ZW (corresponding author), Univ Chinese Acad Sci, Beijing, Peoples R China.</t>
  </si>
  <si>
    <t>yzw@tea.ac.cn</t>
  </si>
  <si>
    <t>Yan, Zhongwei/AAF-7451-2020; 夏, 江江/JWQ-0476-2024</t>
  </si>
  <si>
    <t>Yan, Zhongwei/0000-0003-0638-137X; Tong, Xuan/0000-0001-6022-1508</t>
  </si>
  <si>
    <t>National Key RD Program [2016YFA0600404]; CAS project [XDA20020201]</t>
  </si>
  <si>
    <t>National Key RD Program; CAS project(Chinese Academy of Sciences)</t>
  </si>
  <si>
    <t>This study is supported by the National Key R&amp;D Program (2016YFA0600404) and the CAS project (XDA20020201).</t>
  </si>
  <si>
    <t>45 BEACON ST, BOSTON, MA 02108-3693, UNITED STATES</t>
  </si>
  <si>
    <t>1525-755X</t>
  </si>
  <si>
    <t>1525-7541</t>
  </si>
  <si>
    <t>J HYDROMETEOROL</t>
  </si>
  <si>
    <t>J. Hydrometeorol.</t>
  </si>
  <si>
    <t>10.1175/JHM-D-19-0045.1</t>
  </si>
  <si>
    <t>IQ2MM</t>
  </si>
  <si>
    <t>WOS:000480583100001</t>
  </si>
  <si>
    <t>Schejter, L; Cristobo, J; Ríos, P</t>
  </si>
  <si>
    <t>Schejter, Laura; Cristobo, Javier; Rios, Pilar</t>
  </si>
  <si>
    <t>Coelosphaera (Coelosphaera) koltuni sp. nov. (Porifera: Demospongiae): a new species from South Orkney Islands, Antarctica</t>
  </si>
  <si>
    <t>MARINE BIODIVERSITY</t>
  </si>
  <si>
    <t>Sponges; Poecilosclerida; New species description; Antarctic waters</t>
  </si>
  <si>
    <t>ATLANTIC; SHELF</t>
  </si>
  <si>
    <t>In this work, we describe a new sponge species belonging to the genus Coelosphaera Thomson, 1873. It was collected during an Argentinean Summer Antarctic Research Cruise onboard the Research Vessel Puerto Deseado in March 2014, near South Orkney Islands (Antarctica), 60 degrees 53 ' S 42 degrees 35 ' W, 487-m depth. Coelosphaera (Coelosphaera) koltuni sp. nov. is a globular, fistular and hollow-shaped sponge, with significantly larger megascleres (almost twice the length) than other Antarctic and New Zealand Coelosphaera species. We provide comparative data of all the described Coelosphaera species, especially those from nearby regions.</t>
  </si>
  <si>
    <t>[Schejter, Laura] Consejo Nacl Invest Cient &amp; Tecn, Inst Invest Marinas Costeras IIMyC, Paseo Victoria Ocampo 1, RA-7600 Mar Del Plata, Buenos Aires, Argentina; [Schejter, Laura] Inst Nacl Invest Desarrollo Pesquero INIDEP, Paseo Victoria Ocampo 1, RA-7600 Mar Del Plata, Buenos Aires, Argentina; [Cristobo, Javier; Rios, Pilar] Inst Espanol Oceanog, Ctr Oceanog Gijon, Av Principe Asturias 70 Bis, Gijon 33212, Asturias, Spain; [Cristobo, Javier; Rios, Pilar] Univ Alcala, Dept Zool &amp; Antropol Fis, Madrid, Spain</t>
  </si>
  <si>
    <t>Consejo Nacional de Investigaciones Cientificas y Tecnicas (CONICET); Consejo Nacional de Investigaciones Cientificas y Tecnicas (CONICET); National Fisheries Research &amp; Development Institute (INIDEP); Spanish Institute of Oceanography; Universidad de Alcala</t>
  </si>
  <si>
    <t>Schejter, L (corresponding author), Consejo Nacl Invest Cient &amp; Tecn, Inst Invest Marinas Costeras IIMyC, Paseo Victoria Ocampo 1, RA-7600 Mar Del Plata, Buenos Aires, Argentina.;Schejter, L (corresponding author), Inst Nacl Invest Desarrollo Pesquero INIDEP, Paseo Victoria Ocampo 1, RA-7600 Mar Del Plata, Buenos Aires, Argentina.</t>
  </si>
  <si>
    <t>schejter@inidep.edu.ar; javier.cristobo@ieo.es; pilar.rios.lopez@gmail.com</t>
  </si>
  <si>
    <t>Cristobo, Javier/M-1949-2014; Rios, Pilar/L-1293-2014; Schejter, Laura/AAR-1106-2020</t>
  </si>
  <si>
    <t>Rios, Pilar/0000-0001-9710-9114; Schejter, Laura/0000-0001-5443-4048</t>
  </si>
  <si>
    <t>Instituto Nacional de Investigacion y Desarrollo Pesquero, Direccion Nacional del Antartico (Argentina) [PICT 2013-0629]</t>
  </si>
  <si>
    <t>Instituto Nacional de Investigacion y Desarrollo Pesquero, Direccion Nacional del Antartico (Argentina)</t>
  </si>
  <si>
    <t>This study was partially funded by Instituto Nacional de Investigacion y Desarrollo Pesquero, Direccion Nacional del Antartico (Argentina) and PICT 2013-0629 to LS. LS is a reseacher at Consejo Nacional de Investigaciones Cientificas y Tecnicas, Argentina. JC and PR are researchers at Instituto Espanol de Oceanografia, Spain.</t>
  </si>
  <si>
    <t>1867-1616</t>
  </si>
  <si>
    <t>1867-1624</t>
  </si>
  <si>
    <t>MAR BIODIVERS</t>
  </si>
  <si>
    <t>Mar. Biodivers.</t>
  </si>
  <si>
    <t>10.1007/s12526-019-00959-7</t>
  </si>
  <si>
    <t>Biodiversity Conservation; Marine &amp; Freshwater Biology</t>
  </si>
  <si>
    <t>Biodiversity &amp; Conservation; Marine &amp; Freshwater Biology</t>
  </si>
  <si>
    <t>IN6FU</t>
  </si>
  <si>
    <t>WOS:000478774000026</t>
  </si>
  <si>
    <t>Leitner, J; Hoppe, P</t>
  </si>
  <si>
    <t>Leitner, Jan; Hoppe, Peter</t>
  </si>
  <si>
    <t>A new population of dust from stellar explosions among meteoritic stardust</t>
  </si>
  <si>
    <t>NATURE ASTRONOMY</t>
  </si>
  <si>
    <t>PRESOLAR SILICATE GRAINS; CLASSICAL NOVAE; MASSIVE STARS; NUCLEOSYNTHESIS; OXYGEN; ABUNDANCES; MAGNESIUM; ISOTOPES; ALUMINUM; RICH</t>
  </si>
  <si>
    <t>Primitive Solar System materials host small amounts of refractory dust grains predating the formation of the Sun and its planetary system. These 'presolar' grains condensed in the ejecta of evolved stars, novae and supernovae1. Their highly anomalous isotopic compositions cannot be explained by chemical or physical processes within the Solar System; instead, they represent the nucleosynthetic signatures of their stellar parents. Among this 'true stardust', silicates are the most abundant type of dust available for single-grain analyses2, with typical sizes of approximately 150 nm (ref. 3). Unlike presolar silicon carbides, aluminium oxides or graphites, which can be separated chemically from meteorites, presolar silicates have to be identified in situ, as they would be destroyed by extraction agents. Instrumental restrictions have constrained almost all previous magnesium isotopic measurements to presolar aluminium oxides, and the contribution of radiogenic Mg-26 from Al-26 decay has precluded unambiguous conclusions about their initial magnesium isotopes. Recent technical advances have enabled the undisturbed in situ investigation of magnesium isotopes in presolar silicates with unprecedented spatial resolution (&lt; 150 nm). Here we show that a minor but important fraction of silicate stardust believed to come from red giant stars has a supernova origin instead, if hydrogen ingestion occurred during the pre-supernova phase, making the supernova dust fraction among &gt; 200-nm-sized presolar silicates significantly higher than previously inferred(1).</t>
  </si>
  <si>
    <t>[Leitner, Jan; Hoppe, Peter] Max Planck Inst Chem, Mainz, Germany</t>
  </si>
  <si>
    <t>Max Planck Society</t>
  </si>
  <si>
    <t>Leitner, J (corresponding author), Max Planck Inst Chem, Mainz, Germany.</t>
  </si>
  <si>
    <t>jan.leitner@mpic.de</t>
  </si>
  <si>
    <t>Hoppe, Peter/B-3032-2015; Leitner, Jan/A-7391-2015</t>
  </si>
  <si>
    <t>Hoppe, Peter/0000-0003-3681-050X; Leitner, Jan/0000-0003-3655-6273</t>
  </si>
  <si>
    <t>National Science Foundation; NASA; Max Planck Society; Deutsche Forschungsgemeinschaft [LE3279/1-1]</t>
  </si>
  <si>
    <t>National Science Foundation(National Science Foundation (NSF)); NASA(National Aeronautics &amp; Space Administration (NASA)); Max Planck Society(Max Planck Society); Deutsche Forschungsgemeinschaft(German Research Foundation (DFG))</t>
  </si>
  <si>
    <t>We thank E. Groner, P. Schuhmann and A. Sorowka for technical support, the Natural History Museum in Vienna for the loan of the Acfer 094 sample, and NASA JSC for the loan of the EET 92161 sample. US Antarctic meteorite samples were recovered by the Antarctic Search for Meteorites (ANSMET) programme funded by the National Science Foundation and NASA, and characterized and curated by the Department of Mineral Sciences of the Smithsonian Institution and Astromaterials Curation Office at NASA Johnson Space Center. This work was supported by the Max Planck Society and the Deutsche Forschungsgemeinschaft (J. L., grant LE3279/1-1) and has made use of NASA's Astrophysics Data System.</t>
  </si>
  <si>
    <t>2397-3366</t>
  </si>
  <si>
    <t>NAT ASTRON</t>
  </si>
  <si>
    <t>Nat. Astron.</t>
  </si>
  <si>
    <t>10.1038/s41550-019-0788-x</t>
  </si>
  <si>
    <t>IO1MN</t>
  </si>
  <si>
    <t>WOS:000479146100015</t>
  </si>
  <si>
    <t>Earl, N; Simmonds, I; Rudeva, I</t>
  </si>
  <si>
    <t>Earl, Nick; Simmonds, Ian; Rudeva, Irina</t>
  </si>
  <si>
    <t>Sub-synoptic scale features associated with extreme surface gusts during the South Australia Storm of September 2016-Part I: characteristics of the event</t>
  </si>
  <si>
    <t>WEATHER</t>
  </si>
  <si>
    <t>STING JETS; HEMISPHERE; VARIABILITY; CLIMATOLOGY; CYCLONES; PACIFIC; WINDS; TAIL; END</t>
  </si>
  <si>
    <t>Winds are one of the major meteorological contributors to deaths, damage and insured losses in Australia. A 'freak storm' hit the state of South Australia on 28 September 2016, causing state-wide blackouts and leaving 1.7 million people without power. In the first part of this two-part study, we analyse this event and find that it was indeed extreme, deepening more explosively than all but two Adelaide-affecting extratropical cyclones over the past 37 years and exhibiting the lowest central pressure. This generated hurricane force winds, with the central South Australia site of Neptune Island recording a gust of over 120kmh(-1). We show that this storm potentially contained a sting jet. Such jets are well known as a cause of major damage across Europe, and this is the first study which investigates whether a sting jet can be produced over Australia. The main deepening of the system occurred over the Great Australian Bight, so if a sting jet did form and make it to the surface, it was not the cause of the state-wide damage. However, the cyclone did contain numerous extreme gust-producing mesoscale features, as explored in part II of this paper (Earl and Simmons, 2018).</t>
  </si>
  <si>
    <t>[Earl, Nick; Simmonds, Ian; Rudeva, Irina] Univ Melbourne, Sch Earth Sci, Parkville, Vic, Australia; [Earl, Nick] Univ Tasmania, Inst Marine &amp; Antarctic Studies, Hobart, Tas, Australia</t>
  </si>
  <si>
    <t>University of Melbourne; University of Tasmania</t>
  </si>
  <si>
    <t>Earl, N (corresponding author), Univ Melbourne, Sch Earth Sci, Parkville, Vic, Australia.;Earl, N (corresponding author), Univ Tasmania, Inst Marine &amp; Antarctic Studies, Hobart, Tas, Australia.</t>
  </si>
  <si>
    <t>nearl@unimelb.edu.au</t>
  </si>
  <si>
    <t>Simmonds, Ian/0000-0002-4479-3255; Rudeva, Irina/0000-0001-9851-8198</t>
  </si>
  <si>
    <t>Australian Research Council (ARC) [DP16010997]; ARC [CE110001028]</t>
  </si>
  <si>
    <t>Australian Research Council (ARC)(Australian Research Council); ARC(Australian Research Council)</t>
  </si>
  <si>
    <t>Parts of this research were made possible by funding from the Australian Research Council (ARC) Grant DP16010997. Nick Earl was also supported by the ARC (CE110001028).</t>
  </si>
  <si>
    <t>0043-1656</t>
  </si>
  <si>
    <t>1477-8696</t>
  </si>
  <si>
    <t>Weather</t>
  </si>
  <si>
    <t>10.1002/wea.3385</t>
  </si>
  <si>
    <t>IO3CR</t>
  </si>
  <si>
    <t>WOS:000479258600007</t>
  </si>
  <si>
    <t>Dowling, CB; Welch, SA; Lyons, WB</t>
  </si>
  <si>
    <t>Dowling, Carolyn B.; Welch, Susan A.; Lyons, W. Berry</t>
  </si>
  <si>
    <t>The geochemistry of glacial deposits in Taylor Valley, Antarctica: Comparison to upper continental crustal abundances</t>
  </si>
  <si>
    <t>APPLIED GEOCHEMISTRY</t>
  </si>
  <si>
    <t>polar dry-based glaciers; Geochemistry; Glacial deposits; Taylor valley; Antarctica</t>
  </si>
  <si>
    <t>DRY VALLEYS; ICE-SHEET; ROSS SEA; SILICICLASTIC SEDIMENTS; EVOLUTION; TRANSPORT; STREAMS; PETROGENESIS; DENUDATION; CHEMISTRY</t>
  </si>
  <si>
    <t>Wet-based glacial deposits have been used traditionally as an analog for upper continental crust (UCC) abundances. To provide more information on the validity of using glacial deposits from wet-based glaciers, samples deposited by the dry-based polar glaciers located in Taylor Valley, Antarctica, were collected. Stream channel sediments, comprised of igneous, metamorphic, and sedimentary rocks initially deposited as glacial tills by polar glaciers, were analyzed by XRF, ICP-MS, and SEM. Based on the Chemical Index of Alteration values and A-CN-K ternary diagram, there are low levels of chemical weathering in these tills. Additionally, major and trace element geochemical data are compared to the average UCC values. The observed discrepancies between the mean UCC and Antarctic samples develop from the existence of mafic components, most likely the McMurdo Volcanic Group and Ferrar Dolerite, being present in the Taylor Valley tills. Even though the mafic material typically comprises 3-7% of the till, the volcanic rocks have a significant influence on the till's bulk geochemistry. The existence of this mafic fraction in the dry-based glacial tills results from the reduced rate of weathering, as compared to wet-based glaciers. Geochemical analyses of the dry-based glacial tills in polar deserts, such as those found in Taylor Valley, may provide a better representative composition of the original material than wet-based glaciers and need to be incorporated into upper continental crust calculations.</t>
  </si>
  <si>
    <t>[Dowling, Carolyn B.] Ball State Univ, Dept Geol Sci, 2000 West Univ Ave, Muncie, IN 47306 USA; [Welch, Susan A.; Lyons, W. Berry] Ohio State Univ, Sch Earth Sci, 125 South Oval Mall, Columbus, OH 43210 USA; [Welch, Susan A.; Lyons, W. Berry] Ohio State Univ, Byrd Polar &amp; Climate Res Ctr, 108 Scott Hall, Columbus, OH 43210 USA</t>
  </si>
  <si>
    <t>Ball State University; University System of Ohio; Ohio State University; University System of Ohio; Ohio State University</t>
  </si>
  <si>
    <t>Welch, SA (corresponding author), Ohio State Univ, Sch Earth Sci, 125 South Oval Mall, Columbus, OH 43210 USA.</t>
  </si>
  <si>
    <t>cbdowling@bsu.edu; welch.318@osu.edu; lyons.142@osu.edu</t>
  </si>
  <si>
    <t>Welch, Susan/0000-0002-2890-0065</t>
  </si>
  <si>
    <t>NSF [OPP-9813061, ANT-0423595]</t>
  </si>
  <si>
    <t>NSF(National Science Foundation (NSF))</t>
  </si>
  <si>
    <t>This work was supported by NSF grants OPP-9813061 and ANT-0423595. We thank Ms. J. Gudding Martin for help in collecting the samples, Ms. Kathleen Welch for completing the grain size analysis, Dr. C. Gardner and Ms. A. Balakrishnan for their assistance with the graphics, and Dr. K. Neumann for his reviews of the original paper. We are especially indebted to Dr. B. P. Roser and the anonymous reviewers of the original manuscript whose comments and ideas greatly improved the manuscript. SEM analysis were conducted in the SEMCAL laboratory at the Ohio State University.</t>
  </si>
  <si>
    <t>0883-2927</t>
  </si>
  <si>
    <t>APPL GEOCHEM</t>
  </si>
  <si>
    <t>Appl. Geochem.</t>
  </si>
  <si>
    <t>10.1016/j.apgeochem.2019.05.006</t>
  </si>
  <si>
    <t>IL0KK</t>
  </si>
  <si>
    <t>WOS:000476985500008</t>
  </si>
  <si>
    <t>Scheffers, BR; Pecl, G</t>
  </si>
  <si>
    <t>Scheffers, Brett R.; Pecl, Gretta</t>
  </si>
  <si>
    <t>Persecuting, protecting or ignoring biodiversity under climate change</t>
  </si>
  <si>
    <t>NATURE CLIMATE CHANGE</t>
  </si>
  <si>
    <t>CONSERVATION ISSUES; KIRTLANDS WARBLER; RANGE EXPANSION; MANAGEMENT; COLONIZATION; CHALLENGES; SHIFTS</t>
  </si>
  <si>
    <t>A climate-driven global redistribution of species is currently underway. As species alter their geographical distributions under climate change, many will not only cross into new habitats but also new geopolitical areas. In this Perspective, we discuss the historical archetypes of managing species redistribution-persecution, protection or ignorance-which points to diverse decisions and outcomes based on a balance of societal and ecological valuation. We build the case for increasing transboundary monitoring and management of species, and for shared governance agreements that are global in scope, consisting of legally binding and biologically defensible contracts among partner countries, in what would be a critical step for the future conservation of all species.</t>
  </si>
  <si>
    <t>[Scheffers, Brett R.] Univ Florida, Inst Food &amp; Agr Sci, Dept Wildlife Ecol &amp; Conservat, Gainesville, FL 32611 USA; [Pecl, Gretta] Inst Marine &amp; Antarctic Studies, Hobart, Tas, Australia; [Pecl, Gretta] Univ Tasmania, Ctr Marine Socioecol, Hobart, Tas, Australia</t>
  </si>
  <si>
    <t>State University System of Florida; University of Florida; University of Tasmania; University of Tasmania</t>
  </si>
  <si>
    <t>Scheffers, BR (corresponding author), Univ Florida, Inst Food &amp; Agr Sci, Dept Wildlife Ecol &amp; Conservat, Gainesville, FL 32611 USA.</t>
  </si>
  <si>
    <t>brett.scheffers@ufl.edu</t>
  </si>
  <si>
    <t>Scheffers, Brett R/L-2585-2014; Pecl, Gretta/D-7267-2011</t>
  </si>
  <si>
    <t>Pecl, Gretta/0000-0003-0192-4339</t>
  </si>
  <si>
    <t>ARC Future Fellowship; Oak Ridge Associate Universities via the Ralph E. Powe Junior Faculty Enhancement Award</t>
  </si>
  <si>
    <t>ARC Future Fellowship(Australian Research Council); Oak Ridge Associate Universities via the Ralph E. Powe Junior Faculty Enhancement Award</t>
  </si>
  <si>
    <t>We are grateful to A. Abolhassani and B. Haas for researching information for Fig. 4. T. Bryant was instrumental in creation of the other figures. G. P. was supported by an ARC Future Fellowship; and B. R. S. thanks Oak Ridge Associate Universities for their support via the Ralph E. Powe Junior Faculty Enhancement Award.</t>
  </si>
  <si>
    <t>1758-678X</t>
  </si>
  <si>
    <t>1758-6798</t>
  </si>
  <si>
    <t>NAT CLIM CHANGE</t>
  </si>
  <si>
    <t>Nat. Clim. Chang.</t>
  </si>
  <si>
    <t>10.1038/s41558-019-0526-5</t>
  </si>
  <si>
    <t>Environmental Sciences; Environmental Studies; Meteorology &amp; Atmospheric Sciences</t>
  </si>
  <si>
    <t>IM1HB</t>
  </si>
  <si>
    <t>WOS:000477738300011</t>
  </si>
  <si>
    <t>Zeng, YX</t>
  </si>
  <si>
    <t>Zeng, Yinxin</t>
  </si>
  <si>
    <t>Phylogenetic diversity of dimethylsulfoniopropionatedependent demethylase gene dmdA in distantly related bacteria isolated from Arctic and Antarctic marine environments</t>
  </si>
  <si>
    <t>ACTA OCEANOLOGICA SINICA</t>
  </si>
  <si>
    <t>dimethylsulfoniopropionate-dependent demethylase gene (dmdA); horizontal gene transfer; marine bacteria; Arctic; Antarctic</t>
  </si>
  <si>
    <t>TRANSFER AGENT GENES; DIMETHYL SULFIDE; DMSP DEGRADATION; SP NOV.; SULFUR; DIMETHYLSULPHONIOPROPIONATE; PHYTOPLANKTON; WIDESPREAD; SEQUENCE; ABUNDANT</t>
  </si>
  <si>
    <t>Dimethylsulfoniopropionate (DMSP) is mainly produced by marine phytoplankton as an osmolyte, antioxidant, predator deterrent, or cryoprotectant. DMSP is also an important carbon and sulfur source for marine bacteria. Bacteria may metabolize DMSP via the demethylation pathway involving the DMSP demethylase gene (dmdA) or the cleavage pathway involving several different DMSP lyase genes. Most DMSP released into seawater is degraded by bacteria via demethylation. To test a hypothesis that the high gene frequency of dmdA among major marine taxa results in part from horizontal gene transfer (HGT) events, a total of thirty-one bacterial strains were isolated from Arctic Kongsfjorden seawater in this study. Analysis of 16S rRNA gene sequences showed that, except for strains BSw22118, BSw22131 and BSw22132 belonging to the genera Colwellia, Pseudomonas and Glaciecola, respectively, all bacteria fell into the genus Pseudoalteromonas. DmdA genes were detected in five distantly related bacterial strains, including four Arctic strains (Pseudoalteromonas sp. BSw22112, Colwellia sp. BSw22118, Pseudomonas sp. BSw22131 and Glaciecola sp. BSw22132) and one Antarctic strain (Roseicitreum antarcticum ZS2-28). Their dmdA genes showed significant similarities (97.7%-98.3%) to that of Ruegeria pomeroyi DSS-3, which was originally isolated from temperate coastal seawater. In addition, the sequence of the gene transfer agent (GTA) capsid protein gene (g5) detected in Antarctic strain ZS2-28 exhibited a genetically closely related to that of Ruegeria pomeroyi DSS-3. Among the five tested strains, only Pseudomonas sp. BSw22131 could grow using DMSP as the sole carbon source. The results of this study support the hypothesis of HGT for dmdA among taxonomically heterogeneous bacterioplankton, and suggest a wide distribution of functional gene (i.e., dmdA) in global marine environments.</t>
  </si>
  <si>
    <t>[Zeng, Yinxin] State Ocean Adm, Polar Res Inst China, Key Lab Polar Sci, Shanghai 200136, Peoples R China</t>
  </si>
  <si>
    <t>Polar Research Institute of China</t>
  </si>
  <si>
    <t>Zeng, YX (corresponding author), State Ocean Adm, Polar Res Inst China, Key Lab Polar Sci, Shanghai 200136, Peoples R China.</t>
  </si>
  <si>
    <t>yxzeng@yahoo.com</t>
  </si>
  <si>
    <t>National Natural Science Foundation of China [41476171]; Chinese Polar Environment Comprehensive Investigation and Assessment Program [CHINARE04-01]</t>
  </si>
  <si>
    <t>National Natural Science Foundation of China(National Natural Science Foundation of China (NSFC)); Chinese Polar Environment Comprehensive Investigation and Assessment Program</t>
  </si>
  <si>
    <t>The National Natural Science Foundation of China under contract No. 41476171; the Chinese Polar Environment Comprehensive Investigation and Assessment Program under contract No. CHINARE04-01.</t>
  </si>
  <si>
    <t>0253-505X</t>
  </si>
  <si>
    <t>1869-1099</t>
  </si>
  <si>
    <t>ACTA OCEANOL SIN</t>
  </si>
  <si>
    <t>Acta Oceanol. Sin.</t>
  </si>
  <si>
    <t>10.1007/s13131-019-1393-7</t>
  </si>
  <si>
    <t>IN5VL</t>
  </si>
  <si>
    <t>WOS:000478744600009</t>
  </si>
  <si>
    <t>Gui, DW; Pang, XP; Lei, RB; Zhao, X; Wang, J</t>
  </si>
  <si>
    <t>Gui, Dawei; Pang, Xiaoping; Lei, Ruibo; Zhao, Xi; Wang, Jia</t>
  </si>
  <si>
    <t>Changes in sea ice kinematics in the Arctic outflow region and their associations with Arctic Northeast Passage accessibility</t>
  </si>
  <si>
    <t>sea ice; Arctic Northeast Passage; Transpolar Drift Stream; atmospheric circulation indices</t>
  </si>
  <si>
    <t>LAPTEV SEA; DECADAL TRENDS; VARIABILITY; OSCILLATION; ATMOSPHERE; MOTION</t>
  </si>
  <si>
    <t>Amplification of climate warming in the Arctic is causing a dramatic retreat of sea ice, which means the Arctic sea routes are becoming increasingly accessible. This study used a satellite-derived sea ice motion product to quantify the kinematic features of sea ice in the Arctic outflow region which specially referred to the Fram Strait and to the north of the Northeast Passage (NEP). An observed trend of increased southward sea ice displacement from the central Arctic to the Fram Strait indicated enhancement of the Transpolar Drift Stream (TDS). In the regions to the north of the NEP, the long-term trend of northward sea ice speed in the Kara sector was +0.04 cm/s per year in spring. A significant statistical relationship was found between the NEP open period and the northward speed of the sea ice to the north of the NEP. The offshore advection of sea ice could account for the opening of sea routes by 33% and 15% in the Kara and Laptev sectors, respectively. The difference in sea level pressure across the TDS, i.e., the Central Arctic Index (CAI), presented more significant correlation than for the Arctic atmospheric Dipole Anomaly index with the open period of the NEP, and the CAI could explain the southward displacement of sea ice toward the Fram Strait by more than 45%. The impact from the summer positive CAI reinforces the thinning and mechanical weakening of the sea ice in the NEP region, which improves the navigability of the NEP.</t>
  </si>
  <si>
    <t>[Gui, Dawei; Pang, Xiaoping; Lei, Ruibo; Zhao, Xi] Wuhan Univ, Chinese Antarctic Ctr Surveying &amp; Mapping, Wuhan 430079, Hubei, Peoples R China; [Gui, Dawei; Lei, Ruibo] Polar Res Inst China, MNR Key Lab Polar Sci, Shanghai 200136, Peoples R China; [Wang, Jia] NOAA, Great Lakes Environm Res Lab, Ann Arbor, MI 48108 USA</t>
  </si>
  <si>
    <t>Wuhan University; Polar Research Institute of China; National Oceanic Atmospheric Admin (NOAA) - USA</t>
  </si>
  <si>
    <t>Lei, RB (corresponding author), Wuhan Univ, Chinese Antarctic Ctr Surveying &amp; Mapping, Wuhan 430079, Hubei, Peoples R China.;Lei, RB (corresponding author), Polar Res Inst China, MNR Key Lab Polar Sci, Shanghai 200136, Peoples R China.</t>
  </si>
  <si>
    <t>leiruibo@pric.org.cn</t>
  </si>
  <si>
    <t>zhao, xi/HJY-6017-2023</t>
  </si>
  <si>
    <t>Zhao, Xi/0000-0003-2274-891X; Gui, Dawei/0000-0002-9176-8415</t>
  </si>
  <si>
    <t>National Key Research and Development Program of China [2018YFA0605903, 2016YFC14003]; National Natural Science Foundation of China [41722605]</t>
  </si>
  <si>
    <t>National Key Research and Development Program of China; National Natural Science Foundation of China(National Natural Science Foundation of China (NSFC))</t>
  </si>
  <si>
    <t>The National Key Research and Development Program of China under contract Nos 2018YFA0605903 and 2016YFC14003; the National Natural Science Foundation of China under contract No. 41722605.</t>
  </si>
  <si>
    <t>10.1007/s13131-019-1451-1</t>
  </si>
  <si>
    <t>WOS:000478744600014</t>
  </si>
  <si>
    <t>Larue, M; Iles, D; Labrousse, S; Salas, L; Ballard, G; Ainley, D; Saenz, B</t>
  </si>
  <si>
    <t>Larue, Michelle; Iles, David; Labrousse, Sara; Salas, Leo; Ballard, Grant; Ainley, David; Saenz, Benjamin</t>
  </si>
  <si>
    <t>A possible Adelie penguin sub-colony on fast ice by Cape Crozier, Antarctica</t>
  </si>
  <si>
    <t>ANTARCTIC SCIENCE</t>
  </si>
  <si>
    <t>aerial survey; behaviour; high-resolution satellite imagery; nesting; Pygoscelis adeliae</t>
  </si>
  <si>
    <t>Adelie penguins are renowned for their natal philopatry on land-based colonies, requiring small pebbles to be used for nests. We report on an opportunistic observation via aerial survey, where hundreds of Adelie penguins were documented displaying nesting behaviours on fast ice 3 km off the coast of Cape Crozier, which is one of the largest colonies in the world. We counted 426 Adelie penguins engaging in behaviours of pair formation, spacing similarly to normal nest distributions and lying in divots in the ice that looked like nests. On our first visit, it was noticed that the guano stain was bright pink, consistent with krill consumption, but had shifted to green over the course of 2 weeks, indicating that the birds were fasting (a behaviour consistent with egg incubation). However, eggs were not observed. We posit four hypotheses that may explain the proximate causes of this behaviour and caution against future high-resolution satellite imagery interpretation due to the potential for confusing ice-nesting Adelie penguins with the presence of emperor penguin colonies.</t>
  </si>
  <si>
    <t>[Larue, Michelle] Univ Minnesota, Dept Earth Sci, 116 Church St SE, Minneapolis, MN 55455 USA; [Larue, Michelle] Univ Canterbury, Dept Geog, 724 Julius von Haast Bldg, Christchurch 8041, New Zealand; [Iles, David; Labrousse, Sara] Woods Hole Oceanog Inst, Mailstop 50, Woods Hole, MA 02543 USA; [Salas, Leo; Ballard, Grant] Point Blue Conservat Sci, 3820 Cypress Dr 11, Petaluma, CA 94954 USA; [Ainley, David] HT Harvey &amp; Associates Ecol Consulianis, 983 Univ Ave Bldg D, Los Gatos, CA 95032 USA; [Saenz, Benjamin] Acoust Consulting, Berkeley, CA USA</t>
  </si>
  <si>
    <t>University of Minnesota System; University of Minnesota Twin Cities; University of Canterbury; Woods Hole Oceanographic Institution</t>
  </si>
  <si>
    <t>Larue, M (corresponding author), Univ Minnesota, Dept Earth Sci, 116 Church St SE, Minneapolis, MN 55455 USA.;Larue, M (corresponding author), Univ Canterbury, Dept Geog, 724 Julius von Haast Bldg, Christchurch 8041, New Zealand.</t>
  </si>
  <si>
    <t>larue010@umn.edu</t>
  </si>
  <si>
    <t>Labrousse, Sara/0000-0002-8099-3254</t>
  </si>
  <si>
    <t>National Science Foundation [PLR 1543498, 1543541, 1744989]; Antarctic and Southern Ocean Coalition,; University of Minnesota; University of Canterbury; Woods Hole Oceanographic Institution</t>
  </si>
  <si>
    <t>National Science Foundation(National Science Foundation (NSF)); Antarctic and Southern Ocean Coalition,; University of Minnesota(University of Minnesota System); University of Canterbury; Woods Hole Oceanographic Institution</t>
  </si>
  <si>
    <t>We thank the National Science Foundation for funding (grant numbers PLR 1543498, 1543541 and 1744989), the US Antarctic Program for logistical support and DigitalGlobe, Inc., for satellite imagery. Further funding was provided by the Antarctic and Southern Ocean Coalition, University of Minnesota, University of Canterbury and Woods Hole Oceanographic Institution. Overflights of ASPA No. 124 were taken under Antarctic Conservation Act permit #2019-006. We also thank H. Lynch and anonymous reviewers who provided feedback on previous drafts of this manuscript.</t>
  </si>
  <si>
    <t>32 AVENUE OF THE AMERICAS, NEW YORK, NY 10013-2473 USA</t>
  </si>
  <si>
    <t>0954-1020</t>
  </si>
  <si>
    <t>1365-2079</t>
  </si>
  <si>
    <t>ANTARCT SCI</t>
  </si>
  <si>
    <t>Antarct. Sci.</t>
  </si>
  <si>
    <t>PII S095410201900018X</t>
  </si>
  <si>
    <t>10.1017/S095410201900018X</t>
  </si>
  <si>
    <t>Environmental Sciences; Geography, Physical; Geosciences, Multidisciplinary</t>
  </si>
  <si>
    <t>Environmental Sciences &amp; Ecology; Physical Geography; Geology</t>
  </si>
  <si>
    <t>IN3ZG</t>
  </si>
  <si>
    <t>WOS:000478614300002</t>
  </si>
  <si>
    <t>Parker, SJ; Mormede, S; Hanchet, SM; Devries, A; Canese, S; Ghigliotti, L</t>
  </si>
  <si>
    <t>Parker, S. J.; Mormede, S.; Hanchet, S. M.; Devries, A.; Canese, S.; Ghigliotti, L.</t>
  </si>
  <si>
    <t>Monitoring Antarctic toothfish in McMurdo Sound to evaluate the Ross Sea region Marine Protected Area</t>
  </si>
  <si>
    <t>Dissostichus mawsoni; effects of fishing; longline surveys; MPA; population heterogeneity; sea ice</t>
  </si>
  <si>
    <t>DISSOSTICHUS-MAWSONI BIOLOGY; LIFE-HISTORY; ECOLOGY</t>
  </si>
  <si>
    <t>We developed a random, stratified, vertical longline survey in McMurdo Sound, Antarctica, to compare the local age and size composition, diet and reproductive status of Antarctic toothfish (Dissostichus mawsoni) with those observed from a vessel-based survey of the southern Ross Sea shelf that includes a McMurdo Sound stratum. Results indicated that southern McMurdo Sound toothfish were larger and older than those a short distance away in northern McMurdo Sound. These data, in addition to recoveries of tagged fish, suggest that the large toothfish in McMurdo Sound may have limited mixing with the rest of the population. The potential effects of climate change and fishing in northern areas on toothfish abundance in McMurdo Sound will depend on the mechanism of toothfish recruitment to McMurdo Sound. Understanding the ecological relationships between McMurdo Sound toothfish and the larger population is required to predict these impacts. Furthermore, because toothfish predators (type C killer whales Orcinus orca, Weddell seals Leptonychotes weddellii) are abundant in the south-west margins of the Ross Sea, it is important to monitor toothfish in McMurdo Sound as part of the monitoring programme for the Ross Sea region Marine Protected Area.</t>
  </si>
  <si>
    <t>[Parker, S. J.; Hanchet, S. M.] NIWA, POB 893, Nelson 7010, New Zealand; [Mormede, S.] NIWA, Private Bag 14901, Wellington 6021, New Zealand; [Devries, A.] Univ Illinois, Urbana, IL 61801 USA; [Canese, S.] Italian Inst Environm Protect &amp; Res, BIOHBT Dept ISPRA, Via Vitaliano Brancati 48, I-00144 Rome, Italy; [Ghigliotti, L.] Natl Res Council Italy, IAS, Via Marini 6, I-16149 Genoa, Italy</t>
  </si>
  <si>
    <t>National Institute of Water &amp; Atmospheric Research (NIWA) - New Zealand; National Institute of Water &amp; Atmospheric Research (NIWA) - New Zealand; University of Illinois System; University of Illinois Urbana-Champaign; European Commission Joint Research Centre; EC JRC ISPRA Site; Consiglio Nazionale delle Ricerche (CNR)</t>
  </si>
  <si>
    <t>Parker, SJ (corresponding author), NIWA, POB 893, Nelson 7010, New Zealand.</t>
  </si>
  <si>
    <t>steve.parker@niwa.co.nz</t>
  </si>
  <si>
    <t>Ghigliotti, Laura/AAN-6843-2021; McMahon, Clive R/D-5713-2013; Canese, Simonepietro/AAA-5499-2019</t>
  </si>
  <si>
    <t>Ghigliotti, Laura/0000-0003-2139-1381; McMahon, Clive R/0000-0001-5241-8917; Canese, Simonepietro/0000-0001-6049-4506; Mormede, Sophie/0000-0003-4668-2046</t>
  </si>
  <si>
    <t>project DISMAS (PNRA) [2015/B1.02]; MPI project [ANT2015/01]</t>
  </si>
  <si>
    <t>project DISMAS (PNRA); MPI project</t>
  </si>
  <si>
    <t>We thank the Italian National Programme of Antarctic Research (PNRA) for providing L.G. and S.C. with the opportunity to participate in the survey under the project DISMAS (PNRA Project 2015/B1.02). We thank E. Carlig for diet data from McMurdo Sound and C. Denechaud for diet analysis of the Ross Sea shelf survey samples. We thank Antarctica New Zealand for excellent logistic support. Funding for the sea ice-based survey was provided by MPI project ANT2015/01. We thank the members of the New Zealand Ministry for Primary Industries Antarctic Working Group and the reviewers for their constructive comments on this paper.</t>
  </si>
  <si>
    <t>PII S0954102019000245</t>
  </si>
  <si>
    <t>10.1017/S0954102019000245</t>
  </si>
  <si>
    <t>WOS:000478614300003</t>
  </si>
  <si>
    <t>Câmara, PEAS; Soares, AER; Henriques, DK; Peralta, DF; Bordin, J; Carvalho-Silva, M; Stech, M</t>
  </si>
  <si>
    <t>Camara, Paulo E. A. S.; Soares, Abel E. R.; Henriques, Diego Knop; Peralta, Denilson Fernandes; Bordin, Jucara; Carvalho-Silva, Micheline; Stech, Michael</t>
  </si>
  <si>
    <t>New insights into the species diversity of Bartramia Hedw. (Bryophyta) in Antarctica</t>
  </si>
  <si>
    <t>Bartramia ithyphylla; Bartramia patens; Bartramia subsymmetrica; bipolar species; mosses</t>
  </si>
  <si>
    <t>PHYLOGENY</t>
  </si>
  <si>
    <t>In Antarctica, the genus Bartramia has been restricted to a single polymorphic species, B. patens. Its status as a separate species or a subspecies of the Northern Hemisphere B. ithyphylla was debated. In the present paper, we combine analyses of chloroplast (trnS-rps4-trnT-trnL-trnF region) and nuclear ITS sequences with a reinvestigation of morphological characteristics to infer the identity of Antarctic Bartramia. Phylogenetic and Automatic Barcode Gap Discovery (ABGD) species delimitation analyses indicate that the species diversity of Bartramia in Antarctica has been underestimated, since two species were identified, both belonging to Bartramia sect. Pyridium. Of these, B. subsymmetrica is a new record of the species for Antarctica, as it has previously only been recorded from Livingston Island, South Shetlands. The other species is B. patens, which is separated from B. ithyphylla by newly inferred morphological characteristics and is a sister species to the latter in the molecular phylogenetic analyses. Consequently, we consider B. ithyphylla to be a Northern Hemisphere instead of a bipolar species. The suggested conspecificity of both taxa into one species in the ABGD analysis is considered to result from overlumping by this species delimitation method. The delimitation of the three species of section Bartramia (B. halleriana, B. mossmaniana and B. pomiformis) and the circumscription of the genus Bartramia are discussed.</t>
  </si>
  <si>
    <t>[Camara, Paulo E. A. S.; Soares, Abel E. R.; Henriques, Diego Knop; Carvalho-Silva, Micheline] Univ Brasilia, Dept Bot, Campus Univ Darcy Ribeiro, BR-70910900 Brasilia, DF, Brazil; [Peralta, Denilson Fernandes] Inst Bot, Av Miguel Stefano 3687, BR-04301902 Sao Paulo, SP, Brazil; [Bordin, Jucara] Univ Estadual Rio Grande do Sul, Unidade Litoral Norte Osorio, Rua Machado Assis 1456, BR-95520000 Bage, RS, Brazil; [Carvalho-Silva, Micheline] Univ Fed Vales Jequitinhonha &amp; Mucuri, Inst Ciencias Agr, Av Vereador Joao Narciso 1380, BR-38610000 Unai, MG, Brazil; [Stech, Michael] Nat Biodivers Ctr, POB 9517, NL-2300 RA Leiden, Netherlands; [Stech, Michael] Leiden Univ, Leiden, Netherlands</t>
  </si>
  <si>
    <t>Universidade de Brasilia; Instituto de Botanica - Sao Paulo; Universidade Estadual do Rio Grande do Sul (UERGS); Universidade Federal dos Vales do Jequitinhonha e Mucuri (UFVJM); Naturalis Biodiversity Center; Leiden University - Excl LUMC; Leiden University</t>
  </si>
  <si>
    <t>Câmara, PEAS (corresponding author), Univ Brasilia, Dept Bot, Campus Univ Darcy Ribeiro, BR-70910900 Brasilia, DF, Brazil.</t>
  </si>
  <si>
    <t>paducamara@gmail.com</t>
  </si>
  <si>
    <t>Peralta, Denilson F/D-3777-2015; Camara, Paulo/GPP-2054-2022; Bordin, Juçara/CAF-1661-2022</t>
  </si>
  <si>
    <t>Camara, Paulo/0000-0002-3944-996X; Silva, Micheline/0000-0002-2389-3804; Bordin, Jucara/0000-0002-6964-7334; Henriques, Diego Knop/0000-0003-2839-8877</t>
  </si>
  <si>
    <t>Brazilian Antarctic Program MCTI/CNPq - PROANTAR</t>
  </si>
  <si>
    <t>Financial support from the Brazilian Antarctic Program MCTI/CNPq - PROANTAR is gratefully acknowledged. We thank the Brazilian Navy and Air Force, the Spanish Polar Committee and the Bulgarian Antarctic station St Kliment Ohridski for logistical support. We thank Daiane Valente for her keen eye during collecting. The authors state no conflicts of interest or competing interests. We also thank the reviewers, who much improved our manuscript.</t>
  </si>
  <si>
    <t>PII S0954102019000257</t>
  </si>
  <si>
    <t>10.1017/S0954102019000257</t>
  </si>
  <si>
    <t>WOS:000478614300004</t>
  </si>
  <si>
    <t>Banchón, C; Borodulina, T; Posligua, P; Gualoto, M</t>
  </si>
  <si>
    <t>Banchon, Carlos; Borodulina, Tamara; Posligua, Paola; Gualoto, Miguel</t>
  </si>
  <si>
    <t>Biostabilization of sewage sludge in the Antarctic</t>
  </si>
  <si>
    <t>Antarctica is no longer a pristine environment due to atmospheric pollution, fuel spills, inadequate waste management and wastewater discharges from anthropogenic activities (Harris 1998, Stark et al. 2015). Approximately 37% of the permanent stations and 69% of the summer stations lack any form of sewage treatment (Grondahl et al. 2009). The characteristics of wastewater from stations are also of concern because they are a complex mix of contaminants containing human waste, cosmetics, viruses, dyes, detergents, medications, chemicals from laboratories and even microplastics (Bhardwaj et al. 2018). In Antarctica, treatment plants discharge treated water into the sea and then sludge is packed and sealed into drums for later shipment to Chile. Nevertheless, sewage sludge (c. 59-88% organic matter) could become a biosolid instead of being a waste if correctly stabilized. The Ecuadorian Antarctic station 'Pedro Vicente Maldonado' produced c. 200 kg of sewage sludge during expeditions in 2017 and 2018. Thus, the aim of the present study was to biostabilize sewage sludge using two methods (one thermal and one biological) at the Ecuadorian Antarctic station. As a result, the stabilization of sewage sludge produced a biosolid that was easier and more cost effective to transport, avoiding odour problems.</t>
  </si>
  <si>
    <t>[Banchon, Carlos; Borodulina, Tamara] Univ Agr Ecuador, Environm Engn, Agrarian Sci, 25 Julio &amp; P Jaramillo, Guayaquil 59304, Ecuador; [Posligua, Paola; Gualoto, Miguel] Univ Las Amer, Engn &amp; Agrarian Sci Environm Engn, J Queri 59302, Quito, Ecuador; [Posligua, Paola; Gualoto, Miguel] Fdn Desarrollo Maritimo Fluvial &amp; Lacustre FUNDEM, Direcc Gen Intereses Maritimos DIGE, Av Carlos V &amp; La Prensa, Quito 59302, Ecuador; [Posligua, Paola] Minist Nacl Def, Inst Antartico Ecuatoriano INAE, 9 Octubre &amp; Chile, Guayaquil 59316, Ecuador</t>
  </si>
  <si>
    <t>Universidad de Las Americas - Ecuador</t>
  </si>
  <si>
    <t>Banchón, C (corresponding author), Univ Agr Ecuador, Environm Engn, Agrarian Sci, 25 Julio &amp; P Jaramillo, Guayaquil 59304, Ecuador.</t>
  </si>
  <si>
    <t>cbanchon@uagraria.edu.ec</t>
  </si>
  <si>
    <t>Banchón, Carlos/M-2659-2019</t>
  </si>
  <si>
    <t>Banchón, Carlos/0000-0002-0388-1988</t>
  </si>
  <si>
    <t>PII S0954102019000221</t>
  </si>
  <si>
    <t>10.1017/S0954102019000221</t>
  </si>
  <si>
    <t>WOS:000478614300005</t>
  </si>
  <si>
    <t>Batchelor, CL; Dowdeswell, JA; Hogan, KA; Larter, RD; Parsons, E; West, O</t>
  </si>
  <si>
    <t>Batchelor, C. L.; Dowdeswell, J. A.; Hogan, K. A.; Larter, R. D.; Parsons, E.; West, O.</t>
  </si>
  <si>
    <t>Processes and patterns of glacier-influenced sedimentation and recent tidewater glacier dynamics in Darbel Bay, western Antarctic Peninsula</t>
  </si>
  <si>
    <t>bathymetry; moraines; submarine glacial landforms</t>
  </si>
  <si>
    <t>AMUNDSEN SEA EMBAYMENT; ICE-SHEET RETREAT; LANDFORMS; MORAINES; MAXIMUM</t>
  </si>
  <si>
    <t>Bathymetric data of unprecedented resolution are used to provide insights into former ice dynamics and glacial processes in a western Antarctic Peninsula embayment. An assemblage of submarine glacial landforms, which includes subglacially produced streamlined features and ice-marginal ridges, reveals the former pattern of ice flow and retreat. A group of more than 250 small (&lt; 1-3 m high, 10-20 m wide) and relatively evenly spaced recessional moraines was identified beyond the margin of Philippa Glacier. The small recessional moraines are interpreted to have been produced during short-lived, possibly annual re-advances of a grounded ice margin during overall retreat. This is the first time that these features have been shown to be part of the assemblage of landforms produced by tidewater glaciers on the Antarctic Peninsula. Glacier-terminus changes during the last four decades, mapped from LANDSAT satellite images, were analysed to determine whether the moraines were produced during recent still-stands or re-advances of Philippa Glacier and to further investigate the short-term (annual to decadal) variability in ice-marginal position in tidewater glacier systems. The asynchronous response of individual tidewater glaciers in Darbel Bay is interpreted to be controlled mainly by local topography rather than by glacier catchment-area size.</t>
  </si>
  <si>
    <t>[Batchelor, C. L.; Dowdeswell, J. A.] Univ Cambridge, Scott Polar Res Inst, Cambridge CB2 1ER, England; [Hogan, K. A.; Larter, R. D.] British Antarctic Survey, NERC, Madingley Rd, Cambridge CB3 0ET, England; [Parsons, E.; West, O.] British Royal Navy, London, England</t>
  </si>
  <si>
    <t>University of Cambridge; UK Research &amp; Innovation (UKRI); Natural Environment Research Council (NERC); NERC British Antarctic Survey</t>
  </si>
  <si>
    <t>Batchelor, CL (corresponding author), Univ Cambridge, Scott Polar Res Inst, Cambridge CB2 1ER, England.</t>
  </si>
  <si>
    <t>clb70@cam.ac.uk</t>
  </si>
  <si>
    <t>Batchelor, Christine/JCN-7543-2023</t>
  </si>
  <si>
    <t>Dowdeswell, Julian/0000-0003-1369-9482; Batchelor, Christine/0000-0002-6421-701X</t>
  </si>
  <si>
    <t>Newnham College, Cambridge; Polar Science for Planet Earth programme - Natural Environment Research Council, UK; NERC [bas0100030] Funding Source: UKRI</t>
  </si>
  <si>
    <t>Newnham College, Cambridge; Polar Science for Planet Earth programme - Natural Environment Research Council, UK; NERC(UK Research &amp; Innovation (UKRI)Natural Environment Research Council (NERC))</t>
  </si>
  <si>
    <t>We thank Captain Matthew Syrett, the officers and the crew of the British Royal Navy patrol ship HMS Protector for their help with data acquisition. CLB was in receipt of a Junior Research Fellowship from Newnham College, Cambridge, during this work. KAH and RDL are supported by the Polar Science for Planet Earth programme, funded by the Natural Environment Research Council, UK. We thank two anonymous reviewers for their helpful reviews of this manuscript.</t>
  </si>
  <si>
    <t>PII S0954102019000191</t>
  </si>
  <si>
    <t>10.1017/S0954102019000191</t>
  </si>
  <si>
    <t>WOS:000478614300006</t>
  </si>
  <si>
    <t>Baratta, GA; Accolla, M; Chaput, D; Cottin, H; Palumbo, ME; Strazzulla, G</t>
  </si>
  <si>
    <t>Baratta, G. A.; Accolla, M.; Chaput, D.; Cottin, H.; Palumbo, M. E.; Strazzulla, G.</t>
  </si>
  <si>
    <t>Photolysis of Cometary Organic Dust Analogs on the EXPOSE-R2 Mission at the International Space Station</t>
  </si>
  <si>
    <t>ASTROBIOLOGY</t>
  </si>
  <si>
    <t>Astrobiology; Astrochemistry; Comets; International Space Station; Photochemistry; Infrared spectroscopy</t>
  </si>
  <si>
    <t>ULTRACARBONACEOUS ANTARCTIC MICROMETEORITES; ION IRRADIATION; OORT CLOUD; ABSORPTION; NITROGEN; PARTICLES; CHEMISTRY; CARBON; IDENTIFICATION; SPECTROSCOPY</t>
  </si>
  <si>
    <t>We describe the results obtained on a set of organic samples that have been part of the experiment Photochemistry on the Space Station (PSS) on the EXPOSE-R2 mission conducted on the EXPOSE-R facility situated outside the International Space Station (ISS). The organic samples were prepared in the Catania laboratory by 200 keV He+ irradiation of N-2:CH4:CO icy mixtures deposited at 17 K, on vacuum UV (VUV) transparent MgF2 windows. This organic material contains different chemical groups, including triple CN bonds, that are thought to be of interest for astrobiology. It is widely accepted that materials similar to that produced in the laboratory by ion irradiation of frozen ices could be present in some astrophysical environments such as comets. Once expelled from comets, these materials are exposed to solar radiation during their interplanetary journey. In the young Solar System, some of these processed materials could have reached early Earth and contributed to its chemical and prebiotic evolution. The samples were exposed for 16 months to the unshielded solar UV photons. It was found that, if an interplanetary dust particle (IDP) containing organic material (50% vol) is large enough (&gt;20-30 mu m), relevant chemical groups, such as those containing the CN triple bond, can survive for many years (&gt;10(4) years) in the interplanetary medium.</t>
  </si>
  <si>
    <t>[Baratta, G. A.; Accolla, M.; Palumbo, M. E.; Strazzulla, G.] INAF Osservatorio Astrofis Catania, Via Santa Sofia 78, I-95123 Catania, Italy; [Chaput, D.] Ctr Spatial Toulouse, CNES, Toulouse, France; [Cottin, H.] Univ Paris Est Creteil, UMR CNRS 7583, LISA, Creteil, France; [Cottin, H.] Univ Paris Diderot, Inst Pierre Simon Lapl, Creteil, France</t>
  </si>
  <si>
    <t>Istituto Nazionale Astrofisica (INAF); Universite Paris-Est-Creteil-Val-de-Marne (UPEC); Universite Paris Cite; Universite Paris Cite</t>
  </si>
  <si>
    <t>Baratta, GA (corresponding author), INAF Osservatorio Astrofis Catania, Via Santa Sofia 78, I-95123 Catania, Italy.</t>
  </si>
  <si>
    <t>gbaratta@oact.inaf.it</t>
  </si>
  <si>
    <t>Cottin, Hervé/M-6154-2019; Accolla, Mario/AAH-1675-2019; Baratta, Giuseppe/AAY-6188-2021</t>
  </si>
  <si>
    <t>Cottin, Hervé/0000-0001-9170-5265; Baratta, Giuseppe/0000-0002-3688-160X; Palumbo, MariaElisabetta/0000-0002-9122-491X; Accolla, Mario/0000-0002-9509-5967</t>
  </si>
  <si>
    <t>MARY ANN LIEBERT, INC</t>
  </si>
  <si>
    <t>NEW ROCHELLE</t>
  </si>
  <si>
    <t>140 HUGUENOT STREET, 3RD FL, NEW ROCHELLE, NY 10801 USA</t>
  </si>
  <si>
    <t>1531-1074</t>
  </si>
  <si>
    <t>1557-8070</t>
  </si>
  <si>
    <t>Astrobiology</t>
  </si>
  <si>
    <t>10.1089/ast.2018.1853</t>
  </si>
  <si>
    <t>Astronomy &amp; Astrophysics; Biology; Geosciences, Multidisciplinary</t>
  </si>
  <si>
    <t>Astronomy &amp; Astrophysics; Life Sciences &amp; Biomedicine - Other Topics; Geology</t>
  </si>
  <si>
    <t>IN3MO</t>
  </si>
  <si>
    <t>WOS:000478581200006</t>
  </si>
  <si>
    <t>Hwang, YJ; Jang, GI; Cho, BC; Lee, JI; Hwang, CY</t>
  </si>
  <si>
    <t>Hwang, Yeon Ju; Jang, Gwang Il; Cho, Byung Cheol; Lee, Jae Il; Hwang, Chung Yeon</t>
  </si>
  <si>
    <t>Shewanella psychromarinicola sp. nov., a psychrophilic bacterium isolated from pelagic sediment of the Ross Sea (Antarctica), and reclassification of Shewanella arctica Kim et al. 2012 as a later heterotypic synonym of Shewanella frigidimarina Bowman et al. 1997</t>
  </si>
  <si>
    <t>INTERNATIONAL JOURNAL OF SYSTEMATIC AND EVOLUTIONARY MICROBIOLOGY</t>
  </si>
  <si>
    <t>new species; Shewanella psychromarinicola; psychrophilic; pelagic sediment; Antarctic</t>
  </si>
  <si>
    <t>DNA-DNA HYBRIDIZATION; MARINE BACTERIUM; DATABASE; SEQUENCES; PHYLOGENY; ALGORITHM; TAXONOMY; PROPOSAL; QUALITY; GENERA</t>
  </si>
  <si>
    <t>Two Gram-stain-negative, rod-shaped, facultatively anaerobic, iron-reducing bacterial strains, designated M2(T) and R106, were isolated from pelagic surface-sediment of the Ross Sea, Antarctica. The 16S rRNA gene sequence analysis revealed that strains M2(T) and R106 were affiliated to the genus Shewanella and formed a distinct subline in a robust Glade encompassing Shewanella vesiculosa, Shewanella livingstonensis, Shewanella arctica and Shewanella frigidimarina with a range of sequence similarities of 98.1-98.9 %. Overall genome relatedness indices indicated that M2(T) and R106 represented a single genomic species, which was clearly distinguishable from the phylogenetically close relatives with lower values of species delineation thresholds. Cells of M2(T) grew optimally at 10-15 degrees C and pH 6.5 in the presence of 3.0-4.0 % (w/v) sea salts. The polar lipids of M2(T) comprised phosphatidylglycerol, phosphatidylethanolamine, two unidentified aminophospholipids, an unidentified aminolipid and an unidentified phospholipid. Quinones were Q-7, Q-8, MK-7 and MMK-7. The major cellular fatty acids (&gt;10 %) were C-16:1 omega 7c and/or C-16:1 omega 6c, C-16:0 and C-17:1 omega 8c. The DNA G+C content was 42.2 mol%. On the basis of the phenotypic, phylogenetic, genomic and chemotaxonomic features, we propose the name Shewanella psychromarinicola sp. nov. with the type strain M2(T) (=KCCM 43257(T) =JCM 32090(T)) and the reclassification of S. arctica as a later heterotypic synonym of S. frigidimarina.</t>
  </si>
  <si>
    <t>[Hwang, Yeon Ju; Jang, Gwang Il; Hwang, Chung Yeon] Korea Polar Res Inst, Div Polar Life Sci, Incheon 21990, South Korea; [Hwang, Yeon Ju; Cho, Byung Cheol] Seoul Natl Univ, Microbial Oceanog Lab, Sch Earth &amp; Environm Sci, Seoul 08826, South Korea; [Hwang, Yeon Ju; Cho, Byung Cheol] Seoul Natl Univ, Res Inst Oceanog, Seoul 08826, South Korea; [Lee, Jae Il] Korea Polar Res Inst, Div Polar Paleoenvironm, Incheon 21990, South Korea</t>
  </si>
  <si>
    <t>Korea Polar Research Institute (KOPRI); Seoul National University (SNU); Seoul National University (SNU); Korea Polar Research Institute (KOPRI)</t>
  </si>
  <si>
    <t>Hwang, CY (corresponding author), Korea Polar Res Inst, Div Polar Life Sci, Incheon 21990, South Korea.</t>
  </si>
  <si>
    <t>cyhwang@kopri.re.kr</t>
  </si>
  <si>
    <t>Jang, Gwang il/C-9656-2014</t>
  </si>
  <si>
    <t>Hwang, Chung/0000-0001-9861-0197</t>
  </si>
  <si>
    <t>Korea Polar Research Institute [PE19030]; project BK 21+ of the Korean government (BCC)</t>
  </si>
  <si>
    <t>Korea Polar Research Institute(Korea Polar Research Institute of Marine Research Placement (KOPRI)); project BK 21+ of the Korean government (BCC)</t>
  </si>
  <si>
    <t>This work was supported by a grant of Korea Polar Research Institute (PE19030) and by the project BK 21+ of the Korean government (BCC).</t>
  </si>
  <si>
    <t>MICROBIOLOGY SOC</t>
  </si>
  <si>
    <t>CHARLES DARWIN HOUSE, 12 ROGER ST, LONDON WC1N 2JU, ERKS, ENGLAND</t>
  </si>
  <si>
    <t>1466-5026</t>
  </si>
  <si>
    <t>1466-5034</t>
  </si>
  <si>
    <t>INT J SYST EVOL MICR</t>
  </si>
  <si>
    <t>Int. J. Syst. Evol. Microbiol.</t>
  </si>
  <si>
    <t>10.1099/ijsem.0.003490</t>
  </si>
  <si>
    <t>IN6JY</t>
  </si>
  <si>
    <t>WOS:000478785800035</t>
  </si>
  <si>
    <t>Cook, G; Teufel, A; Kaki, I; Li, W; Wang, X; Priscu, J; Morgan-Kiss, R</t>
  </si>
  <si>
    <t>Cook, Greg; Teufel, Amber; Kaki, Isha; Li, Wei; Wang, Xin; Priscu, John; Morgan-Kiss, Rachael</t>
  </si>
  <si>
    <t>The Antarctic psychrophiles Chlamydomonas spp. UWO241 and ICE-MDV exhibit differential restructuring of photosystem I in response to iron</t>
  </si>
  <si>
    <t>PHOTOSYNTHESIS RESEARCH</t>
  </si>
  <si>
    <t>Antarctica; Cyclic electron flow; Iron; Photosystem I; Psychrophile</t>
  </si>
  <si>
    <t>CYCLIC ELECTRON FLOW; MCMURDO DRY VALLEYS; PROTON MOTIVE FORCE; SYNECHOCOCCUS SP; LAKE BONNEY; THYLAKOID MEMBRANE; GREEN-ALGA; DEFICIENCY; PHYTOPLANKTON; PHOTOSYNTHESIS</t>
  </si>
  <si>
    <t>Chlamydomonas sp. UWO241 is a psychrophilic alga isolated from the deep photic zone of a perennially ice-covered Antarctic lake (east lobe Lake Bonney, ELB). Past studies have shown that C. sp. UWO241 exhibits constitutive downregulation of photosystem I (PSI) and high rates of PSI-associated cyclic electron flow (CEF). Iron levels in ELB are in the nanomolar range leading us to hypothesize that the unusual PSI phenotype of C. sp. UWO241 could be a response to chronic Fe-deficiency. We studied the impact of Fe availability in C. sp. UWO241, a mesophile, C. reinhardtii SAG11-32c, as well as a psychrophile isolated from the shallow photic zone of ELB, Chlamydomonas sp. ICE-MDV. Under Fe-deficiency, PsaA abundance and levels of photooxidizable P700 (Delta A(820)/A(820)) were reduced in both psychrophiles relative to the mesophile. Upon increasing Fe, C. sp. ICE-MDV and C. reinhardtii exhibited restoration of PSI function, while C. sp. UWO241 exhibited only moderate changes in PSI activity and lacked almost all LHCI proteins. Relative to Fe-excess conditions (200 mu M Fe2+), C. sp. UWO241 grown in 18 mu M Fe2+ exhibited downregulation of light harvesting and photosystem core proteins, as well as upregulation of a bestrophin-like anion channel protein and two CEF-associated proteins (NdsS, PGL1). Key enzymes of starch synthesis and shikimate biosynthesis were also upregulated. We conclude that in response to variable Fe availability, the psychrophile C. sp. UWO241 exhibits physiological plasticity which includes restructuring of the photochemical apparatus, increased PSI-associated CEF, and shifts in downstream carbon metabolism toward storage carbon and secondary stress metabolites.</t>
  </si>
  <si>
    <t>[Cook, Greg; Teufel, Amber; Kaki, Isha; Wang, Xin; Morgan-Kiss, Rachael] Miami Univ, Dept Microbiol, 700 E High St,32 Pearson Hall, Oxford, OH 45056 USA; [Li, Wei; Priscu, John] Montana State Univ, Land Resources &amp; Environm Sci, Bozeman, MT 59717 USA</t>
  </si>
  <si>
    <t>University System of Ohio; Miami University; Montana State University System; Montana State University Bozeman</t>
  </si>
  <si>
    <t>Morgan-Kiss, R (corresponding author), Miami Univ, Dept Microbiol, 700 E High St,32 Pearson Hall, Oxford, OH 45056 USA.</t>
  </si>
  <si>
    <t>morganr2@miamioh.edu</t>
  </si>
  <si>
    <t>Morgan-kiss, Rachael/0000-0003-4783-5358</t>
  </si>
  <si>
    <t>NSF [OPP-1056396, OPP-1637708, PLR-1637708]; DOE [DE-SC0019138]; U.S. Department of Energy (DOE) [DE-SC0019138] Funding Source: U.S. Department of Energy (DOE)</t>
  </si>
  <si>
    <t>NSF(National Science Foundation (NSF)); DOE(United States Department of Energy (DOE)); U.S. Department of Energy (DOE)(United States Department of Energy (DOE))</t>
  </si>
  <si>
    <t>GC, IK, AT, WL, XW and RM-K were supported by NSF Grants OPP-1056396 and -1637708, DOE Grant DE-SC0019138. JP was supported by NSF Grant PLR-1637708.</t>
  </si>
  <si>
    <t>0166-8595</t>
  </si>
  <si>
    <t>1573-5079</t>
  </si>
  <si>
    <t>PHOTOSYNTH RES</t>
  </si>
  <si>
    <t>Photosynth. Res.</t>
  </si>
  <si>
    <t>10.1007/s11120-019-00621-0</t>
  </si>
  <si>
    <t>IN4VQ</t>
  </si>
  <si>
    <t>WOS:000478675500007</t>
  </si>
  <si>
    <t>Schroeter, BJE; Reid, P; Bindoff, NL; Michael, K</t>
  </si>
  <si>
    <t>Schroeter, Benjamin J. E.; Reid, Phil; Bindoff, Nathaniel L.; Michael, Kelvin</t>
  </si>
  <si>
    <t>Antarctic Verification of the Australian Numerical Weather Prediction Model</t>
  </si>
  <si>
    <t>WEATHER AND FORECASTING</t>
  </si>
  <si>
    <t>Antarctica; Forecast verification; skill; Numerical weather prediction; forecasting; Operational forecasting</t>
  </si>
  <si>
    <t>ABSOLUTE ERROR MAE; PERFORMANCE; SCHEME; RMSE</t>
  </si>
  <si>
    <t>The Australian Community Climate and Earth-System Simulator-Global (ACCESS-G) features an atmosphere-only numerical weather prediction (NWP) suite used operationally by the Australian Bureau of Meteorology to forecast weather conditions for the Antarctic. The current operational version of the forecast model, the Australian Parallel Suite v2 (APS2), has been used operationally since early 2016. To date, the performance of the model has been largely unverified for the Antarctic and anecdotal reports suggest challenges for model performance in the region. This study investigates the performance of ACCESS-G south of 50 degrees S over 2017 and finds that model performance degrades toward the poles and in proportion to forecast horizon against a range of performance metrics. The model exhibits persistent negative surface and mean sea level pressure biases around the Adelie Land coast, which is linked to the underrepresentation of model winds to the west, and driven by positive screen temperature biases that inhibit modeled katabatic outflow. These results suggest that an improved representation of boundary layer parameterization could be implemented to improve model performance in the region.</t>
  </si>
  <si>
    <t>[Schroeter, Benjamin J. E.] Inst Marine &amp; Antarctic Studies, Hobart, Tas, Australia; [Reid, Phil] Bur Meteorol, Hobart, Tas, Australia; [Bindoff, Nathaniel L.] Antarctic Climate &amp; Ecosyst Cooperat Res Ctr, Hobart, Tas, Australia; [Michael, Kelvin] Univ Tasmania, Hobart, Tas, Australia</t>
  </si>
  <si>
    <t>University of Tasmania; Bureau of Meteorology - Australia; Antarctic Climate &amp; Ecosystems Cooperative Research Centre (ACE CRC); University of Tasmania</t>
  </si>
  <si>
    <t>Schroeter, BJE (corresponding author), Inst Marine &amp; Antarctic Studies, Hobart, Tas, Australia.</t>
  </si>
  <si>
    <t>benjamin.schroeter@utas.edu.au</t>
  </si>
  <si>
    <t>Bindoff, Nathaniel Lee/C-8050-2011; Schroeter, Benjamin J. E./CAF-9223-2022; Bindoff, Nathaniel Lee/IVV-0333-2023; Schroeter, Benjamin/L-6874-2016</t>
  </si>
  <si>
    <t>Bindoff, Nathaniel Lee/0000-0001-5662-9519; Bindoff, Nathaniel Lee/0000-0001-5662-9519; Schroeter, Benjamin/0000-0002-0252-8090</t>
  </si>
  <si>
    <t>Australian Research Council's Special Research Initiative for the Antarctic Gateway Partnership [SR140300001]; Australian Government Research Training Program Scholarship through the University of Tasmania; Australian Government</t>
  </si>
  <si>
    <t>Australian Research Council's Special Research Initiative for the Antarctic Gateway Partnership(Australian Research Council); Australian Government Research Training Program Scholarship through the University of Tasmania(Australian Government); Australian Government(Australian Government)</t>
  </si>
  <si>
    <t>The authors wish to thank Chris Tingwell, Huqiang Zhang, and Tan Le from the Australian Government Bureau of Meteorology for their support in the acquisition and interpretation of model outputs. This research was supported under Australian Research Council's Special Research Initiative for the Antarctic Gateway Partnership (Project ID SR140300001). Benjamin J. E. Schroeter was supported by an Australian Government Research Training Program Scholarship through the University of Tasmania and by the resources of the Australian Research Council Centre of Excellence for Climate System Science (ARCCSS). This research was undertaken with the assistance of resources and services from the National Computational Infrastructure (NCI), which is supported by the Australian Government. Data were made available by the Australian Government Bureau of Meteorology.</t>
  </si>
  <si>
    <t>0882-8156</t>
  </si>
  <si>
    <t>1520-0434</t>
  </si>
  <si>
    <t>WEATHER FORECAST</t>
  </si>
  <si>
    <t>Weather Forecast.</t>
  </si>
  <si>
    <t>10.1175/WAF-D-18-0171.1</t>
  </si>
  <si>
    <t>IN8BG</t>
  </si>
  <si>
    <t>Green Accepted, Green Submitted, Bronze</t>
  </si>
  <si>
    <t>WOS:000478905000001</t>
  </si>
  <si>
    <t>Cytrynbaum, EG; Small, CM; Kwon, RY; Hung, B; Kent, D; Yan, YL; Knope, ML; Bremiller, RA; Desvignes, T; Kimmel, CB</t>
  </si>
  <si>
    <t>Cytrynbaum, Eli G.; Small, Clayton M.; Kwon, Ronald Y.; Hung, Boaz; Kent, Danny; Yan, Yi-Lin; Knope, Matthew L.; Bremiller, Ruth A.; Desvignes, Thomas; Kimmel, Charles B.</t>
  </si>
  <si>
    <t>Developmental tuning of mineralization drives morphological diversity of gill cover bones in sculpins and their relatives</t>
  </si>
  <si>
    <t>EVOLUTION LETTERS</t>
  </si>
  <si>
    <t>Convergence; Cottoidei; evo-devo; heterochrony; ossification; osteoid; radiation; Zoarcidae</t>
  </si>
  <si>
    <t>PARALLEL EVOLUTION; SHAPE; DIVERSIFICATION; SIZE; PHYLOGENETICS; PROLIFERATION; EXPRESSION; DEFICIENT; COTTOIDEI; REDUCTION</t>
  </si>
  <si>
    <t>The role of osteoblast placement in skeletal morphological variation is relatively well understood, but alternative developmental mechanisms affecting bone shape remain largely unknown. Specifically, very little attention has been paid to variation in later mineralization stages of intramembranous ossification as a driver of morphological diversity. We discover the occurrence of specific, sometimes large, regions of nonmineralized osteoid within bones that also contain mineralized tissue. We show through a variety of histological, molecular, and tomographic tests that this extended osteoid material is most likely nonmineralized bone matrix. This tissue type is a significant determinant of gill cover bone shape in the teleostean suborder Cottoidei. We demonstrate repeated evolution of extended osteoid in Cottoidei through ancestral state reconstruction and test for an association between extended osteoid variation and habitat differences among species. Through measurement of extended osteoid at various stages of gill cover development in species across the phylogeny, we gain insight into possible evolutionary developmental origins of the trait. We conclude that this fine-tuned developmental regulation of bone matrix mineralization reflects heterochrony at multiple biological levels and is a novel mechanism for the evolution of diversity in skeletal morphology. This research lays the groundwork for a new model in which to study bone mineralization and evolutionary developmental processes, particularly as they may relate to adaptation during a prominent evolutionary radiation of fishes.</t>
  </si>
  <si>
    <t>[Cytrynbaum, Eli G.; Yan, Yi-Lin; Bremiller, Ruth A.; Desvignes, Thomas; Kimmel, Charles B.] Univ Oregon, Inst Neurosci, Eugene, OR 97403 USA; [Small, Clayton M.] Univ Oregon, Inst Ecol &amp; Evolut, Eugene, OR 97403 USA; [Kwon, Ronald Y.] Univ Washington, Dept Orthoped &amp; Sports Med, Seattle, WA 98104 USA; [Kwon, Ronald Y.] Univ Washington, Inst Stem Cell &amp; Regenerat Med, Seattle, WA 98104 USA; [Kwon, Ronald Y.] Univ Washington, Dept Mech Engn, Seattle, WA 98104 USA; [Hung, Boaz; Kent, Danny] Ocean Wise, Vancouver Aquarium, Vancouver, BC V6G 3E2, Canada; [Knope, Matthew L.] Univ Hawaii, Dept Biol, Hilo, HI 96720 USA</t>
  </si>
  <si>
    <t>University of Oregon; University of Oregon; University of Washington; University of Washington Seattle; University of Washington; University of Washington Seattle; University of Washington; University of Washington Seattle; University of Hawaii System; University Hawaii Hilo</t>
  </si>
  <si>
    <t>Small, CM (corresponding author), Univ Oregon, Inst Ecol &amp; Evolut, Eugene, OR 97403 USA.</t>
  </si>
  <si>
    <t>csmall@uoregon.edu</t>
  </si>
  <si>
    <t>Thomas, Desvignes/AAX-3526-2020</t>
  </si>
  <si>
    <t>Thomas, Desvignes/0000-0001-5126-8785; Small, Clayton/0000-0003-1615-7590</t>
  </si>
  <si>
    <t>National Science Foundation [IOS-0818738, PLR-1543383]; National Institutes of Health NIDCR [R01 DE13834]; NIH NICHD [P01-HD022486]; NIH NCRR [RR032670]</t>
  </si>
  <si>
    <t>National Science Foundation(National Science Foundation (NSF)); National Institutes of Health NIDCR(United States Department of Health &amp; Human ServicesNational Institutes of Health (NIH) - USANIH National Institute of Dental &amp; Craniofacial Research (NIDCR)); NIH NICHD(United States Department of Health &amp; Human ServicesNational Institutes of Health (NIH) - USANIH Eunice Kennedy Shriver National Institute of Child Health &amp; Human Development (NICHD)); NIH NCRR(United States Department of Health &amp; Human ServicesNational Institutes of Health (NIH) - USANIH National Center for Research Resources (NCRR))</t>
  </si>
  <si>
    <t>We thank K. Clifford (Oregon Coast Aquarium) and members of the Kimmel and Cresko Labs at the University of Oregon for specimens, assistance with specimen collection, and/or helpful advice on the direction of this study. TD thanks the captain and crew of the ARSV L.M. Gould and personnel of the U.S. Antarctic Program for assistance with eelpout collections. N. MacLeod made available Mathematica workbooks for the extended eigenshape analysis. This work was supported by grants from the National Science Foundation (IOS-0818738 to CBK and PLR-1543383 to TD), the National Institutes of Health NIDCR (R01 DE13834 to CBK), and the NIH NICHD (P01-HD022486 to J. Eisen). CMS was supported by an NIH NCRR grant (RR032670) to W. Cresko. The authors declare no conflicts of interest.</t>
  </si>
  <si>
    <t>2056-3744</t>
  </si>
  <si>
    <t>EVOL LETT</t>
  </si>
  <si>
    <t>Evol. Lett.</t>
  </si>
  <si>
    <t>10.1002/evl3.128</t>
  </si>
  <si>
    <t>Evolutionary Biology</t>
  </si>
  <si>
    <t>IM6AJ</t>
  </si>
  <si>
    <t>WOS:000478074800005</t>
  </si>
  <si>
    <t>Dell'Acqua, O; Trebala, M; Chiantore, M; Hannula, SP</t>
  </si>
  <si>
    <t>Dell'Acqua, Ombretta; Trebala, Michal; Chiantore, Mariachiara; Hannula, Simo-Pekka</t>
  </si>
  <si>
    <t>Robustness of Adamussium colbecki shell to ocean acidification in a short-term exposure</t>
  </si>
  <si>
    <t>MARINE ENVIRONMENTAL RESEARCH</t>
  </si>
  <si>
    <t>Ocean acidification; pH; Benthos; Shell; SEM; Nanoindentation; Vickers; Adamussium colbecki; Antarctica</t>
  </si>
  <si>
    <t>BAY ROSS SEA; FISH TREMATOMUS-BERNACCHII; ELEVATED CO2 LEVELS; ANTARCTIC SCALLOP; MECHANICAL-PROPERTIES; MARINE BIVALVE; GLOBAL CHANGE; TEMPERATURE; INDENTATION; IMPACT</t>
  </si>
  <si>
    <t>Atmospheric pCO(2) has increased since the industrial revolution leading to a lowering of the ocean surface water pH, a phenomenon called ocean acidification (OA). OA is claimed to be a major threat for marine organisms and ecosystems and, particularly, for Polar regions. We explored the impact of OA on the shell mechanical properties of the Antarctic scallop Adamussium colbecki exposed for one month to acidified (pH 7.6) and natural conditions (unmanipulated littoral water), by performing Scanning Electron Microscopy, nanoindentation and Vickers indentation on the scallop shell. No effect of pH could be detected either in crystal deposition or in the mechanical properties. A. colbecki shell was found to be resistant to OA, which suggests this species to be able to face a climate change scenario that may threat the persistence of the endemic Antarctic species. Further investigation should be carried out in order to elucidate the destiny of this key species in light of global change.</t>
  </si>
  <si>
    <t>[Dell'Acqua, Ombretta; Chiantore, Mariachiara] Univ Genoa, Dept Earth Environm &amp; Life Sci DiSTAV, Genoa, Italy; [Trebala, Michal; Hannula, Simo-Pekka] Aalto Univ, Dept Chem &amp; Mat Sci, Espoo, Finland</t>
  </si>
  <si>
    <t>University of Genoa; Aalto University</t>
  </si>
  <si>
    <t>Dell'Acqua, O (corresponding author), Corso Europa 26, I-16132 Genoa, Italy.</t>
  </si>
  <si>
    <t>ombretta.dellacqua@gmail.com; michal.trebala@aalto.fi; mariachiara.chiantore@unige.it; simo-pekka.hannula@aalto.fi</t>
  </si>
  <si>
    <t>Hannula, Simo-Pekka V/G-2889-2012; Chiantore, Mariachiara/C-7070-2017; Trebala, Michal/M-7925-2016</t>
  </si>
  <si>
    <t>Chiantore, Mariachiara/0000-0002-5862-1470; Trebala, Michal/0000-0002-2200-7428</t>
  </si>
  <si>
    <t>Erasmus Plus Program 2016-2017; [PNRA 2013/AZ1.03]; [PNRA16_00105]</t>
  </si>
  <si>
    <t>Erasmus Plus Program 2016-2017; ;</t>
  </si>
  <si>
    <t>PNRA 2013/AZ1.03: Effetti dell'acidificazione sul benthos Antartico (ACAB).PNRA16_00105: ANTA_Biofilin.Erasmus Plus Program 2016-2017.None of the sponsors had a role in the study design, data collection and analysis, in the writing of the report and in the decision to submit the article for publication.</t>
  </si>
  <si>
    <t>0141-1136</t>
  </si>
  <si>
    <t>1879-0291</t>
  </si>
  <si>
    <t>MAR ENVIRON RES</t>
  </si>
  <si>
    <t>Mar. Environ. Res.</t>
  </si>
  <si>
    <t>10.1016/j.marenvres.2019.06.010</t>
  </si>
  <si>
    <t>Environmental Sciences; Marine &amp; Freshwater Biology; Toxicology</t>
  </si>
  <si>
    <t>Environmental Sciences &amp; Ecology; Marine &amp; Freshwater Biology; Toxicology</t>
  </si>
  <si>
    <t>IM0PL</t>
  </si>
  <si>
    <t>WOS:000477690600009</t>
  </si>
  <si>
    <t>Whittaker, JM</t>
  </si>
  <si>
    <t>Whittaker, Joanne M.</t>
  </si>
  <si>
    <t>Plateaus from seafloor spreading</t>
  </si>
  <si>
    <t>NATURE GEOSCIENCE</t>
  </si>
  <si>
    <t>RISE OCEANIC PLATEAU</t>
  </si>
  <si>
    <t>[Whittaker, Joanne M.] Univ Tasmania, Inst Marine &amp; Antarctic Studies, Hobart, Tas, Australia</t>
  </si>
  <si>
    <t>Whittaker, JM (corresponding author), Univ Tasmania, Inst Marine &amp; Antarctic Studies, Hobart, Tas, Australia.</t>
  </si>
  <si>
    <t>jo.whittaker@utas.edu.au</t>
  </si>
  <si>
    <t>Whittaker, Joanne/B-3695-2010</t>
  </si>
  <si>
    <t>Whittaker, Joanne/0000-0002-3170-3935</t>
  </si>
  <si>
    <t>75 VARICK ST, 9TH FLR, NEW YORK, NY 10013-1917 USA</t>
  </si>
  <si>
    <t>1752-0894</t>
  </si>
  <si>
    <t>1752-0908</t>
  </si>
  <si>
    <t>NAT GEOSCI</t>
  </si>
  <si>
    <t>Nat. Geosci.</t>
  </si>
  <si>
    <t>10.1038/s41561-019-0416-5</t>
  </si>
  <si>
    <t>IM3AN</t>
  </si>
  <si>
    <t>WOS:000477864200004</t>
  </si>
  <si>
    <t>Neukom, R; Barboza, LA; Erb, MP; Shi, F; Emile-Geay, J; Evans, MN; Franke, J; Kaufman, DS; Lücke, L; Rehfeld, K; Schurer, A; Zhu, F; Brönnimann, S; Hakim, GJ; Henley, BJ; Ljungqvist, FC; McKay, N; Valler, V; von Gunten, L</t>
  </si>
  <si>
    <t>Neukom, Raphael; Barboza, Luis A.; Erb, Michael P.; Shi, Feng; Emile-Geay, Julien; Evans, Michael N.; Franke, Jorg; Kaufman, Darrell S.; Lucke, Lucie; Rehfeld, Kira; Schurer, Andrew; Zhu, Feng; Bronnimann, Stefan; Hakim, Gregory J.; Henley, Benjamin J.; Ljungqvist, Fredrik Charpentier; McKay, Nicholas; Valler, Veronika; von Gunten, Lucien</t>
  </si>
  <si>
    <t>Pages 2k Consortium</t>
  </si>
  <si>
    <t>Consistent multidecadal variability in global temperature reconstructions and simulations over the Common Era</t>
  </si>
  <si>
    <t>NORTHERN-HEMISPHERE TEMPERATURE; LAST MILLENNIUM; SURFACE-TEMPERATURE; PART I; FIELD RECONSTRUCTION; CLIMATE VARIABILITY; VOLCANIC-ERUPTIONS; SYSTEM MODELS; PATTERNS; RESOLUTION</t>
  </si>
  <si>
    <t>Multidecadal surface temperature changes may be forced by natural as well as anthropogenic factors, or arise unforced from the climate system. Distinguishing these factors is essential for estimating sensitivity to multiple climatic forcings and the amplitude of the unforced variability. Here we present 2,000-year-long global mean temperature reconstructions using seven different statistical methods that draw from a global collection of temperature-sensitive palaeoclimate records. Our reconstructions display synchronous multidecadal temperature fluctuations that are coherent with one another and with fully forced millennial model simulations from the Coupled Model Intercomparison Project Phase 5 across the Common Era. A substantial portion of pre-industrial (1300-1800 CE) variability at multidecadal timescales is attributed to volcanic aerosol forcing. Reconstructions and simulations qualitatively agree on the amplitude of the unforced global mean multidecadal temperature variability, thereby increasing confidence in future projections of climate change on these timescales. The largest warming trends at timescales of 20 years and longer occur during the second half of the twentieth century, highlighting the unusual character of the warming in recent decades.</t>
  </si>
  <si>
    <t>[Neukom, Raphael; Franke, Jorg; Bronnimann, Stefan; Valler, Veronika] Univ Bern, Oeschger Ctr Climate Change Res, Bern, Switzerland; [Neukom, Raphael; Franke, Jorg; Bronnimann, Stefan; Valler, Veronika] Univ Bern, Inst Geog, Bern, Switzerland; [Barboza, Luis A.] Univ Costa Rica, Escuela Matemat CIMPA, San Jose, Costa Rica; [Erb, Michael P.; Kaufman, Darrell S.; McKay, Nicholas] No Arizona Univ, Sch Earth &amp; Sustainabil, Flagstaff, AZ 86011 USA; [Shi, Feng] Chinese Acad Sci, Inst Geol &amp; Geophys, Key Lab Cenozo Geol &amp; Environm, Beijing, Peoples R China; [Shi, Feng] CAS Ctr Excellence Life &amp; Paleoenvironm, Beijing, Peoples R China; [Emile-Geay, Julien; Zhu, Feng] Univ Southern Calif, Dept Earth Sci, Los Angeles, CA USA; [Evans, Michael N.] Univ Maryland, Dept Geol, College Pk, MD 20742 USA; [Evans, Michael N.] Univ Maryland, ESSIC, College Pk, MD 20742 USA; [Lucke, Lucie; Schurer, Andrew] Univ Edinburgh, Sch Geosci, Edinburgh, Midlothian, Scotland; [Rehfeld, Kira] British Antarctic Survey, Cambridge, England; [Rehfeld, Kira] Heidelberg Univ, Inst Environm Phys, Heidelberg, Germany; [Hakim, Gregory J.] Univ Washington, Dept Atmospher Sci, Seattle, WA 98195 USA; [Henley, Benjamin J.] Univ Melbourne, Sch Earth Sci, Melbourne, Vic, Australia; [Henley, Benjamin J.] Monash Univ, Sch Earth Atmosphere &amp; Environm, Clayton, Vic, Australia; [Henley, Benjamin J.] Univ Melbourne, ARC Ctr Excellence Climate Extremes, Melbourne, Vic, Australia; [Ljungqvist, Fredrik Charpentier] Stockholm Univ, Dept Hist, Stockholm, Sweden; [Ljungqvist, Fredrik Charpentier] Stockholm Univ, Bolin Ctr Climate Res, Stockholm, Sweden; [Ljungqvist, Fredrik Charpentier] Univ Cambridge, Dept Geog, Cambridge, England; [von Gunten, Lucien] PAGES Int Project Off, Bern, Switzerland</t>
  </si>
  <si>
    <t>University of Bern; University of Bern; Universidad Costa Rica; Northern Arizona University; Chinese Academy of Sciences; Institute of Geology &amp; Geophysics, CAS; University of Southern California; University System of Maryland; University of Maryland College Park; University System of Maryland; University of Maryland College Park; University of Edinburgh; UK Research &amp; Innovation (UKRI); Natural Environment Research Council (NERC); NERC British Antarctic Survey; Ruprecht Karls University Heidelberg; University of Washington; University of Washington Seattle; University of Melbourne; Melbourne Bioinformatics; Monash University; University of Melbourne; Melbourne Genomics Health Alliance; Stockholm University; University of Cambridge</t>
  </si>
  <si>
    <t>Neukom, R (corresponding author), Univ Bern, Oeschger Ctr Climate Change Res, Bern, Switzerland.;Neukom, R (corresponding author), Univ Bern, Inst Geog, Bern, Switzerland.</t>
  </si>
  <si>
    <t>neukom@giub.unibe.ch</t>
  </si>
  <si>
    <t>Zhu, Feng/AAO-2815-2021; Shi, Feng/AAG-6973-2020; Chinchilla, Luis A. Barboza/V-4414-2019; Kaufman, Darrell S/A-2471-2008; , BH/D-8684-2011; Ljungqvist, Fredrik Charpentier/I-5770-2012; Barboza, Luis Alberto/GWV-7500-2022; IPO, PAGES/JXY-7546-2024; Schurer, Andrew/W-7059-2019; Neukom, Raphael/J-7842-2017; Rehfeld, Kira/O-1781-2019; McKay, Nicholas Paul/JYQ-5440-2024; Emile-Geay, Julien/B-1102-2010</t>
  </si>
  <si>
    <t>Zhu, Feng/0000-0002-9969-2953; Shi, Feng/0000-0003-3963-1822; Chinchilla, Luis A. Barboza/0000-0002-7009-5207; , BH/0000-0003-3940-1963; Ljungqvist, Fredrik Charpentier/0000-0003-0220-3947; Schurer, Andrew/0000-0002-9176-3622; Rehfeld, Kira/0000-0002-9442-5362; von Gunten, Lucien/0000-0003-0425-2881; Emile-Geay, Julien/0000-0001-5920-4751; McKay, Nicholas/0000-0003-3598-5113; Erb, Michael/0000-0002-1187-952X; Neukom, Raphael/0000-0001-9392-0997; Evans, Michael Neil/0000-0003-3727-6898; Lucke, Lucie/0000-0002-6185-4830</t>
  </si>
  <si>
    <t>US National Science Foundation; Swiss Academy of Sciences; Swiss NSF [PZ00P2_154802]; DFG [RE3994-2/1]; European Union [787574]; NSFC [41877440, 41430531, 41690114]; NERC under the Belmont forum, Grant PacMedy [NE/P006752/1]; Australian Research Council; DELWP on Linkage Project [LP150100062]; Melbourne Water; Australian Bureau of Meteorology; ARC Centre of Excellence for Climate Extremes [CE170100023]; NERC [bas0100034] Funding Source: UKRI</t>
  </si>
  <si>
    <t>US National Science Foundation(National Science Foundation (NSF)); Swiss Academy of Sciences; Swiss NSF(Swiss National Science Foundation (SNSF)); DFG(German Research Foundation (DFG)); European Union(European Union (EU)); NSFC(National Natural Science Foundation of China (NSFC)); NERC under the Belmont forum, Grant PacMedy; Australian Research Council(Australian Research Council); DELWP on Linkage Project; Melbourne Water; Australian Bureau of Meteorology; ARC Centre of Excellence for Climate Extremes; NERC(UK Research &amp; Innovation (UKRI)Natural Environment Research Council (NERC))</t>
  </si>
  <si>
    <t>This is a contribution to the PAGES 2k Network. PAGES is supported by the US National Science Foundation and the Swiss Academy of Sciences. PAGES 2k Network members are acknowledged for providing input proxy data. Some calculations were run on the Ubelix cluster at the University of Bern. S. Hanhijarvi provided the PAI code. M. Grosjean, S.J. Phipps and J. Werner provided inputs at different stages of the project. R.N. is supported by Swiss NSF grant number PZ00P2_154802. K.R. is funded by DFG grant number RE3994-2/1. S. B. acknowledges funding from the European Union (project 787574). F.S. is funded by the NSFC (grants numbers 41877440; 41430531; 41690114). A. S. was supported by NERC under the Belmont forum, Grant PacMedy (grant number NE/P006752/1). B.J.H. acknowledges funding from the Australian Research Council, Melbourne Water and DELWP on Linkage Project (LP150100062) and support from the Australian Bureau of Meteorology. B.J.H. also acknowledges support from the ARC Centre of Excellence for Climate Extremes (CE170100023).</t>
  </si>
  <si>
    <t>10.1038/s41561-019-0400-0</t>
  </si>
  <si>
    <t>WOS:000477864200015</t>
  </si>
  <si>
    <t>Freer, JJ; Tarling, GA; Collins, MA; Partridge, JC; Genner, MJ</t>
  </si>
  <si>
    <t>Freer, Jennifer J.; Tarling, Geraint A.; Collins, Martin A.; Partridge, Julian C.; Genner, Martin J.</t>
  </si>
  <si>
    <t>Predicting future distributions of lanternfish, a significant ecological resource within the Southern Ocean</t>
  </si>
  <si>
    <t>DIVERSITY AND DISTRIBUTIONS</t>
  </si>
  <si>
    <t>climate response; ecological niche modelling; Myctophidae; ocean warming; projection; Southern Ocean; thermal niche; thermal tolerance</t>
  </si>
  <si>
    <t>KING GEORGE ISLAND; CLIMATE-CHANGE; MESOPELAGIC FISH; SCOTIA SEA; SPECIES DISTRIBUTIONS; 21ST-CENTURY PROJECTIONS; APTENODYTES-PATAGONICUS; COMMUNITY STRUCTURE; BIOTIC INTERACTIONS; MYCTOPHID FISH</t>
  </si>
  <si>
    <t>Aim Lanternfish (Myctophidae) are one of the most abundant and ecologically important families of pelagic teleosts, yet how these species will respond to climate change is unclear, especially within polar regions. The aim of this study was to predict the impact of climate change on the distribution of Southern Ocean lanternfish and to relate these predicted responses to species traits. Location Circumpolar, 35-75 degrees S. Methods We used MaxEnt ecological niche models to estimate the present and predict the future distributions of 10 biomass-dominant lanternfish species throughout the region. Future conditions were simulated using eight climate models, in both stabilizing (RCP 4.5) and rising (RCP 8.5) emission scenarios, for the time periods 2006-2055 and 2050-2099. Species responses were then related to their realized thermal niche (i.e., thermal tolerance range), latitudinal preference and body size. Results Despite large variation between climate model simulations, all but one species are consistently predicted to undergo a poleward distribution shift. Species show contrasting projections relating to a gain or loss of suitable habitat which was best explained by their thermal niche. Overall, high-latitude Antarctic species were found to have narrower thermal niches and a higher likelihood of losing habitat than sub-Antarctic species. Main conclusions The direction of a species response was dependent on the interplay between physiology (realized thermal niche) and biogeography (latitudinal preference). Antarctic species with restricted thermal niches and limited available habitat in which to disperse will be the most vulnerable group of Southern Ocean lanternfish in the face of climate change. Predicted range shifts may alter the size structure of the myctophid community as smaller, sub-Antarctic species reach further south. This could have implications for trophic interactions and thus the wider Southern Ocean ecosystem.</t>
  </si>
  <si>
    <t>[Freer, Jennifer J.; Genner, Martin J.] Univ Bristol, Sch Biol Sci, Bristol, Avon, England; [Freer, Jennifer J.; Tarling, Geraint A.; Collins, Martin A.] British Antarctic Survey, Cambridge, England; [Collins, Martin A.] Ctr Environm Fisheries &amp; Aquaculture Sci, Lowestoft, Suffolk, England; [Partridge, Julian C.] Univ Western Australia, Sch Biol Sci &amp; Oceans Inst, Crawley, WA, Australia</t>
  </si>
  <si>
    <t>University of Bristol; UK Research &amp; Innovation (UKRI); Natural Environment Research Council (NERC); NERC British Antarctic Survey; Centre for Environment Fisheries &amp; Aquaculture Science; University of Western Australia</t>
  </si>
  <si>
    <t>Freer, JJ (corresponding author), British Antarctic Survey, Cambridge, England.</t>
  </si>
  <si>
    <t>jenfree@bas.ac.uk</t>
  </si>
  <si>
    <t>Collins, Martin A/J-8560-2017; , Martin/ABE-6728-2020; Partridge, Julian/F-2097-2014</t>
  </si>
  <si>
    <t>, Martin/0000-0001-7132-8650; Partridge, Julian/0000-0003-3788-2900; Freer, Jennifer/0000-0002-3947-9261</t>
  </si>
  <si>
    <t>Natural Environment Research Council [NE/L002434/1]; NERC [bas0100035] Funding Source: UKRI</t>
  </si>
  <si>
    <t>Natural Environment Research Council, Grant/Award Number: NE/L002434/1</t>
  </si>
  <si>
    <t>1366-9516</t>
  </si>
  <si>
    <t>1472-4642</t>
  </si>
  <si>
    <t>DIVERS DISTRIB</t>
  </si>
  <si>
    <t>Divers. Distrib.</t>
  </si>
  <si>
    <t>10.1111/ddi.12934</t>
  </si>
  <si>
    <t>IK6DO</t>
  </si>
  <si>
    <t>Green Published, Green Accepted, gold</t>
  </si>
  <si>
    <t>WOS:000476676000007</t>
  </si>
  <si>
    <t>Wu, ZK; Wang, XD</t>
  </si>
  <si>
    <t>Wu, Zhankai; Wang, Xingdong</t>
  </si>
  <si>
    <t>Variability in Antarctic sea ice from 1998 to 2017</t>
  </si>
  <si>
    <t>ENVIRONMENTAL SCIENCE AND POLLUTION RESEARCH</t>
  </si>
  <si>
    <t>Antarctic; Total sea ice; First-year ice; Sea ice melt duration; Multiyear ice</t>
  </si>
  <si>
    <t>CLIMATE; TRENDS</t>
  </si>
  <si>
    <t>This study was based on the daily sea ice concentration data from the NASA Team algorithm from 1998 to 2017. The Antarctic sea ice was analyzed from the total sea ice area (SIA), first-year ice area, and multiyear ice area. On a temporal scale, the changes in sea ice parameters were studied over the whole 20years. The results showed that the total SIA increased by 0.0087x10(6)km(2)year(-1) (+2.08% dec(-1)) between 1998 and 2017. The multiyear ice area increased by 0.0141x10(6)km(2)year(-1) from 1998 to 2017. The first-year ice area decreased by -0.0058x10(6)km(2)year(-1) between 1998 and 2017. On a spatial scale, the entire Antarctic was divided into two areas, namely West Antarctica (WA) and East Antarctica (EA), according to the spatial change rate of sea ice concentration. The total sea ice and multiyear ice areas showed a decreasing trend in WA. However, the total SIA and multiyear ice area all showed an increasing trend in EA. Therefore, Antarctic sea ice presented an increasing trend, but there were different trends in WA and EA.</t>
  </si>
  <si>
    <t>[Wu, Zhankai; Wang, Xingdong] Henan Univ Technol, Coll Informat Sci &amp; Engn, Zhengzhou 450001, Henan, Peoples R China; [Wang, Xingdong] Chinese Acad Sci, Inst Remote Sensing &amp; Digital Earth, Beijing 100094, Peoples R China</t>
  </si>
  <si>
    <t>Henan University of Technology; Chinese Academy of Sciences; The Institute of Remote Sensing &amp; Digital Earth, CAS</t>
  </si>
  <si>
    <t>Wang, XD (corresponding author), Henan Univ Technol, Coll Informat Sci &amp; Engn, Zhengzhou 450001, Henan, Peoples R China.;Wang, XD (corresponding author), Chinese Acad Sci, Inst Remote Sensing &amp; Digital Earth, Beijing 100094, Peoples R China.</t>
  </si>
  <si>
    <t>zkywxd@163.com</t>
  </si>
  <si>
    <t>Open Research Fund of Key Laboratory of Digital Earth Science, Institute of Remote Sensing and Digital Earth, Chinese Academy of Sciences [2018LDE005]; Open Fund of State Key Laboratory of Remote Sensing Science [OFSLRSS201810]; National Natural Science Foundation of China [41606209]; Key Laboratory of Global Change and Marine-Atmospheric Chemistry [GCMAC1605]; Natural Science Project of Henan Education Department [15A120007]; Key Laboratory of Ocean Circulation and Waves, Institute of Oceanology, Chinese Academy of Sciences [KLOCW1805]</t>
  </si>
  <si>
    <t>Open Research Fund of Key Laboratory of Digital Earth Science, Institute of Remote Sensing and Digital Earth, Chinese Academy of Sciences; Open Fund of State Key Laboratory of Remote Sensing Science; National Natural Science Foundation of China(National Natural Science Foundation of China (NSFC)); Key Laboratory of Global Change and Marine-Atmospheric Chemistry; Natural Science Project of Henan Education Department; Key Laboratory of Ocean Circulation and Waves, Institute of Oceanology, Chinese Academy of Sciences</t>
  </si>
  <si>
    <t>This research was supported by the Open Research Fund of Key Laboratory of Digital Earth Science, Institute of Remote Sensing and Digital Earth, Chinese Academy of Sciences, no. 2018LDE005; the Open Fund of State Key Laboratory of Remote Sensing Science no. OFSLRSS201810; National Natural Science Foundation of China, no. 41606209; the Open Fund from Key Laboratory of Global Change and Marine-Atmospheric Chemistry, no. GCMAC1605; Natural Science Project of Henan Education Department, no. 15A120007; and the Key Laboratory of Ocean Circulation and Waves, Institute of Oceanology, Chinese Academy of Sciences, no. KLOCW1805. We thank the Chief Editor of the Journal and the anonymous reviewers for their time and effort, which will significantly improves the manuscript.</t>
  </si>
  <si>
    <t>0944-1344</t>
  </si>
  <si>
    <t>1614-7499</t>
  </si>
  <si>
    <t>ENVIRON SCI POLLUT R</t>
  </si>
  <si>
    <t>Environ. Sci. Pollut. Res.</t>
  </si>
  <si>
    <t>10.1007/s11356-019-05569-1</t>
  </si>
  <si>
    <t>IL9FX</t>
  </si>
  <si>
    <t>WOS:000477591700020</t>
  </si>
  <si>
    <t>Naughten, KA; Jenkins, A; Holland, PR; Mugford, RI; Nicholls, KW; Munday, DR</t>
  </si>
  <si>
    <t>Naughten, Kaitlin A.; Jenkins, Adrian; Holland, Paul R.; Mugford, Ruth, I; Nicholls, Keith W.; Munday, David R.</t>
  </si>
  <si>
    <t>Modeling the Influence of the Weddell Polynya on the Filchner-Ronne Ice Shelf Cavity</t>
  </si>
  <si>
    <t>Antarctica; Ice shelves; Southern Ocean; Teleconnections; Ocean models</t>
  </si>
  <si>
    <t>VISCOUS-PLASTIC METHOD; OCEAN DEEP CONVECTION; SOUTHERN-OCEAN; SEA-ICE; CIRCULATION; WATER; ANTARCTICA; PARAMETERIZATION; VARIABILITY; SENSITIVITY</t>
  </si>
  <si>
    <t>Open-ocean polynyas in the Weddell Sea of Antarctica are the product of deep convection, which transports Warm Deep Water (WDW) to the surface and melts sea ice or prevents its formation. These polynyas occur only rarely in the observational record but are a near-permanent feature of many climate and ocean simulations. A question not previously considered is the degree to which the Weddell polynya affects the nearby Filchner-Ronne Ice Shelf (FRIS) cavity. Here we assess these effects using regional ocean model simulations of the Weddell Sea and FRIS, where deep convection is imposed with varying area, location, and duration. In these simulations, the idealized Weddell polynyas consistently cause an increase in WDW transport onto the continental shelf as a result of density changes above the shelf break. This leads to saltier, denser source waters for the FRIS cavity, which then experiences stronger circulation and increased ice shelf basal melting. It takes approximately 14 years for melt rates to return to normal after the deep convection ceases. Weddell polynyas similar to those seen in observations have a modest impact on FRIS melt rates, which is within the range of simulated interannual variability. However, polynyas that are larger or closer to the shelf break, such as those seen in many ocean models, trigger a stronger response. These results suggest that ocean models with excessive Weddell Sea convection may not be suitable boundary conditions for regional models of the Antarctic continental shelf and ice shelf cavities.</t>
  </si>
  <si>
    <t>[Naughten, Kaitlin A.; Jenkins, Adrian; Holland, Paul R.; Mugford, Ruth, I; Nicholls, Keith W.; Munday, David R.] British Antarctic Survey, Cambridge, England</t>
  </si>
  <si>
    <t>Naughten, KA (corresponding author), British Antarctic Survey, Cambridge, England.</t>
  </si>
  <si>
    <t>kaight@bas.ac.uk</t>
  </si>
  <si>
    <t>Munday, David R/R-1986-2016; Munday, David/Y-7052-2019; Holland, Paul R/G-2796-2012; Jenkins, Adrian/IUN-2406-2023</t>
  </si>
  <si>
    <t>Munday, David R/0000-0003-1920-708X; Jenkins, Adrian/0000-0002-9117-0616; Naughten, Kaitlin/0000-0001-9475-9162</t>
  </si>
  <si>
    <t>Filchner Ice Shelf System (FISS) project [NE/L013770/1]; ORCHESTRA project [NE/N018095/1]; NERC [NE/L013770/1, NE/N018095/1, bas0100033] Funding Source: UKRI</t>
  </si>
  <si>
    <t>Filchner Ice Shelf System (FISS) project; ORCHESTRA project; NERC(UK Research &amp; Innovation (UKRI)Natural Environment Research Council (NERC))</t>
  </si>
  <si>
    <t>We thank Ralph Timmermann and Hartmut Hellmer for helpful discussions while tuning the model, Ryan Patmore for advice on the Weddell Gyre domain, and Maria Vittoria Guarino for advice on statistical analysis of the recovery time. Finally, Ralph Timmermann and two anonymous reviewers provided helpful comments on an earlier version of this manuscript. This research is part of the Filchner Ice Shelf System (FISS) project NE/L013770/1. David Munday is also supported by the ORCHESTRA project NE/N018095/1. Computational resources were provided by the ARCHER U.K. National Supercomputing Service.</t>
  </si>
  <si>
    <t>10.1175/JCLI-D-19-0203.1</t>
  </si>
  <si>
    <t>IK9HR</t>
  </si>
  <si>
    <t>WOS:000476906300005</t>
  </si>
  <si>
    <t>Stewart, AL; Klocker, A; Menemenlis, D</t>
  </si>
  <si>
    <t>Stewart, Andrew L.; Klocker, Andreas; Menemenlis, Dimitris</t>
  </si>
  <si>
    <t>Acceleration and Overturning of the Antarctic Slope Current by Winds, Eddies, and Tides</t>
  </si>
  <si>
    <t>JOURNAL OF PHYSICAL OCEANOGRAPHY</t>
  </si>
  <si>
    <t>Antarctica; Continental shelf; slope; Sea ice; Atmosphere-ocean interaction; Eddies; Tides</t>
  </si>
  <si>
    <t>CIRCUMPOLAR DEEP-WATER; CONTINENTAL-SHELF; ICE SHELF; TOPOGRAPHIC RECTIFICATION; TIDAL RECTIFICATION; OCEAN; EDDY; SEA; CIRCULATION; TRANSPORT</t>
  </si>
  <si>
    <t>All exchanges between the open ocean and the Antarctic continental shelf must cross the Antarctic Slope Current (ASC). Previous studies indicate that these exchanges are strongly influenced by mesoscale and tidal variability, yet the mechanisms responsible for setting the ASC's transport and structure have received relatively little attention. In this study the roles of winds, eddies, and tides in accelerating the ASC are investigated using a global ocean-sea ice simulation with very high resolution (1/48 degrees grid spacing). It is found that the circulation along the continental slope is accelerated both by surface stresses, ultimately sourced from the easterly winds, and by mesoscale eddy vorticity fluxes. At the continental shelf break, the ASC exhibits a narrow (similar to 30-50 km), swift (&gt;0.2 m s(-1)) jet, consistent with in situ observations. In this jet the surface stress is substantially reduced, and may even vanish or be directed eastward, because the ocean surface speed matches or exceeds that of the sea ice. The shelfbreak jet is shown to be accelerated by tidal momentum advection, consistent with the phenomenon of tidal rectification. Consequently, the shoreward Ekman transport vanishes and thus the mean overturning circulation that steepens the Antarctic Slope Front (ASF) is primarily due to tidal acceleration. These findings imply that the circulation and mean overturning of the ASC are not only determined by near-Antarctic winds, but also depend crucially on sea ice cover, regionally-dependent mesoscale eddy activity over the continental slope, and the amplitude of tidal flows across the continental shelf break.</t>
  </si>
  <si>
    <t>[Stewart, Andrew L.] Univ Calif Los Angeles, Dept Atmospher &amp; Ocean Sci, Los Angeles, CA 90032 USA; [Klocker, Andreas] Univ Tasmania, Antarctic Climate &amp; Ecosyst Cooperat Res Ctr, Hobart, Tas, Australia; [Menemenlis, Dimitris] CALTECH, Jet Prop Lab, Sci Div, Pasadena, CA USA</t>
  </si>
  <si>
    <t>University of California System; University of California Los Angeles; Antarctic Climate &amp; Ecosystems Cooperative Research Centre (ACE CRC); University of Tasmania; National Aeronautics &amp; Space Administration (NASA); NASA Jet Propulsion Laboratory (JPL); California Institute of Technology</t>
  </si>
  <si>
    <t>Stewart, AL (corresponding author), Univ Calif Los Angeles, Dept Atmospher &amp; Ocean Sci, Los Angeles, CA 90032 USA.</t>
  </si>
  <si>
    <t>astewart@atmos.ucla.edu</t>
  </si>
  <si>
    <t>Menemenlis, Dimitris/G-8091-2017; Klocker, Andreas/E-4632-2011</t>
  </si>
  <si>
    <t>Menemenlis, Dimitris/0000-0001-9940-8409; Stewart, Andrew/0000-0001-5861-4070; Klocker, Andreas/0000-0002-2038-7922</t>
  </si>
  <si>
    <t>National Science Foundation [OCE-1538702, ANT-1543388, OCE-1751386, ACI-1548562]; Australian Research Council's Special Research Initiative Antarctic Gateway Partnership [SR140300001]</t>
  </si>
  <si>
    <t>National Science Foundation(National Science Foundation (NSF)); Australian Research Council's Special Research Initiative Antarctic Gateway Partnership(Australian Research Council)</t>
  </si>
  <si>
    <t>The authors thank Andrew Thompson and Mar Flexas for helpful comments on an earlier draft of this manuscript. The authors thank Ed Doddridge and an anonymous reviewer for many detailed recommendations that improved the manuscript. This material is based in part upon work supported by the National Science Foundation under Grant Numbers OCE-1538702, ANT-1543388, and OCE-1751386. This research was supported under the Australian Research Council's Special Research Initiative Antarctic Gateway Partnership (Project ID SR140300001). DM carried out this work at the Jet Propulsion Laboratory (JPL), California Institute of Technology, under a contract with the National Aeronautics and Space Administration (NASA). The authors thank Andrew Thompson and Karen Heywood for providing the observational data used to create Fig. A1. High-end computing resources were provided by the NASA Advanced Supercomputing (NAS) Division of the Ames Research Center. The authors thank the MITgcm development team, NAS computer scientists, and SGI engineers for their contributions to producing and making available the high-resolution model output used in this study. The model configuration files can be downloaded from: http://wwwcvs.mitgcm.org/viewvc/MITgcm/MITgcm_contrib/llc_hires/llc_4320/. The raw model output data are stored on NASA's Pleiades supercomputer and may be accessed via request to DM. The model analysis used the Extreme Science and Engineering Discovery Environment (XSEDE; Towns et al. 2014), which is supported by National Science Foundation Grant ACI-1548562. The time-averaged model output fields used to derive the results presented in this manuscript can be downloaded from: https://doi.org/10.4226/77/5a37035ea15b2.</t>
  </si>
  <si>
    <t>0022-3670</t>
  </si>
  <si>
    <t>1520-0485</t>
  </si>
  <si>
    <t>J PHYS OCEANOGR</t>
  </si>
  <si>
    <t>J. Phys. Oceanogr.</t>
  </si>
  <si>
    <t>10.1175/JPO-D-18-0221.1</t>
  </si>
  <si>
    <t>IK7KA</t>
  </si>
  <si>
    <t>WOS:000476766700001</t>
  </si>
  <si>
    <t>Chechin, DG; Makhotina, IA; Lüpkes, C; Makshtas, AP</t>
  </si>
  <si>
    <t>Chechin, Dmitry G.; Makhotina, Irina A.; Luepkes, Christof; Makshtas, Alexander P.</t>
  </si>
  <si>
    <t>Effect of Wind Speed and Leads on Clear-Sky Cooling over Arctic Sea Ice during Polar Night</t>
  </si>
  <si>
    <t>JOURNAL OF THE ATMOSPHERIC SCIENCES</t>
  </si>
  <si>
    <t>Arctic; Sea ice; Subgrid-scale processes; Turbulence; Boundary layer; Surface layer</t>
  </si>
  <si>
    <t>STABLE BOUNDARY-LAYER; TEMPERATURE INVERSION; TURBULENT EXCHANGE; AIR-TEMPERATURE; SNOW-SURFACE; PART I; DOME C; MODEL; PARAMETERIZATION; HEIGHT</t>
  </si>
  <si>
    <t>A simple analytical model of the atmospheric boundary layer (ABL) coupled to sea ice is presented. It describes clear-sky cooling over sea ice during polar night in the presence of leads. The model solutions show that the sea ice concentration and wind speed have a strong impact on the thermal regime over sea ice. Leads cause both a warming of the ABL and an increase of stability over sea ice. The model describes a sharp ABL transition from a weakly stable coupled state to a strongly stable decoupled state when wind speed is decreasing. The threshold value of the transition wind speed is a function of sea ice concentration. The decoupled state is characterized by a large air-surface temperature difference over sea ice, which is further increased by leads. In the coupled regime, air and surface temperatures increase almost linearly with wind speed due to warming by leads and also slower cooling of the ABL. The cooling time scale shows a nonmonotonic dependency on wind speed, being lowest for the threshold value of wind speed and increasing for weak and strong winds. Theoretical solutions agree well with results of a more realistic single-column model and with observations performed at the three Russian North Pole drifting stations (NP-35, -37, and -39) and at the Surface Heat Budget of the Arctic Ocean ice camp. Both modeling results and observations show a strong implicit dependency of the net longwave radiative flux at the surface on wind speed.</t>
  </si>
  <si>
    <t>[Chechin, Dmitry G.; Luepkes, Christof] Helmholtz Ctr Polar &amp; Marine Res, Alfred Wegener Inst, Bremerhaven, Germany; [Chechin, Dmitry G.] AM Obukhov Inst Atmospher Phys, Moscow, Russia; [Makhotina, Irina A.; Makshtas, Alexander P.] Arctic &amp; Antarctic Res Inst, St Petersburg, Russia</t>
  </si>
  <si>
    <t>Helmholtz Association; Alfred Wegener Institute, Helmholtz Centre for Polar &amp; Marine Research; Russian Academy of Sciences; Obukhov Institute of Atmospheric Physics of Russian Academy of Sciences; Arctic &amp; Antarctic Research Institute</t>
  </si>
  <si>
    <t>Chechin, DG (corresponding author), Helmholtz Ctr Polar &amp; Marine Res, Alfred Wegener Inst, Bremerhaven, Germany.;Chechin, DG (corresponding author), AM Obukhov Inst Atmospher Phys, Moscow, Russia.</t>
  </si>
  <si>
    <t>dmitry.chechin@awi.de</t>
  </si>
  <si>
    <t>Makhotina, Irina/AAB-4279-2019; amplification, ³ - Arctic/AAU-6640-2020; Chechin, Dmitry/J-9923-2016; Lüpkes, Christof/B-4897-2014</t>
  </si>
  <si>
    <t>Makhotina, Irina/0000-0001-7208-685X; Chechin, Dmitry/0000-0003-0021-9945;</t>
  </si>
  <si>
    <t>Deutsche Forschungsgemeinschaft (DFG; German Research Foundation) within the Transregional Collaborative Research Center Arctic Amplification: Climate Relevant Atmospheric and Surface Processes, and Feedback Mechanisms (AC)3 [268020496-TRR 172]; DFG [LU 818/5-1]; Russian Science Foundation [18-77-10072]; Russian Ministry of Education and Science [RFMEFI61617X0076]; Russian Science Foundation [18-77-10072] Funding Source: Russian Science Foundation</t>
  </si>
  <si>
    <t>Deutsche Forschungsgemeinschaft (DFG; German Research Foundation) within the Transregional Collaborative Research Center Arctic Amplification: Climate Relevant Atmospheric and Surface Processes, and Feedback Mechanisms (AC)3; DFG(German Research Foundation (DFG)); Russian Science Foundation(Russian Science Foundation (RSF)); Russian Ministry of Education and Science(Ministry of Education and Science, Russian Federation); Russian Science Foundation(Russian Science Foundation (RSF))</t>
  </si>
  <si>
    <t>The authors thank the four anonymous reviewers for their helpful comments and also the overwintering crew at the Russian North Pole stations and at the SHEBA ice camp for their hard work to obtain the observations. D.G.C. worked on the analytical and numerical modelling presented in this paper. His numerical modeling and the work of C.L. is funded by the Deutsche Forschungsgemeinschaft (DFG; German Research Foundation)-Project 268020496-TRR 172, within the Transregional Collaborative Research Center Arctic Amplification: Climate Relevant Atmospheric and Surface Processes, and Feedback Mechanisms (AC)3'' and by DFG Grant LU 818/5-1. Analytical modelling by D.G.C. and the work of I.A.M. on the analysis of the observations is supported by the Russian Science Foundation Grant 18-77-10072. The work of A.P.M. is supported by the Russian Ministry of Education and Science Grant RFMEFI61617X0076.</t>
  </si>
  <si>
    <t>0022-4928</t>
  </si>
  <si>
    <t>1520-0469</t>
  </si>
  <si>
    <t>J ATMOS SCI</t>
  </si>
  <si>
    <t>J. Atmos. Sci.</t>
  </si>
  <si>
    <t>10.1175/JAS-D-18-0277.1</t>
  </si>
  <si>
    <t>IL9EP</t>
  </si>
  <si>
    <t>WOS:000477588300001</t>
  </si>
  <si>
    <t>van Els, P; Norambuena, HV; Etienne, RS</t>
  </si>
  <si>
    <t>van Els, Paul; Norambuena, Heraldo V.; Etienne, Rampal S.</t>
  </si>
  <si>
    <t>From pampa to puna: Biogeography and diversification of a group of Neotropical obligate grassland birds (Anthus: Motacillidae)</t>
  </si>
  <si>
    <t>JOURNAL OF ZOOLOGICAL SYSTEMATICS AND EVOLUTIONARY RESEARCH</t>
  </si>
  <si>
    <t>Andes; dispersal; Neotropical grasslands; puna</t>
  </si>
  <si>
    <t>FOUNDER-EVENT SPECIATION; HISTORICAL BIOGEOGRAPHY; SPECIES LIMITS; CONTINENTAL RADIATION; GENUS ANTHUS; DISPERSAL; EVOLUTION; MODEL; VICARIANCE; SCALE</t>
  </si>
  <si>
    <t>The evolution of Neotropical birds of open landscapes remains largely unstudied. We investigate the diversification and biogeography of a group of Neotropical obligate grassland birds (Anthus: Motacillidae). We use a multilocus phylogeny of 22 taxa of Anthus to test the hypothesis that these birds radiated contemporaneously with the development of grasslands in South America. We employ the R package DDD to analyze the dynamics of Anthus diversification across time in Neotropical grasslands, explicitly testing for shifts in dynamics associated with the Miocene development of grasslands, the putative Pleistocene expansion of arid lowland biomes, and Pleistocene sundering of Andean highland grasslands. A lineage-through-time plot revealed increases in the number of lineages, and DDD detected shifts to a higher clade-level carrying capacity during the late Miocene, indicating an early burst of diversification associated with grassland colonization. However, we could not corroborate the shift using power analysis, probably reflecting the small number of tips in our tree. We found evidence of a divergence at similar to 1 Mya between northern and southern Amazonian populations of Anthus lutescens, countering Haffer's idea of Pleistocene expansion of open biomes in the Amazon Basin. We used BioGeoBears to investigate ancestral areas and directionality of colonization of Neotropical grasslands. Members of the genus diversified into, out of, and within the Andes, within-Andean diversification being mostly Pleistocene in origin.</t>
  </si>
  <si>
    <t>[van Els, Paul; Etienne, Rampal S.] Univ Groningen, Groningen Inst Evolutionary Life Sci, Groningen, Netherlands; [van Els, Paul] Louisiana State Univ, Museum Nat Sci, Dept Biol Sci, Baton Rouge, LA 70803 USA; [Norambuena, Heraldo V.] Univ Concepcion, Dept Zool, Fac Ciencias Nat &amp; Oceanog, Concepcion, Chile; [Norambuena, Heraldo V.] Ctr Estudios Agr &amp; Ambientales, Valdivia, Chile</t>
  </si>
  <si>
    <t>University of Groningen; Louisiana State University System; Louisiana State University; Universidad de Concepcion</t>
  </si>
  <si>
    <t>van Els, P (corresponding author), Univ Groningen, Groningen Inst Evolutionary Life Sci, Groningen, Netherlands.</t>
  </si>
  <si>
    <t>paulvanels@gmail.com; buteonis@gmail.com; r.s.etienne@rug.nl</t>
  </si>
  <si>
    <t>Norambuena, Heraldo V./ABW-8217-2022; Etienne, Rampal S./F-5835-2012</t>
  </si>
  <si>
    <t>Norambuena, Heraldo V./0000-0003-0523-3682; Etienne, Rampal S./0000-0003-2142-7612</t>
  </si>
  <si>
    <t>LSU Museum of Natural Science Birdathon Fund; Stichting P.A. Hens Memorial Fund; American Ornithologists' Union Alexander Wetmore Memorial Research Award; American Museum of Natural History Frank M. Chapman Memorial Fund; Faculty of Science and Engineering at the University of Groningen; Groningen Institute for Evolutionary Life Sciences at the University of Groningen; CONICYT-PCHA/DoctoradoNacional scholarship [2013-21130354]; Netherlands Organization for Scientific Research (NWO) through a VICI grant</t>
  </si>
  <si>
    <t>LSU Museum of Natural Science Birdathon Fund; Stichting P.A. Hens Memorial Fund; American Ornithologists' Union Alexander Wetmore Memorial Research Award; American Museum of Natural History Frank M. Chapman Memorial Fund; Faculty of Science and Engineering at the University of Groningen; Groningen Institute for Evolutionary Life Sciences at the University of Groningen; CONICYT-PCHA/DoctoradoNacional scholarship; Netherlands Organization for Scientific Research (NWO) through a VICI grant</t>
  </si>
  <si>
    <t>We thank the following institutions and their staff for providing samples: Paul Sweet (AMNH), Nate Rice (ANSP), Stephen Massam (FIMNT), John Bates and Ben Marks (FMNH), Krzysztof Zyskowski (YPM), Mark Robbins (KU Biodiversity Institute), Sharon Birks and John Klicka (UWBM), Brian Schmidt (USNM, Smithsonian), Jon Fjeldsa and Jan Bolding Kristensen (ZMUC), Jeremiah Trimble (MCZ), Kimball Garrett (LACM), Pablo Tubaro and Dario Lijtmaer (MACN), Alexandre Aleixo (MPEG), Jorge Perez-Eman at the Instituto de Zoologia Tropical at the Universidad Central de Venezuela, and Pedro Victoriano at the Universidad de Concepcion in Chile. Andy Wood at the British Antarctic Survey provided valuable samples of A. c. antarcticus. Sabrina Taylor at LSU's Department of Renewable Natural Resources kindly allowed me to work in her ancient DNA laboratory. James V. Remsen, Jr. and Robb Brumfield kindly reviewed the manuscript. Funding was provided by the LSU Museum of Natural Science Birdathon Fund, the Stichting P.A. Hens Memorial Fund, an American Ornithologists' Union Alexander Wetmore Memorial Research Award, and the American Museum of Natural History Frank M. Chapman Memorial Fund. PVE thanks the Faculty of Science and Engineering and the Groningen Institute for Evolutionary Life Sciences at the University of Groningen for funding through the Adaptive Life Program. HVN is grateful for the CONICYT-PCHA/DoctoradoNacional/2013-21130354 scholarship. RSE thanks the Netherlands Organization for Scientific Research (NWO) for financial support through a VICI grant.</t>
  </si>
  <si>
    <t>0947-5745</t>
  </si>
  <si>
    <t>1439-0469</t>
  </si>
  <si>
    <t>J ZOOL SYST EVOL RES</t>
  </si>
  <si>
    <t>J. Zool. Syst. Evol. Res.</t>
  </si>
  <si>
    <t>10.1111/jzs.12278</t>
  </si>
  <si>
    <t>Evolutionary Biology; Zoology</t>
  </si>
  <si>
    <t>IM0HL</t>
  </si>
  <si>
    <t>WOS:000477667800001</t>
  </si>
  <si>
    <t>Gibson, GM; Champion, DC</t>
  </si>
  <si>
    <t>Gibson, G. M.; Champion, D. C.</t>
  </si>
  <si>
    <t>Antipodean fugitive terranes in southern Laurentia: How Proterozoic Australia built the American West</t>
  </si>
  <si>
    <t>LITHOSPHERE</t>
  </si>
  <si>
    <t>MT ISA INLIER; MOJAVE CRUSTAL PROVINCE; EASTERN FOLD BELT; MOUNT-ISA; UNITED-STATES; BROKEN-HILL; NORTHWESTERN LAURENTIA; METAMORPHIC EVOLUTION; GEODYNAMIC EVOLUTION; NORTHERN AUSTRALIA</t>
  </si>
  <si>
    <t>Paleoproterozoic arc and backarc assemblages accreted to the south Laurentian margin between 1800 Ma and 1600 Ma, and previously thought to be indigenous to North America, more likely represent fragments of a dismembered marginal sea developed outboard of the formerly opposing Australian-Antarctic plate. Fugitive elements of this arc-backarc system in North America share a common geological record with their left-behind Australia-Antarctic counterparts, including discrete peaks in tectonic and/or magmatic activity at 1780 Ma, 1760 Ma, 1740 Ma, 1710-1705 Ma, 1690-1670 Ma, 1650 Ma, and 1620 Ma. Subduction rollback, ocean basin closure, and the arrival of Laurentia at the Australian-Antarctic convergent margin first led to arc-continent collision at 1650-1640 Ma and then continent-continent collision by 1620 Ma as the last vestiges of the backarc basin collapsed. Collision induced obduction and transfer of the arc and more outboard parts of the Australian-Antarctic backarc basin onto the Laurentian margin, where they remained following later breakup of the Neoproterozoic Rodinia supercontinent. North American felsic rocks generally yield Nd depleted mantle model ages consistent with arc and backarc assemblages built on early Paleoproterozoic Australian crust as opposed to older Archean basement making up the now underlying Wyoming and Superior cratons.</t>
  </si>
  <si>
    <t>[Gibson, G. M.] Australian Natl Univ, Res Sch Earth Sci, Canberra, ACT 2601, Australia; [Champion, D. C.] Geosci Australia, Symonston, ACT 2609, Australia</t>
  </si>
  <si>
    <t>Australian National University; Geoscience Australia</t>
  </si>
  <si>
    <t>Gibson, GM (corresponding author), Australian Natl Univ, Res Sch Earth Sci, Canberra, ACT 2601, Australia.</t>
  </si>
  <si>
    <t>Gibson, George/0000-0002-9210-3255</t>
  </si>
  <si>
    <t>GEOLOGICAL SOC AMER, INC</t>
  </si>
  <si>
    <t>BOULDER</t>
  </si>
  <si>
    <t>PO BOX 9140, BOULDER, CO 80301-9140 USA</t>
  </si>
  <si>
    <t>1941-8264</t>
  </si>
  <si>
    <t>1947-4253</t>
  </si>
  <si>
    <t>LITHOSPHERE-US</t>
  </si>
  <si>
    <t>Lithosphere</t>
  </si>
  <si>
    <t>10.1130/L1072.1</t>
  </si>
  <si>
    <t>Geochemistry &amp; Geophysics; Geology</t>
  </si>
  <si>
    <t>IL8UZ</t>
  </si>
  <si>
    <t>WOS:000477562500008</t>
  </si>
  <si>
    <t>Baker-Médard, M; Allnutt, TF; Baskett, ML; Watson, RA; Lagabrielle, E; Kremen, C</t>
  </si>
  <si>
    <t>Baker-Medard, Merrill; Allnutt, Thomas F.; Baskett, Marissa L.; Watson, Reg A.; Lagabrielle, Erwinn; Kremen, Claire</t>
  </si>
  <si>
    <t>Rethinking spatial costs and benefits of fisheries in marine conservation</t>
  </si>
  <si>
    <t>OCEAN &amp; COASTAL MANAGEMENT</t>
  </si>
  <si>
    <t>Marine conservation; Fisheries; Marxan; Spatial planning; Marine reserves; Madagascar</t>
  </si>
  <si>
    <t>PROTECTED AREA NETWORK; BIODIVERSITY CONSERVATION; ECOSYSTEM SERVICES; SOCIOECONOMIC DATA; RESERVE DESIGN; COASTAL; MANAGEMENT; POLLINATION; LANDSCAPES; SPILLOVER</t>
  </si>
  <si>
    <t>Fishing catch is often used as a cost in marine conservation planning to avoid areas of high fishing activity when identifying potential marine reserve locations. However, the theory of marine reserves indicates that reserves are more likely to benefit fisheries in areas of heavy fishing activity that would otherwise be overfished. Whether or not fishing catch is calculated as a cost depends on the balance of conservation and fisheries goals for a reserve, and thus is critical for policymakers to consider when designing marine reserve networks. This research shows the utility of running an inverted cost model of fishery catches during marine reserve spatial prioritization as a first step In a marine planning process oriented towards stabilizing local fisheries. This technique serves as a heuristic tool that may help conservation planners explore regions that would otherwise be overlooked if fisheries data were absent or integrated purely as a cost in the planning process. Drawing on data from Madagascar to illustrate our approach, this research demonstrates that the regions most frequently selected using the inverted cost model not only meet conservation targets, but are also those most accessible to community-based resource managers, the dominant management paradigm in Madagascar as well as in many developing countries.</t>
  </si>
  <si>
    <t>[Baker-Medard, Merrill] Middlebury Coll, Environm Studies Program, 531 Coll St, Middlebury, VT 05753 USA; [Allnutt, Thomas F.] Wildlife Conservat Soc, Madagascar Program, BP 8500, Antananarivo 101, Madagascar; [Baskett, Marissa L.] Univ Calif Davis, Dept Environm Sci &amp; Policy, 1 Shields Ave, Davis, CA 95616 USA; [Watson, Reg A.] Univ Tasmania, Inst Marine &amp; Antarctic Studies, 20 Castray Esplanade, Battery Point, Tas, Australia; [Lagabrielle, Erwinn] Nelson Mandela Univ, Inst Coastal &amp; Marine Res, ZA-6031 Port Elizabeth, South Africa; [Lagabrielle, Erwinn] Univ La Reunion, UMR ESPACE DEV 228, IRD, CS 41095, Parc Technol Univ,2 Rue Joseph Wetzell, F-97495 St Clotilde, France; [Kremen, Claire] Univ British Columbia, Inst Resources Environm &amp; Sustainabil, 429-2202 Main Mall AERL Bldg, Vancouver, BC, Canada; [Kremen, Claire] Univ British Columbia, Biodivers Res Ctr, 429-2202 Main Mall AERL Bldg, Vancouver, BC, Canada</t>
  </si>
  <si>
    <t>University of California System; University of California Davis; University of Tasmania; Nelson Mandela University; University of La Reunion; Institut de Recherche pour le Developpement (IRD); University of British Columbia; University of British Columbia</t>
  </si>
  <si>
    <t>Baker-Médard, M (corresponding author), Middlebury Coll, Environm Studies Program, 531 Coll St, Middlebury, VT 05753 USA.</t>
  </si>
  <si>
    <t>mbakermedard@middlebury.edu; tom.allnutt@gmail.com; mlbaskett@ucdavis.edu; rwatson@ecomarres.com; erwann.lagabrielle@univ-reunion.fr; claire.kremen@ubc.ca</t>
  </si>
  <si>
    <t>Baskett, Marissa L./P-1762-2014; Watson, Reg A/F-4850-2012; Lagabrielle, Erwann/AAM-9635-2020</t>
  </si>
  <si>
    <t>Baskett, Marissa L./0000-0001-6102-1110; Watson, Reg A/0000-0001-7201-8865; Lagabrielle, Erwann/0000-0002-8333-2750; Baker-Medard, Merrill/0000-0002-3724-8320</t>
  </si>
  <si>
    <t>National Science Foundation [BCS-1103332]; Australian Research Council [DP140101377]; National Research Foundation of South Africa (NRF-SA)</t>
  </si>
  <si>
    <t>National Science Foundation(National Science Foundation (NSF)); Australian Research Council(Australian Research Council); National Research Foundation of South Africa (NRF-SA)(National Research Foundation - South Africa)</t>
  </si>
  <si>
    <t>M. Baker-Medard was supported by the National Science Foundation (BCS-1103332). R.Watson was supported by the Australian Research Council (DP140101377). Erwann Lagabrielle was supported by the National Research Foundation of South Africa (NRF-SA).</t>
  </si>
  <si>
    <t>0964-5691</t>
  </si>
  <si>
    <t>1873-524X</t>
  </si>
  <si>
    <t>OCEAN COAST MANAGE</t>
  </si>
  <si>
    <t>Ocean Coastal Manage.</t>
  </si>
  <si>
    <t>10.1016/j.ocecoaman.2019.104824</t>
  </si>
  <si>
    <t>Oceanography; Water Resources</t>
  </si>
  <si>
    <t>IM1XF</t>
  </si>
  <si>
    <t>WOS:000477784400020</t>
  </si>
  <si>
    <t>Kelly, R; Fleming, A; Pecl, GT</t>
  </si>
  <si>
    <t>Kelly, Rachel; Fleming, Aysha; Pecl, Gretta T.</t>
  </si>
  <si>
    <t>Citizen science and social licence: Improving perceptions and connecting marine user groups</t>
  </si>
  <si>
    <t>Citizen science; Marine resource use; Social licence; Stakeholder engagement; Trust</t>
  </si>
  <si>
    <t>CONSERVATION SCIENCE; OPERATE; GOVERNANCE; MANAGEMENT; PARTICIPANTS; LEGITIMACY; INTERVIEWS; MATTER; SCALE; TOOL</t>
  </si>
  <si>
    <t>Marine stakeholder groups have diverse relationships with the ocean and life within it, which can create conflict and distrust between them. Citizen science and social licence present promising means to develop dialogue between these diverse marine stakeholders and improve outcomes for marine management. Citizen science can be defined as public engagement in scientific research and activities and amongst other benefits, has been demonstrated to improve communication and relationships amongst resource management and stakeholder groups. Social licence is a concept that reflects unwritten permission from the public for others to use and manage natural resources, and has become an important theme for development in the marine realm. We explore a case-study of the marine citizen science programme Redmap Australia, utilising a mixed-methods approach to understand community perceptions of other marine user groups. We explore how marine users legitimise one another, and how this relates to building relationships and developing social licence. Our results show that participation in citizen science can allow users to display their marine citizenship and shared concern about the marine environment, and that this can allow them to earn trust from other user groups. We conclude that participation in citizen science improves perceptions of trustworthiness and can enhance social licence for marine user groups, with positive implications for marine and coastal management. These outcomes provide fruitful insights on marine resource user groups' perceptions that can help to advise future developments in the growing fields of citizen science practice and citizen science research.</t>
  </si>
  <si>
    <t>[Kelly, Rachel; Pecl, Gretta T.] Inst Marine &amp; Antarctic Studies, Hobart, Tas 7001, Australia; [Kelly, Rachel; Fleming, Aysha; Pecl, Gretta T.] Univ Tasmania, Ctr Marine Socioecol, Hobart, Tas 7005, Australia; [Fleming, Aysha] CSIRO Land &amp; Water, Castray Esplanade Hobart, Tas 7001, Australia</t>
  </si>
  <si>
    <t>University of Tasmania; University of Tasmania; Commonwealth Scientific &amp; Industrial Research Organisation (CSIRO)</t>
  </si>
  <si>
    <t>Kelly, R (corresponding author), Inst Marine &amp; Antarctic Studies, Hobart, Tas 7001, Australia.</t>
  </si>
  <si>
    <t>r.kelly@utas.edu.au</t>
  </si>
  <si>
    <t>Pecl, Gretta/D-7267-2011; Fleming, Aysha/E-8753-2011; Kelly, Rachel/U-8836-2019</t>
  </si>
  <si>
    <t>Pecl, Gretta/0000-0003-0192-4339; Fleming, Aysha/0000-0001-9895-1928; Kelly, Rachel/0000-0002-8364-1836</t>
  </si>
  <si>
    <t>New South Wales Recreational Fishing Trust [SS206]; Australian Research Council Future Fellowship</t>
  </si>
  <si>
    <t>New South Wales Recreational Fishing Trust; Australian Research Council Future Fellowship(Australian Research Council)</t>
  </si>
  <si>
    <t>This research project was supported by the New South Wales Recreational Fishing Trust (ref SS206; 2017). GP was also supported by an Australian Research Council Future Fellowship.</t>
  </si>
  <si>
    <t>London</t>
  </si>
  <si>
    <t>125 London Wall, London, ENGLAND</t>
  </si>
  <si>
    <t>10.1016/j.ocecoaman.2019.104855</t>
  </si>
  <si>
    <t>WOS:000477784400030</t>
  </si>
  <si>
    <t>Fogt, RL; Schneider, DP; Goergens, CA; Jones, JM; Clark, LN; Garberoglio, MJ</t>
  </si>
  <si>
    <t>Fogt, Ryan L.; Schneider, David P.; Goergens, Chad A.; Jones, Julie M.; Clark, Logan N.; Garberoglio, Michael J.</t>
  </si>
  <si>
    <t>Seasonal Antarctic pressure variability during the twentieth century from spatially complete reconstructions and CAM5 simulations</t>
  </si>
  <si>
    <t>CLIMATE DYNAMICS</t>
  </si>
  <si>
    <t>SEA-SURFACE TEMPERATURE; RELATIVE INFLUENCE; TRENDS; CIRCULATION; CLIMATE; SAM; UPGRADES; DATABASE; ENSO</t>
  </si>
  <si>
    <t>As most permanent observations in Antarctica started in the 1950s, understanding Antarctic climate variations throughout the twentieth century remains a challenge. To address this issue, the non-summer multi-decadal variability in pressure reconstructions poleward of 60 degrees S is evaluated and assessed in conjunction with climate model simulations throughout the twentieth and early twenty-first centuries to understand historical atmospheric circulation variability over Antarctica. Austral autumn and winter seasons show broadly similar patterns, with negative anomalies in the early twentieth century (1905-1934), positive pressure anomalies in the middle twentieth century (1950-1980), and negative pressure anomalies in the most recent period (1984-2013), consistent with concurrent trends in the SAM index. In autumn, the anomalies are significant in the context of estimates of interannual variability and reconstruction uncertainty across most of the Antarctic continent, and the reconstructed patterns agree best with model-generated patterns when the simulation includes the forced response to tropical sea surface temperatures and external radiative forcing. In winter and spring, the reconstructed anomalies are less significant and are consistent with internal atmospheric variability alone. The specific role of tropical SST variability on pressure trends in these seasons is difficult to assess due to low reconstruction skill in the region of strongest tropical teleconnections, the large internal atmospheric variability, and uncertainty in the SST patterns themselves. Indirect estimates of pressure variability, whether through sea ice reconstructions, proxy records, or improved models and data assimilation schemes, will help to further constrain the magnitude of internal variability relative to the forced responses expected from SST trends and external radiative forcing.</t>
  </si>
  <si>
    <t>[Fogt, Ryan L.; Goergens, Chad A.; Clark, Logan N.; Garberoglio, Michael J.] Ohio Univ, Dept Geog, 122 Clippinger Labs, Athens, OH 45701 USA; [Fogt, Ryan L.; Goergens, Chad A.; Clark, Logan N.; Garberoglio, Michael J.] Ohio Univ, Scalia Lab Atmospher Anal, 122 Clippinger Labs, Athens, OH 45701 USA; [Schneider, David P.] Natl Ctr Atmospher Res, POB 3000, Boulder, CO 80307 USA; [Jones, Julie M.] Univ Sheffield, Dept Geog, Sheffield, S Yorkshire, England</t>
  </si>
  <si>
    <t>University System of Ohio; Ohio University; University System of Ohio; Ohio University; National Center Atmospheric Research (NCAR) - USA; University of Sheffield</t>
  </si>
  <si>
    <t>Fogt, RL (corresponding author), Ohio Univ, Dept Geog, 122 Clippinger Labs, Athens, OH 45701 USA.;Fogt, RL (corresponding author), Ohio Univ, Scalia Lab Atmospher Anal, 122 Clippinger Labs, Athens, OH 45701 USA.</t>
  </si>
  <si>
    <t>fogtr@ohio.edu</t>
  </si>
  <si>
    <t>Fogt, Ryan L/B-6989-2008; Schneider, David/E-2726-2010</t>
  </si>
  <si>
    <t>Fogt, Ryan L/0000-0002-5398-3990; Schneider, David/0000-0001-5308-1834</t>
  </si>
  <si>
    <t>National Science Foundation (NSF) [PLR-1341621]; NSF [PLR-1341527]; National Center for Atmospheric Research; National Science Foundation [1852977]</t>
  </si>
  <si>
    <t>National Science Foundation (NSF)(National Science Foundation (NSF)); NSF(National Science Foundation (NSF)); National Center for Atmospheric Research; National Science Foundation(National Science Foundation (NSF))</t>
  </si>
  <si>
    <t>Data from both the station-based and spatial pressure reconstructions are available from figshare at the following URLs: https ://doi. org/10.6084/m9. figsh are. 34128 13 (station reconstructions) and https ://doi. org/10.6084/m9. figsh are. 53255 41 (spatial reconstructions). Data for the climate model simulations may be downloaded by following the links at http://www.cesm.ucar.edu/experiments/cesm1.1/LE, or by contacting the authors. RLF, CAG, LNC and MJG acknowledge support from the National Science Foundation (NSF), Grant PLR-1341621, while DPS acknowledges support from NSF Grant PLR-1341527. The Climate Variability and Change Working Group of the Community Earth System Model led the production of the CAM5 experiments with time-varying tropical or global SSTs and time-varying radiative forcing. This material is based upon work supported by the National Center for Atmospheric Research, which is a major facility sponsored by the National Science Foundation under Cooperative Agreement no. 1852977.</t>
  </si>
  <si>
    <t>0930-7575</t>
  </si>
  <si>
    <t>1432-0894</t>
  </si>
  <si>
    <t>CLIM DYNAM</t>
  </si>
  <si>
    <t>Clim. Dyn.</t>
  </si>
  <si>
    <t>3-4</t>
  </si>
  <si>
    <t>10.1007/s00382-019-04674-8</t>
  </si>
  <si>
    <t>II9ZA</t>
  </si>
  <si>
    <t>WOS:000475558800012</t>
  </si>
  <si>
    <t>Kandalski, PK; Zaleski, T; Forgati, M; Baduy, F; Eugênio, DS; Machado, C; de Souza, MRDP; Piechnik, CA; Fávaro, LF; Donatti, L</t>
  </si>
  <si>
    <t>Kandalski, Priscila Krebsbach; Zaleski, Tania; Forgati, Mariana; Baduy, Flavia; Eugenio, Danilo Santos; Machado, Cintia; Dmengeon Pedreiro de Souza, Maria Rosa; Piechnik, Claudio Adriano; Favaro, Luis Fernando; Donatti, Lucelia</t>
  </si>
  <si>
    <t>Effect of long-term thermal challenge on the Antarctic notothenioid Notothenia rossii</t>
  </si>
  <si>
    <t>FISH PHYSIOLOGY AND BIOCHEMISTRY</t>
  </si>
  <si>
    <t>Notothenioid fishes; Temperature; Energy metabolism; Antioxidant defense; Environmental biology; Fish condition</t>
  </si>
  <si>
    <t>ANTIOXIDANT DEFENSE SYSTEM; OXIDATIVE STRESS; BIOCHEMICAL PARAMETERS; CLIMATE-CHANGE; TEMPERATURE-ACCLIMATION; ELEVATED-TEMPERATURE; CLARIAS-GARIEPINUS; GOLDFISH TISSUES; AFRICAN CATFISH; COLD ADAPTATION</t>
  </si>
  <si>
    <t>The thermal stability of the Antarctic Ocean raises questions concerning the metabolic plasticity of Antarctic notothenioids to changes in the environmental temperature. In this study, Notothenia rossii survived 90 days at 8 degrees C, and their condition factor level was maintained. However, their hepatosomatic (0.29x) index decreased, indicating a decrease in nutrient storage as a result of changes in the energy demands to support survival. At 8 degrees C, the plasma calcium, magnesium, cholesterol, and triglyceride concentrations decreased, whereas the glucose (1.91x) and albumin (1.26x) concentrations increased. The main energy substrate of the fish changed from lipids to glucose due to a marked increase in lactate dehydrogenase activity, as demonstrated by an increase in anaerobic metabolism. Moreover, malate dehydrogenase activity increased in all tissues, suggesting that fish acclimated at 8 degrees C exhibit enhanced gluconeogenesis. The aerobic demand increased only in the liver due to an increase (2.23x) in citrate synthase activity. Decreases in the activities of superoxide dismutase, catalase, and glutathione-Stransferase to levels that are most likely sufficient at 8 degrees C were observed, establishing a new physiological activity range for antioxidant defense. Our findings indicate that N. rossii has some compensatory mechanisms that enabled its long-term survival at 8 degrees C.</t>
  </si>
  <si>
    <t>[Kandalski, Priscila Krebsbach; Zaleski, Tania; Forgati, Mariana; Baduy, Flavia; Eugenio, Danilo Santos; Machado, Cintia; Dmengeon Pedreiro de Souza, Maria Rosa; Piechnik, Claudio Adriano; Donatti, Lucelia] Univ Fed Parana, Adapt Biol Lab, Dept Cell Biol, Curitiba, Parana, Brazil; [Baduy, Flavia] Univ Algarve, CCMar, Comparat Endocrinol &amp; Integrat Biol, Faro, Portugal; [Favaro, Luis Fernando] Univ Fed Parana, Dept Cell Biol, Fish Reprod &amp; Community Lab, Curitiba, Parana, Brazil</t>
  </si>
  <si>
    <t>Universidade Federal do Parana; Universidade do Algarve; Universidade Federal do Parana</t>
  </si>
  <si>
    <t>Donatti, L (corresponding author), Univ Fed Parana, Adapt Biol Lab, Dept Cell Biol, Curitiba, Parana, Brazil.</t>
  </si>
  <si>
    <t>donatti@ufpr.br</t>
  </si>
  <si>
    <t>de Souza, Maria Rosa Dmengeon Pedreiro/AAG-9661-2020; Piechnik, Cláudio/P-2012-2015; Favaro, Luis/A-5795-2013; Donatti, Lucelia/E-1930-2013</t>
  </si>
  <si>
    <t>de Souza, Maria Rosa Dmengeon Pedreiro/0000-0003-3745-5589; Favaro, Luis/0000-0001-7306-5858; Donatti, Lucelia/0000-0002-9023-2483; machado, cintia/0000-0002-3570-1611; Piechnik, Claudio Adriano/0000-0002-2972-9327; ZALESKI, TANIA/0000-0001-7426-7312</t>
  </si>
  <si>
    <t>CAPES; CNPq; FAPERJ through projects PNPD (CAPES) [2443/2011]; EBA (MCTI/CNPq) [52.0125/2008-8]; INCT-APA (CNPq) [574018/2008-5, FAPERJ E-26/170.023/2008]; EBA (CNPq) [305562/2009-6, 305969/2012-9]</t>
  </si>
  <si>
    <t>CAPES(Coordenacao de Aperfeicoamento de Pessoal de Nivel Superior (CAPES)); CNPq(Conselho Nacional de Desenvolvimento Cientifico e Tecnologico (CNPQ)); FAPERJ through projects PNPD (CAPES); EBA (MCTI/CNPq); INCT-APA (CNPq)(Conselho Nacional de Desenvolvimento Cientifico e Tecnologico (CNPQ)); EBA (CNPq)(Conselho Nacional de Desenvolvimento Cientifico e Tecnologico (CNPQ)Fundacao de Apoio a Pesquisa do Distrito Federal (FAPDF))</t>
  </si>
  <si>
    <t>The study was funded by CAPES, CNPq, and FAPERJ through projects PNPD (CAPES process Auxpe N. 2443/2011), EBA (MCTI/CNPq Process N. 52.0125/2008-8, International Polar Year), research productivity granted to L. Donatti (CNPq Process N. 305562/2009-6 and 305969/2012-9), and INCT-APA (CNPq Process N. 574018/2008-5 and FAPERJ E-26/170.023/2008).</t>
  </si>
  <si>
    <t>0920-1742</t>
  </si>
  <si>
    <t>1573-5168</t>
  </si>
  <si>
    <t>FISH PHYSIOL BIOCHEM</t>
  </si>
  <si>
    <t>Fish Physiol. Biochem.</t>
  </si>
  <si>
    <t>10.1007/s10695-019-00660-3</t>
  </si>
  <si>
    <t>Biochemistry &amp; Molecular Biology; Fisheries; Physiology</t>
  </si>
  <si>
    <t>IK4CX</t>
  </si>
  <si>
    <t>WOS:000476535800019</t>
  </si>
  <si>
    <t>Seviour, WJM; Codron, F; Doddridge, EW; Ferreira, D; Gnanadesikan, A; Kelley, M; Kostov, Y; Marshall, J; Polvani, LM; Thomas, JL; Waugh, DW</t>
  </si>
  <si>
    <t>Seviour, W. J. M.; Codron, F.; Doddridge, E. W.; Ferreira, D.; Gnanadesikan, A.; Kelley, M.; Kostov, Y.; Marshall, J.; Polvani, L. M.; Thomas, J. L.; Waugh, D. W.</t>
  </si>
  <si>
    <t>The Southern Ocean Sea Surface Temperature Response to Ozone Depletion: A Multimodel Comparison</t>
  </si>
  <si>
    <t>Southern Ocean; Annular mode; Atmosphere-ocean interaction; Sea surface temperature; Ozone; Coupled models</t>
  </si>
  <si>
    <t>STRATOSPHERIC OZONE; TRANSIENT-RESPONSE; ANNULAR MODE; ICE RESPONSE; CLIMATE; CIRCULATION; ATMOSPHERE; TRENDS; SALINITY; HOLE</t>
  </si>
  <si>
    <t>The effect of the Antarctic ozone hole extends downward from the stratosphere, with clear signatures in surface weather patterns including a positive trend in the southern annular mode (SAM). Several recent studies have used coupled climate models to investigate the impact of these changes on Southern Ocean sea surface temperature (SST), notably motivated by the observed cooling from the late 1970s. Here we examine the robustness of these model results through comparison of both previously published and new simulations. We focus on the calculation of climate response functions (CRFs), transient responses to an instantaneous step change in ozone concentrations. The CRF for most models consists of a rapid cooling of SST followed by a slower warming trend. However, intermodel comparison reveals large uncertainties, such that even the sign of the impact of ozone depletion on historical SST, when reconstructed from the CRF, remains unconstrained. Comparison of these CRFs with SST responses to a hypothetical step change in the SAM, inferred through lagged linear regression, shows broadly similar results. Causes of uncertainty are explored by examining relationships between model climatologies and their CRFs. The intermodel spread in CRFs can be reproduced by varying a single subgrid-scale mixing parameter within a single model. Antarctic sea ice CRFs are also calculated: these do not generally exhibit the two-time-scale behavior of SST, suggesting a complex relationship between the two. Finally, by constraining model climatology-response relationships with observational values, we conclude that ozone depletion is unlikely to have been the primary driver of the observed SST cooling trend.</t>
  </si>
  <si>
    <t>[Seviour, W. J. M.; Gnanadesikan, A.; Thomas, J. L.; Waugh, D. W.] Johns Hopkins Univ, Dept Earth &amp; Planetary Sci, Baltimore, MD 21218 USA; [Seviour, W. J. M.] Univ Bristol, Sch Geog Sci, Bristol, Avon, England; [Codron, F.] Sorbonne Univ, CNRS, LOCEAN, IRD,MNHN,IPSL, Paris, France; [Doddridge, E. W.; Marshall, J.] MIT, Dept Earth Atmospher &amp; Planetary Sci, Cambridge, MA USA; [Ferreira, D.] Univ Reading, Dept Meteorol, Reading, Berks, England; [Kelley, M.] NASA, Goddard Inst Space Studies, New York, NY 10025 USA; [Kostov, Y.] Univ Oxford, Dept Phys, Oxford, England; [Polvani, L. M.] Columbia Univ, Appl Phys &amp; Appl Math Dept, New York, NY USA; [Polvani, L. M.] Columbia Univ, Lamont Doherty Earth Observ, Dept Earth &amp; Environm Sci, Palisades, NY USA; [Waugh, D. W.] Univ New South Wales, Sch Math, Sydney, NSW, Australia</t>
  </si>
  <si>
    <t>Johns Hopkins University; University of Bristol; Museum National d'Histoire Naturelle (MNHN); Centre National de la Recherche Scientifique (CNRS); Sorbonne Universite; Institut de Recherche pour le Developpement (IRD); Universite Paris Cite; Massachusetts Institute of Technology (MIT); University of Reading; National Aeronautics &amp; Space Administration (NASA); NASA Goddard Space Flight Center; Goddard Institute for Space Studies; University of Oxford; Columbia University; Columbia University; University of New South Wales Sydney</t>
  </si>
  <si>
    <t>Seviour, WJM (corresponding author), Johns Hopkins Univ, Dept Earth &amp; Planetary Sci, Baltimore, MD 21218 USA.;Seviour, WJM (corresponding author), Univ Bristol, Sch Geog Sci, Bristol, Avon, England.</t>
  </si>
  <si>
    <t>w.seviour@bristol.ac.uk</t>
  </si>
  <si>
    <t>Waugh, Darryn W/K-3688-2016; Ferreira, David/JNR-2354-2023; Keyes, Dennis/AAZ-9285-2021; Gnanadesikan, Anand/A-2397-2008; Doddridge, Edward/GRJ-6149-2022; Polvani, Lorenzo M/E-5949-2011; Codron, Francis/F-2719-2014; Ferreira, David/JJD-6133-2023</t>
  </si>
  <si>
    <t>Codron, Francis/0000-0001-7038-6189; Seviour, William/0000-0003-1622-0545; Doddridge, Edward/0000-0002-6097-5729</t>
  </si>
  <si>
    <t>National Science Foundation [FESD-1338814]</t>
  </si>
  <si>
    <t>This work was supported by the National Science Foundation under NSF proposal FESD-1338814. Data from the CRF simulations analyzed here are available from the authors on request. CMIP5 data used in this study are freely available through the Earth System Grid Federation (https://esgf-node.llnl.gov).</t>
  </si>
  <si>
    <t>10.1175/JCLI-D-19-0109.1</t>
  </si>
  <si>
    <t>IK5ZT</t>
  </si>
  <si>
    <t>Green Submitted, Green Accepted, Bronze, Green Published</t>
  </si>
  <si>
    <t>WOS:000476665300002</t>
  </si>
  <si>
    <t>Riekkola, L; Andrews-Goff, V; Friedlaender, A; Constantine, R; Zerbini, AN</t>
  </si>
  <si>
    <t>Riekkola, Leena; Andrews-Goff, Virginia; Friedlaender, Ari; Constantine, Rochelle; Zerbini, Alexandre N.</t>
  </si>
  <si>
    <t>Environmental drivers of humpback whale foraging behavior in the remote Southern Ocean</t>
  </si>
  <si>
    <t>JOURNAL OF EXPERIMENTAL MARINE BIOLOGY AND ECOLOGY</t>
  </si>
  <si>
    <t>Foraging behavior; Habitat use; Migration; Telemetry; Whales</t>
  </si>
  <si>
    <t>ANTARCTIC KRILL; SEA-ICE; EUPHAUSIA-SUPERBA; MOVEMENT ECOLOGY; FEEDING-BEHAVIOR; MARINE PREDATOR; DIEL VARIATION; CLIMATE-CHANGE; BALEEN WHALES; ARRIVAL DATE</t>
  </si>
  <si>
    <t>Satellite telemetry and animal movement models advance our ability to remotely monitor the behavior of wideranging species. Understanding how different behaviors (e.g. foraging) are shaped by dynamic environmental features is fundamental to understanding ecological interactions and the impact of variability. In this study we deployed satellite-linked tags on humpback whales (Megaptera novaeangliae) and used state-space models to estimate locations and to infer underlying behavioral states. We then modelled the association between whale behavior (e.g. foraging or transiting) and environmental variables using linear mixed-effect models, We identified the importance of two recently discovered Southern Ocean feeding areas for Oceania humpback whales as well as the key environmental drivers affecting whale behavior. We detected behavioral differences between whales utilizing the two adjacent feeding regions (similar to 2000 km apart), which were likely caused by animals trying to efficiently locate prey in relation to the dynamic environmental characteristics of each habitat. We observed a seasonal pattern in foraging behavior, with the peak occurring in the middle of summer. Whales also foraged more intensively with increasing proximity to areas from which the ice edge had recently retreated, suggesting heightened productivity in these areas. The relationship between the animals and the physical features of the seascape, as well as the behavioral plasticity observed, could have implications for the future recovery of these whales in a changing Southern Ocean.</t>
  </si>
  <si>
    <t>[Riekkola, Leena; Constantine, Rochelle] Univ Auckland, Sch Biol Sci, Private Bag 92019, Auckland, New Zealand; [Andrews-Goff, Virginia] Australian Marine Mammal Ctr, Australian Antarctic Div, 203 Channel Hwy, Kingston, Tas 7050, Australia; [Friedlaender, Ari] Univ Calif Santa Cruz, Inst Marine Sci, 115 McAllister Way, Santa Cruz, CA 95060 USA; [Constantine, Rochelle] Univ Auckland, Inst Marine Sci, Private Bag 92019, Auckland, New Zealand; [Zerbini, Alexandre N.] Alaska Fisheries Sci Ctr, Marine Mammal Lab, 7600 Sand Point Way NE, Seattle, WA 98115 USA; [Zerbini, Alexandre N.] Cascadia Res Collect, 218 1-2 W 4th Ave, Olympia, WA 98501 USA</t>
  </si>
  <si>
    <t>University of Auckland; Australian Antarctic Division; University of California System; University of California Santa Cruz; University of Auckland; National Oceanic Atmospheric Admin (NOAA) - USA</t>
  </si>
  <si>
    <t>Riekkola, L (corresponding author), Univ Auckland, Sch Biol Sci, Private Bag 92019, Auckland, New Zealand.</t>
  </si>
  <si>
    <t>lrie003@aucklanduni.ac.nz</t>
  </si>
  <si>
    <t>Zerbini, Alexandre/ABH-3916-2020</t>
  </si>
  <si>
    <t>Zerbini, Alexandre/0000-0002-9776-6605; Riekkola, Leena/0000-0002-9653-7106; Andrews-Goff, Virginia/0000-0002-4609-7317</t>
  </si>
  <si>
    <t>Ministry for Primary Industries, New Zealand - BRAG; Pew Charitable Trusts, United States; Southern Ocean Research Partnership - International Whaling Commission; Australian Antarctic Division, Australia; University of Auckland, New Zealand; Institut de Recherche pour le Developpement, France; Conservation International, United States; Blue Planet Marine, Australia; Operation Cetaces, New Caledonia; National Marine Mammal Laboratory -NOAA, United States; Australasian Society for the Study of Animal Behaviour; Scientific Committee on Antarctic Research (SCAR), United Kingdom Fellowship</t>
  </si>
  <si>
    <t>This work was supported by the Ministry for Primary Industries, New Zealand - BRAG; Pew Charitable Trusts, United States; Southern Ocean Research Partnership - International Whaling Commission; Australian Antarctic Division, Australia; University of Auckland, New Zealand; Institut de Recherche pour le Developpement, France; Conservation International, United States; Blue Planet Marine, Australia; Operation Cetaces, New Caledonia; National Marine Mammal Laboratory -NOAA, United States; the Australasian Society for the Study of Animal Behaviour, and Scientific Committee on Antarctic Research (SCAR), United Kingdom Fellowship to L.R. We thank the crew of RV Braveheart; the Raoulies -Department of Conservation; Kevin Chang -University of Auckland; Charlotte Boyd -National Oceanic and Atmospheric Administration; Mike Double, Ben Raymond and Sophie Bestley -Australian Antarctic Division, and Ben Weinstein University of Florida. Kia ora Ngati Kuri and Te Aupouri for allowing us to work with their taonga. Research was conducted under University of Auckland Animal Ethics AEC001587 and Department of Conservation Permit #44388-MAR.</t>
  </si>
  <si>
    <t>0022-0981</t>
  </si>
  <si>
    <t>1879-1697</t>
  </si>
  <si>
    <t>J EXP MAR BIOL ECOL</t>
  </si>
  <si>
    <t>J. Exp. Mar. Biol. Ecol.</t>
  </si>
  <si>
    <t>10.1016/j.jembe.2019.05.008</t>
  </si>
  <si>
    <t>Ecology; Marine &amp; Freshwater Biology</t>
  </si>
  <si>
    <t>IJ6FW</t>
  </si>
  <si>
    <t>WOS:000475998800001</t>
  </si>
  <si>
    <t>Whittle, A; Amesbury, MJ; Charman, DJ; Hodgson, DA; Perren, BB; Roberts, SJ; Gallego-Sala, AV</t>
  </si>
  <si>
    <t>Whittle, Alex; Amesbury, Matthew J.; Charman, Dan J.; Hodgson, Dominic A.; Perren, Bianca B.; Roberts, Stephen J.; Gallego-Sala, Angela V.</t>
  </si>
  <si>
    <t>Salt-Enrichment Impact on Biomass Production in a Natural Population of Peatland Dwelling Arcellinida and Euglyphida (Testate Amoebae)</t>
  </si>
  <si>
    <t>MICROBIAL ECOLOGY</t>
  </si>
  <si>
    <t>Testate amoebae; Sub-Antarctica; Salinity; Southern hemisphere westerly winds; Bioindicators</t>
  </si>
  <si>
    <t>INDICATORS; RHIZOPODA; ESTUARY</t>
  </si>
  <si>
    <t>Unicellular free-living microbial eukaryotes of the order Arcellinida (Tubulinea; Amoebozoa) and Euglyphida (Cercozoa; SAR), commonly termed testate amoebae, colonise almost every freshwater ecosystem on Earth. Patterns in the distribution and productivity of these organisms are strongly linked to abiotic conditions-particularly moisture availability and temperature-however, the ecological impacts of changes in salinity remain poorly documented. Here, we examine how variable salt concentrations affect a natural community of Arcellinida and Euglyphida on a freshwater sub-Antarctic peatland. We principally report that deposition of wind-blown oceanic salt-spray aerosols onto the peatland surface corresponds to a strong reduction in biomass and to an alteration in the taxonomic composition of communities in favour of generalist taxa. Our results suggest novel applications of this response as a sensitive tool to monitor salinisation of coastal soils and to detect salinity changes within peatland palaeoclimate archives. Specifically, we suggest that these relationships could be used to reconstruct millennial scale variability in salt-spray deposition-a proxy for changes in wind-conditions-from sub-fossil communities of Arcellinida and Euglyphida preserved in exposed coastal peatlands.</t>
  </si>
  <si>
    <t>[Whittle, Alex; Amesbury, Matthew J.; Charman, Dan J.; Gallego-Sala, Angela V.] Univ Exeter, Dept Geog, Exeter EX4 4RJ, Devon, England; [Whittle, Alex; Hodgson, Dominic A.; Perren, Bianca B.; Roberts, Stephen J.] British Antarctic Survey, Nat Environm Res Council, Madingley Rd, Cambridge CB3 0ET, England; [Amesbury, Matthew J.] Univ Helsinki, Fac Biol &amp; Environm Sci, ECRU, Helsinki, Finland; [Hodgson, Dominic A.] Univ Durham, Dept Geog, Durham DH1 3LE, England</t>
  </si>
  <si>
    <t>University of Exeter; UK Research &amp; Innovation (UKRI); Natural Environment Research Council (NERC); NERC British Antarctic Survey; University of Helsinki; Durham University</t>
  </si>
  <si>
    <t>Whittle, A (corresponding author), Univ Exeter, Dept Geog, Exeter EX4 4RJ, Devon, England.;Whittle, A (corresponding author), British Antarctic Survey, Nat Environm Res Council, Madingley Rd, Cambridge CB3 0ET, England.</t>
  </si>
  <si>
    <t>aw424@exeter.ac.uk</t>
  </si>
  <si>
    <t>Gallego-Sala, Angela/G-8770-2012; Whittle, Alex/AAH-5826-2020; Charman, Dan/K-9303-2014</t>
  </si>
  <si>
    <t>Gallego-Sala, Angela/0000-0002-7483-7773; Whittle, Alex/0000-0001-9615-7579; Roberts, Stephen/0000-0003-3407-9127; Charman, Dan/0000-0003-3464-4536; Perren, Bianca/0000-0001-6089-6468; Amesbury, Matthew/0000-0002-4667-003X</t>
  </si>
  <si>
    <t>South African National Antarctic Program; Natural Environment Research Council GW4+ DTP studentship [NE/L002434/1]; NERC [bas0100030, NE/H014810/1, NE/H014896/1, NE/K004514/1] Funding Source: UKRI</t>
  </si>
  <si>
    <t>South African National Antarctic Program; Natural Environment Research Council GW4+ DTP studentship; NERC(UK Research &amp; Innovation (UKRI)Natural Environment Research Council (NERC))</t>
  </si>
  <si>
    <t>We thank Prof. Steven L. Chown for sponsoring our visits to Marion Island with the South African National Antarctic Program. Dominic Hodgson carried out fieldwork with support from Dr. Bernard Coetzee, Mashudu Mashau, and Rashawi Kgopong of the University of Stellenbosh, RSA. Dr. Elie Verleyen and Dr. Wim Van Nieuwenhuyze of the University of Ghent, Belgium, carried out initial site reconnaissance. Members of the Marion Island wintering teams M69 and M70, and Starlight Aviation provided local support and access to the field sites. Alex Whittle was supported by a Natural Environment Research Council GW4+ DTP studentship, grant number NE/L002434/1. We are thankful for the constructive suggestions made by Edward Mitchell and two anonymous reviewers.</t>
  </si>
  <si>
    <t>0095-3628</t>
  </si>
  <si>
    <t>1432-184X</t>
  </si>
  <si>
    <t>MICROB ECOL</t>
  </si>
  <si>
    <t>Microb. Ecol.</t>
  </si>
  <si>
    <t>10.1007/s00248-018-1296-8</t>
  </si>
  <si>
    <t>Ecology; Marine &amp; Freshwater Biology; Microbiology</t>
  </si>
  <si>
    <t>Environmental Sciences &amp; Ecology; Marine &amp; Freshwater Biology; Microbiology</t>
  </si>
  <si>
    <t>IJ2AI</t>
  </si>
  <si>
    <t>Green Accepted, hybrid, Green Published, Green Submitted</t>
  </si>
  <si>
    <t>WOS:000475700200022</t>
  </si>
  <si>
    <t>Gadea, A; Charrier, M; Fanuel, M; Clerc, P; Daugan, C; Sauvager, A; Rogniaux, H; Boustie, J; Le Lamer, AC; Lohézic-Le Devehat, F</t>
  </si>
  <si>
    <t>Gadea, Alice; Charrier, Maryvonne; Fanuel, Mathieu; Clerc, Philippe; Daugan, Corentin; Sauvager, Aurelie; Rogniaux, Helene; Boustie, Joel; Le Lamer, Anne-Cecile; Lohezic-Le Devehat, Francoise</t>
  </si>
  <si>
    <t>Overcoming deterrent metabolites by gaining essential nutrients: A lichen/snail case study</t>
  </si>
  <si>
    <t>PHYTOCHEMISTRY</t>
  </si>
  <si>
    <t>Usnea taylorii; Parmeliaceae; Notodiscus hookeri; Mass spectrometry imaging; Feeding choice; Lichen; Snail; Usnic acid; D-arabitol</t>
  </si>
  <si>
    <t>LOBARIA-PULMONARIA; SECONDARY COMPOUNDS; USNIC ACID; GASTROPODA; SNAILS; PALATABILITY; PARMELIACEAE; SCROBICULATA; DEPENDS; DAMAGE</t>
  </si>
  <si>
    <t>Specialised metabolites in lichens are generally considered repellent compounds by consumers. Nevertheless, if the only food available is lichens rich in specialised metabolites, lichenophages must implement strategies to overcome the toxicity of these metabolites. Thus, the balance between phagostimulant nutrients and deterrent metabolites could play a key role in feeding preferences. To further understand lichen-gastropod interactions, we studied the feeding behaviour and consumption in Notodiscus hookeri, the land snail native to sub-Antarctic islands. The lichen Usnea taylorii was used because of its simple chemistry, its richness in usnic acid (specialised metabolite) and arabitol (primary metabolite) and its presence in snail habitats. Choice tests in arenas with intact lichens versus acetone-rinsed lichens were carried out to study the influence of specialised metabolites on snail behaviour and feeding preference. Simultaneously, usnic acid and arabitol were quantified and located within the lichen thallus using HPLC-DAD-MS and in situ imaging by mass spectrometry to assess whether their spatial distribution explained preferential snail grazing. No-choice feeding experiments, with the pure metabolites embedded in an artificial diet, defined a gradual gustatory response, from strong repellence (usnic acid) to high appetence (D-arabitol). This case study demonstrates that the nutritional activity of N. hookeri is governed by the chemical quality of the food and primarily by nutrient availability (arabitol), despite the presence of deterrent metabolite (usnic acid).</t>
  </si>
  <si>
    <t>[Gadea, Alice; Daugan, Corentin; Sauvager, Aurelie; Boustie, Joel; Lohezic-Le Devehat, Francoise] Univ Rennes, CNRS, ISCR, UMR 6226, F-35000 Rennes, France; [Gadea, Alice; Charrier, Maryvonne] Univ Rennes, CNRS, ECOBIO Ecosyst Biodiversite Evolut, UMR 6553, F-35000 Rennes, France; [Fanuel, Mathieu; Rogniaux, Helene] INRA, Biopolymers Interact Assemblies UR1268, F-44316 Nantes, France; [Clerc, Philippe] Conservatoire &amp; Jardin Bot, Dept Culture &amp; Sport, Chemin Imperatrice 1, CH-1292 Chambesy, Switzerland; [Le Lamer, Anne-Cecile] Univ Toulouse, PharmaDev UMR152, IRD, UPS, F-31400 Toulouse, France</t>
  </si>
  <si>
    <t>Universite de Rennes; Centre National de la Recherche Scientifique (CNRS); CNRS - Institute of Chemistry (INC); Centre National de la Recherche Scientifique (CNRS); CNRS - Institute of Ecology &amp; Environment (INEE); Universite de Rennes; INRAE; Universite de Toulouse; Universite Toulouse III - Paul Sabatier; Institut de Recherche pour le Developpement (IRD)</t>
  </si>
  <si>
    <t>Lohézic-Le Devehat, F (corresponding author), Univ Rennes 1, UFR Pharm, 2 Ave Prof Leon Bernard, F-35043 Rennes, France.</t>
  </si>
  <si>
    <t>francoise.le-devehat@univ-rennes1.fr</t>
  </si>
  <si>
    <t>fanuel, mathieu/GZG-9822-2022; Clerc, Philippe/B-9387-2012; GADEA, Alice/AAY-3991-2020</t>
  </si>
  <si>
    <t>GADEA, Alice/0000-0002-7516-0514; Fanuel, Mathieu/0000-0001-8384-8266; Clerc, Philippe/0000-0003-1453-0865</t>
  </si>
  <si>
    <t>l'Institut Polaire Paul-Emile Victor, Plouzane, France (IPEV) [136]</t>
  </si>
  <si>
    <t>l'Institut Polaire Paul-Emile Victor, Plouzane, France (IPEV)</t>
  </si>
  <si>
    <t>Subantarctic field trip was funded by l'Institut Polaire Paul-Emile Victor, Plouzane, France (IPEV, programme 136). Dr Damien Ertz is acknowledged for the identification on the field of the lichen Usnea taylorii and for his help with the snails' collection. Julien Tommasino and Grichka Biver are thanked for their contribution in producing a part of this data set. Aude Boutet, Julien Tommasino and Benjamin Ferlay are warmly thanked for their help during the fieldwork. Sugars and polyols quantifications were conducted at the P2M2 Platform, thanks to Pr Alain Bouchereau, and with the technical assistance of Catherine Jonard and Nathalie Marnet, which are warmly thanked. Authors are also indebted to Dr Maxime Dahirel for his advices in statistics and to Dr Maxime Herve who wrote the R script that referred to feeding choice experiments (Link to his page: https://www.maximeherve.com/r-etstatistiques, and package 'RVAideMemoire'). We thank Dr Beatrice Legouin for her guidance on the analytical method validation. We are grateful to the anonymous referees for their useful comments that contributed to improve the manuscript.</t>
  </si>
  <si>
    <t>0031-9422</t>
  </si>
  <si>
    <t>Phytochemistry</t>
  </si>
  <si>
    <t>10.1016/j.phytochem.2019.04.019</t>
  </si>
  <si>
    <t>Biochemistry &amp; Molecular Biology; Plant Sciences</t>
  </si>
  <si>
    <t>IJ6FF</t>
  </si>
  <si>
    <t>WOS:000475996800010</t>
  </si>
  <si>
    <t>Feng, WY; Chen, CM; Mo, SY; Qi, CX; Gong, JJ; Li, XN; Zhou, Q; Zhou, Y; Li, DY; Lai, YJ; Zhu, HC; Wang, JP; Zhang, YH</t>
  </si>
  <si>
    <t>Feng, Wenya; Chen, Chunmei; Mo, Shuyuan; Qi, Changxing; Gong, Jiaojiao; Li, Xiao-Nian; Zhou, Qun; Zhou, Yuan; Li, Dongyan; Lai, Yongji; Zhu, Hucheng; Wang, Jianping; Zhang, Yonghui</t>
  </si>
  <si>
    <t>Highly oxygenated meroterpenoids from the Antarctic fungus Aspergillus terreus</t>
  </si>
  <si>
    <t>Aspergillus terreus (Trichocomaceae); Antarctic fungus; Terreustoxins; Immunosuppressive activity</t>
  </si>
  <si>
    <t>TERRETONIN; SESTERTERPENOIDS</t>
  </si>
  <si>
    <t>Eleven highly oxygenated meroterpenoids, named terreustoxins A - K, along with five known analogues, were isolated from the Antarctic fungus Aspergillus terreus. The structures and absolute configurations of these un-described compounds were characterized by NMR spectroscopy, single-crystal X-ray crystallography, and ECD experiments. Terreustoxins A - D are the first examples of meroterpenoids with two ortho-hydroxy groups at C-6 and C-7 in the terretonins family. Terreustoxin C and terretonin inhibited the proliferation of Con A-induced murine T cells at the concentration of 10 mu M.</t>
  </si>
  <si>
    <t>[Feng, Wenya; Chen, Chunmei; Mo, Shuyuan; Qi, Changxing; Gong, Jiaojiao; Zhou, Qun; Zhou, Yuan; Zhu, Hucheng; Wang, Jianping; Zhang, Yonghui] Huazhong Univ Sci &amp; Technol, Tongji Med Coll, Sch Pharm, Hubei Key Lab Nat Med Chem &amp; Resource Evaluat, Wuhan 430030, Hubei, Peoples R China; [Li, Xiao-Nian] Chinese Acad Sci, Kunming Inst Bot, State Key Lab Phytochem &amp; Plant Resources West Ch, Kunming 650201, Yunnan, Peoples R China; [Li, Dongyan] Huazhong Univ Sci &amp; Technol, Tongji Hosp, Tongji Med Coll, Dept Pharm, Wuhan 430030, Hubei, Peoples R China; [Lai, Yongji] Huazhong Univ Sci &amp; Technol, Cent Hosp Wuhan, Dept Pharm, Tongji Med Coll, Wuhan 430030, Hubei, Peoples R China</t>
  </si>
  <si>
    <t>Huazhong University of Science &amp; Technology; Chinese Academy of Sciences; Kunming Institute of Botany, CAS; Huazhong University of Science &amp; Technology; Huazhong University of Science &amp; Technology</t>
  </si>
  <si>
    <t>Zhu, HC; Wang, JP; Zhang, YH (corresponding author), Huazhong Univ Sci &amp; Technol, Tongji Med Coll, Sch Pharm, Hubei Key Lab Nat Med Chem &amp; Resource Evaluat, Wuhan 430030, Hubei, Peoples R China.</t>
  </si>
  <si>
    <t>zhuhucheng@hust.edu.cn; jpwang1001@163.com; zhangyh@mails.tjmu.edu.cn</t>
  </si>
  <si>
    <t>Lai, Yongji/IXD-6969-2023; Zhang, Yonghui/AGY-9072-2022; Zhang, Yonghui/AGY-5688-2022; Zhou, Yuan/J-6908-2017; zhu, hu/GQQ-8365-2022</t>
  </si>
  <si>
    <t>Program for Changjiang Scholars of Ministry of Education of the Peoples Republic of China [T2016088]; National Natural Science Foundation for Distinguished Young Scholars [81725021]; National Science and Technology Project of China [2018ZX09201001-001-003]; Innovative Research Groups of the National Natural Science Foundation of China [81721005]; National Natural Science Foundation of China [31670354, 31870326, 81502943, 31600266]; Academic Frontier Youth Team of HUST; Integrated Innovative Team for Major Human Diseases Program of Tongji Medical College (HUST)</t>
  </si>
  <si>
    <t>Program for Changjiang Scholars of Ministry of Education of the Peoples Republic of China; National Natural Science Foundation for Distinguished Young Scholars(National Natural Science Foundation of China (NSFC)National Science Fund for Distinguished Young Scholars); National Science and Technology Project of China; Innovative Research Groups of the National Natural Science Foundation of China(National Natural Science Foundation of China (NSFC)); National Natural Science Foundation of China(National Natural Science Foundation of China (NSFC)); Academic Frontier Youth Team of HUST; Integrated Innovative Team for Major Human Diseases Program of Tongji Medical College (HUST)</t>
  </si>
  <si>
    <t>This work was financially supported by the Program for Changjiang Scholars of Ministry of Education of the Peoples Republic of China (No. T2016088), the National Natural Science Foundation for Distinguished Young Scholars (No. 81725021), the National Science and Technology Project of China (2018ZX09201001-001-003), the Innovative Research Groups of the National Natural Science Foundation of China (81721005), the National Natural Science Foundation of China (31670354, 31670354, 31870326, 81502943, and 31600266), the Academic Frontier Youth Team of HUST, and the Integrated Innovative Team for Major Human Diseases Program of Tongji Medical College (HUST). We thank the Analytical and Testing Center at Huazhong University of Science and Technology for assistance in the acquisition of the ECD, UV, and IR spectra.</t>
  </si>
  <si>
    <t>10.1016/j.phytochem.2019.05.015</t>
  </si>
  <si>
    <t>WOS:000475996800021</t>
  </si>
  <si>
    <t>Wang, J; Liu, SH; Liu, HW; Chen, KS; Zhang, PY</t>
  </si>
  <si>
    <t>Wang, Jing; Liu, Shenghao; Liu, Hongwei; Chen, Kaoshan; Zhang, Pengying</t>
  </si>
  <si>
    <t>PnSAG1, an E3 ubiquitin ligase of the Antarctic moss Pohlia nutans, enhanced sensitivity to salt stress and ABA</t>
  </si>
  <si>
    <t>PLANT PHYSIOLOGY AND BIOCHEMISTRY</t>
  </si>
  <si>
    <t>Antarctic moss; U-box E3 ubiquitin ligases; PnSAG1; Salt stress; Abscisic acid (ABA)</t>
  </si>
  <si>
    <t>U-BOX PROTEIN; PROTEASOME SYSTEM; NEGATIVE REGULATION; ARABIDOPSIS; TOLERANCE; GENE; DROUGHT; FAMILY; OVEREXPRESSION; IDENTIFICATION</t>
  </si>
  <si>
    <t>Plant U-box (PUB) E3 ubiquitin ligases play crucial roles in the plant response to abiotic stress and the phytohormone abscisic acid (ABA) signaling, but little is known about them in bryophytes. Here, a representative U-box armadillo repeat (PUB-ARM) ubiquitin E3 ligase from Antarctic moss Pohlia nutans (PnSAG1), was explored for its role in abiotic stress response in Arabidopsis thaliana and Physcomitrella patens. The expression of PnSAG1 was rapidly induced by exogenous abscisic acid (ABA), salt, cold and drought stresses. PnSAG1 was localized to the cytoplasm and showed E3 ubiquitin ligase activity by in vitro ubiquitination assay. The PnSAG1-overexpressing Arabidopsis enhanced the sensitivity with respect to ABA and salt stress during seed germination and early root growth. Similarly, heterogeneous overexpression of PnSAG1 in P. patens was more sensitive to the salinity and ABA in their gametophyte growth. The analysis by RT-qPCR revealed that the expression of salt stress/ABA-related genes were downregulated in PnSAG1-overexpressing plants after salt treatment. Taken together, our results indicated that PnSAG1 plays a negative role in plant response to ABA and salt stress.</t>
  </si>
  <si>
    <t>[Wang, Jing; Liu, Hongwei; Chen, Kaoshan; Zhang, Pengying] Shandong Univ, Natl Glycoengn Res Ctr, Qingdao 266237, Shandong, Peoples R China; [Wang, Jing; Liu, Hongwei; Chen, Kaoshan; Zhang, Pengying] Shandong Univ, Sch Life Sci, Qingdao 266237, Shandong, Peoples R China; [Liu, Shenghao] State Ocean Adm, Inst Oceanog 1, Marine Ecol Res Ctr, Qingdao 266061, Shandong, Peoples R China; [Wang, Jing] Liaocheng Peoples Hosp, Key Lab Pediat, Liaocheng 252000, Shandong, Peoples R China</t>
  </si>
  <si>
    <t>Shandong University; Shandong University; First Institute of Oceanography, Ministry of Natural Resources</t>
  </si>
  <si>
    <t>Zhang, PY (corresponding author), 72 Binhai Rd, Qingdao 266237, Shandong, Peoples R China.</t>
  </si>
  <si>
    <t>zhangpy80@sdu.edu.cn</t>
  </si>
  <si>
    <t>Liu, Shenghao/ISU-3076-2023</t>
  </si>
  <si>
    <t>Liu, Shenghao/0000-0002-1449-3526</t>
  </si>
  <si>
    <t>National Natural Science Foundation of China [41476174, 41206176]; Natural Science Foundation of Shandong Province [ZR2017MD013]; Excellent Creative Team Fund of Jinan; Fund project for transformation of agricultural scientific and technological achievements of Shandong Province</t>
  </si>
  <si>
    <t>National Natural Science Foundation of China(National Natural Science Foundation of China (NSFC)); Natural Science Foundation of Shandong Province(Natural Science Foundation of Shandong Province); Excellent Creative Team Fund of Jinan; Fund project for transformation of agricultural scientific and technological achievements of Shandong Province</t>
  </si>
  <si>
    <t>This work was supported by the National Natural Science Foundation of China (41476174 and 41206176), Natural Science Foundation of Shandong Province (ZR2017MD013), Excellent Creative Team Fund of Jinan, and Fund project for transformation of agricultural scientific and technological achievements of Shandong Province. We thank Dr. Tomoaki Nishiyama and Dr. Mitsuyasu Hasebe (NIBB, Japan) for providing the pTFH15.3 vector.</t>
  </si>
  <si>
    <t>ELSEVIER FRANCE-EDITIONS SCIENTIFIQUES MEDICALES ELSEVIER</t>
  </si>
  <si>
    <t>ISSY-LES-MOULINEAUX</t>
  </si>
  <si>
    <t>65 RUE CAMILLE DESMOULINS, CS50083, 92442 ISSY-LES-MOULINEAUX, FRANCE</t>
  </si>
  <si>
    <t>0981-9428</t>
  </si>
  <si>
    <t>1873-2690</t>
  </si>
  <si>
    <t>PLANT PHYSIOL BIOCH</t>
  </si>
  <si>
    <t>Plant Physiol. Biochem.</t>
  </si>
  <si>
    <t>10.1016/j.plaphy.2019.06.002</t>
  </si>
  <si>
    <t>IJ6FK</t>
  </si>
  <si>
    <t>WOS:000475997300035</t>
  </si>
  <si>
    <t>Roman, M; Nedbalová, L; Kohler, TJ; Lirio, JM; Coria, SH; Kopácek, J; Vignoni, PA; Kopalová, K; Lecomte, KL; Elster, J; Nyvlt, D</t>
  </si>
  <si>
    <t>Roman, Matej; Nedbalova, Linda; Kohler, Tyler J.; Lirio, Juan M.; Coria, Silvia H.; Kopacek, Jiri; Vignoni, Paula A.; Kopalova, Katerina; Lecomte, Karina L.; Elster, Josef; Nyvlt, Daniel</t>
  </si>
  <si>
    <t>Lacustrine systems of Clearwater Mesa (James Ross Island, north-eastern Antarctic Peninsula): geomorphological setting and limnological characterization</t>
  </si>
  <si>
    <t>deglaciation; hydrology; lake origin; lake typology; landscape evolution; water chemistry</t>
  </si>
  <si>
    <t>PRINCE GUSTAV CHANNEL; CLIMATE-CHANGE; ICE-FREE; HISTORY; LAKES; DEGLACIATION; EVOLUTION; RESPONSES; BEHAVIOR; RECORDS</t>
  </si>
  <si>
    <t>Lentic freshwater habitats are important centres of biodiversity within the infrequent ice-free oases across Antarctica. Given imminent climate changes, it is crucial to catalogue these habitats in order to provide baseline data for future monitoring and biological surveys. The lacustrine systems of Clearwater Mesa, a previously unexplored part of James Ross Island, north-eastern Antarctic Peninsula, are described here. We conducted basic geomorphological and limnological surveys over three Antarctic summers (2009-16) to characterize landscape evolution, infer the origin of lake basins and assess the variability in their water chemistry. Stable shallow lakes, formed in depressions between lava tumuli following the last deglaciation, were found to dominate the volcanic mesa, although several peripheral lakes in ice-proximal settings appear to have formed recently as a result of post-Neoglacial ice recession. We found large heterogeneity in conductivity (similar to 10-7000 mu S cm(-1)), despite the lithologically uniform substrate. This variability was shown to be related to lake type, basin type (open vs closed), meltwater source and proximity to the coast. Inter-annual differences were attributed to changes in sea spray influx and snow accumulation driven by variable weather conditions. Overall, the ion composition of lakes suggested that sea spray was the dominant source of ions, followed by the weathering of bedrock.</t>
  </si>
  <si>
    <t>[Roman, Matej; Nyvlt, Daniel] Masaryk Univ, Fac Sci, Dept Geog, Kotlarska 2, Brno 61137, Czech Republic; [Roman, Matej] Charles Univ Prague, Fac Sci, Dept Phys Geog &amp; Geoecol, Albertov 6, Prague 12843 2, Czech Republic; [Nedbalova, Linda; Kohler, Tyler J.; Kopalova, Katerina] Charles Univ Prague, Fac Sci, Dept Ecol, Vinicna 7, Prague 12844 2, Czech Republic; [Lirio, Juan M.; Coria, Silvia H.] Ist Antartico Argentino, 25 Mayo, RA-1143 San Martin, Buenos Aires, Argentina; [Kopacek, Jiri] Czech Acad Sci Vvi, Biol Ctr, Inst Hydrobiol, Na Sadkach 7, Ceske Budejovice 37005, Czech Republic; [Vignoni, Paula A.; Lecomte, Karina L.] Univ Nacl Cordoba, CONICET, Ctr Invest Ciencias Tierra CICTERRA, Av Velez Sarsfield 1611,X5016CGA, Cordoba, Argentina; [Lecomte, Karina L.] Univ Nacl Cordoba, Fac Ciencias Exactas Fis &amp; Nat, Av Velez Sarsfield 1611,X5016CGA, Cordoba, Argentina; [Elster, Josef] Univ South Bohemia, Fac Sci, Ctr Polar Ecol, Na Zlate Stoce 3, Ceske Budejovice 37005, Czech Republic</t>
  </si>
  <si>
    <t>Masaryk University Brno; Charles University Prague; Charles University Prague; Czech Academy of Sciences; Biology Centre of the Czech Academy of Sciences; Consejo Nacional de Investigaciones Cientificas y Tecnicas (CONICET); National University of Cordoba; National University of Cordoba; University of South Bohemia Ceske Budejovice</t>
  </si>
  <si>
    <t>Roman, M (corresponding author), Masaryk Univ, Fac Sci, Dept Geog, Kotlarska 2, Brno 61137, Czech Republic.;Roman, M (corresponding author), Charles Univ Prague, Fac Sci, Dept Phys Geog &amp; Geoecol, Albertov 6, Prague 12843 2, Czech Republic.</t>
  </si>
  <si>
    <t>matej.roman@gmail.com</t>
  </si>
  <si>
    <t>Kohler, Tyler Joe/IUO-5352-2023; Lecomte, Karina/KHD-3796-2024; Nedbalová, Linda/AFF-8321-2022; Kopalová, Kateřina/M-6207-2017; Nyvlt, Daniel/J-6504-2019; Nedbalová, Linda/AAF-1001-2022; Roman, Matěj/AAN-4194-2020; Kopacek, Jiri/A-7373-2014</t>
  </si>
  <si>
    <t>Kohler, Tyler Joe/0000-0001-5137-4844; Nedbalová, Linda/0000-0003-1800-714X; Nyvlt, Daniel/0000-0002-6876-490X; Nedbalová, Linda/0000-0003-1800-714X; Roman, Matěj/0000-0003-4741-5169; Kopacek, Jiri/0000-0002-4409-4032; Vignoni, Paula/0000-0002-9681-4986; Elster, Josef/0000-0002-4535-5636; LECOMTE, KARINA LETICIA/0000-0001-6901-0918</t>
  </si>
  <si>
    <t>Czech Science Foundation [16-17346Y]; Agencia Nacional de Promocion Cientifica y Tecnologica project [PICTO-2010-0096]; Grant Agency of Masaryk University [MUNI/A/1251/2017]; Ministry of Education, Youth and Sports of the Czech Republic [LM2015078, CZ.02.1.01/0.0/0.0/16_013/0001708]; 'Nadace Nadani Josefa, Marie a Zdeky Hlavkovych' Foundation; Charles University Mobility Fund; Charles University Grant Agency (GAUK) [126715]; Charles University Research Centre program [204069]; Polar Geospatial Center under NSF-OPP awards [1543501, 1810976, 1542736, 1559691, 1043681, 1541332, 0753663, 1548562, 1238993]; NASA [NNX10AN61G]; Directorate For Geosciences; Office of Polar Programs (OPP) [1543501] Funding Source: National Science Foundation; Office of Polar Programs (OPP); Directorate For Geosciences [0753663] Funding Source: National Science Foundation</t>
  </si>
  <si>
    <t>Czech Science Foundation(Grant Agency of the Czech Republic); Agencia Nacional de Promocion Cientifica y Tecnologica project(ANPCyT); Grant Agency of Masaryk University; Ministry of Education, Youth and Sports of the Czech Republic(Ministry of Education, Youth &amp; Sports - Czech Republic); 'Nadace Nadani Josefa, Marie a Zdeky Hlavkovych' Foundation; Charles University Mobility Fund; Charles University Grant Agency (GAUK); Charles University Research Centre program; Polar Geospatial Center under NSF-OPP awards; NASA(National Aeronautics &amp; Space Administration (NASA)); Directorate For Geosciences; Office of Polar Programs (OPP)(National Science Foundation (NSF)NSF - Directorate for Geosciences (GEO)); Office of Polar Programs (OPP); Directorate For Geosciences(National Science Foundation (NSF)NSF - Directorate for Geosciences (GEO))</t>
  </si>
  <si>
    <t>The authors would like to acknowledge the logistical support of the Direccion Nacional del Antartico, Instituto Antartico Argentino and Marambio and J.G. Mendel stations. This contribution was supported by the Czech Science Foundation project no. 16-17346Y, the Agencia Nacional de Promocion Cientifica y Tecnologica project PICTO-2010-0096, Grant Agency of Masaryk University project MUNI/A/1251/2017 and the Ministry of Education, Youth and Sports of the Czech Republic projects no. LM2015078 and CZ.02.1.01/0.0/0.0/16_013/0001708. The first author's participation on the field campaign was made possible by the generous travel scholarships of the 'Nadace Nadani Josefa, Marie a Zdeky Hlavkovych' Foundation, Charles University Mobility Fund and Charles University Grant Agency (GAUK) grant no. 126715. TJK and KK were further supported by Charles University Research Centre program no. 204069. We thank Brad Harried for providing a pre-official release version of REMA for the studied area (DEMs provided by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DigitalGlobe, Inc.). We would like to thank Marcos Kitaura, Eduardo Ale Monserrat, Emmanuel C. Portalez Carnovai and Agustin Cuparo for their great help in the field, Natacha Lopez for help with mapping, Jan Kavan for Minikin temperature logger data and Neil F. Glasser and two anonymous reviewers for constructive comments on the manuscript.</t>
  </si>
  <si>
    <t>PII S0954102019000178</t>
  </si>
  <si>
    <t>10.1017/S0954102019000178</t>
  </si>
  <si>
    <t>WOS:000478614300001</t>
  </si>
  <si>
    <t>Dickson, CR; Baker, DJ; Bergstrom, DM; Bricher, PK; Brookes, RH; Raymond, B; Selkirk, PM; Shaw, JD; Terauds, A; Whinam, J; McGeoch, MA</t>
  </si>
  <si>
    <t>Dickson, Catherine R.; Baker, David J.; Bergstrom, Dana M.; Bricher, Phillippa K.; Brookes, Rowan H.; Raymond, Ben; Selkirk, Patricia M.; Shaw, Justine D.; Terauds, Aleks; Whinam, Jennie; McGeoch, Melodie A.</t>
  </si>
  <si>
    <t>Spatial variation in the ongoing and widespread decline of a keystone plant species</t>
  </si>
  <si>
    <t>Azorella; climate change; dieback; sub-Antarctic; terrain variables</t>
  </si>
  <si>
    <t>CLIMATE-CHANGE; AZORELLA-SELAGO; TREE MORTALITY; VEGETATION; ECOSYSTEM; COLLAPSE; IMPACTS; ECOLOGY; TRENDS; ALPINE</t>
  </si>
  <si>
    <t>Extensive dieback in dominant plant species in response to climate change is increasingly common. Climatic conditions and related variables, such as evapotranspiration, vary in response to topographical complexity. This complexity plays an important role in the provision of climate refugia. In 2008/2009, an island-wide dieback event of the keystone cushion plant Azorella macquariensis Orchard (Apiaceae) occurred on sub-Antarctic Macquarie Island. This signalled the start of a potential regime shift, suggested to be driven by increasing vapour pressure deficit. Eight years later, we quantified cover and dieback across the range of putative microclimates to which the species is exposed, with the aim of explaining dieback patterns. We test for the influence of evapotranspiration using a suite of topographic proxies and other variables as proposed drivers of change. We found higher cover and lower dieback towards the south of the island. The high spatial variation in A. macquariensis populations was best explained by latitude, likely a proxy for macroscale climate gradients and geology. Dieback was best explained by A. macquariensis cover and latitude, increasing with cover and towards the north of the island. The effect sizes of terrain variables that influence evapotranspiration rates were small. Island-wide dieback remains conspicuous. Comparison between a subset of sites and historical data revealed a reduction of cover in the north and central regions of the island, and a shift south in the most active areas of dieback. Dieback remained comparatively low in the south. The presence of seedlings was independent of dieback. This study provides an empirical baseline for spatial variation in the cover and condition of A. macquariensis, both key variables for monitoring condition and 'cover-debt' in this critically endangered endemic plant species. These findings have broader implications for understanding the responses of fellfield ecosystems and other Azorella species across the sub-Antarctic under future climates.</t>
  </si>
  <si>
    <t>[Dickson, Catherine R.; Baker, David J.; Brookes, Rowan H.; McGeoch, Melodie A.] Monash Univ, Sch Biol Sci, Clayton, Vic 3800, Australia; [Bergstrom, Dana M.; Raymond, Ben; Terauds, Aleks] Australian Antarctic Div, Kingston, Tas, Australia; [Bricher, Phillippa K.] Univ Tasmania, Southern Ocean Observing Syst &amp; Antarctic Gateway, Hobart, Tas, Australia; [Selkirk, Patricia M.] Macquarie Univ, Dept Biol Sci, Sydney, NSW, Australia; [Shaw, Justine D.] Univ Queensland, Sch Biol Sci, Brisbane, Qld, Australia; [Whinam, Jennie] Univ Tasmania, Sch Technol Environm &amp; Design, Hobart, Tas, Australia</t>
  </si>
  <si>
    <t>Monash University; Australian Antarctic Division; University of Tasmania; Macquarie University; University of Queensland; University of Tasmania</t>
  </si>
  <si>
    <t>Dickson, CR (corresponding author), Monash Univ, Sch Biol Sci, Clayton, Vic 3800, Australia.</t>
  </si>
  <si>
    <t>Catherine.Dickson@monash.edu</t>
  </si>
  <si>
    <t>Bergstrom, Dana/AAC-2837-2022; Terauds, Aleks/A-4991-2010; Dickson, Catherine/J-5698-2016; McGeoch, Melodie/F-8353-2011</t>
  </si>
  <si>
    <t>Bergstrom, Dana/0000-0001-8484-8954; Dickson, Catherine/0000-0002-9701-346X; McGeoch, Melodie/0000-0003-3388-2241; Brookes, Rowan/0000-0003-0397-4663; Baker, David/0000-0002-0466-8222</t>
  </si>
  <si>
    <t>Australian Government under an Australian Antarctic Science Program [4312]; Australian Government Research Training Program (RTP) Scholarship; Holsworth Wildlife Research Endowment; Ecological Society of Australia</t>
  </si>
  <si>
    <t>Australian Government under an Australian Antarctic Science Program; Australian Government Research Training Program (RTP) Scholarship(Australian GovernmentDepartment of Industry, Innovation and Science); Holsworth Wildlife Research Endowment; Ecological Society of Australia</t>
  </si>
  <si>
    <t>We thank John Burgess, Rowena Hannaford, Dr Alex Fergus and the 69th Macquarie Island Australian Antarctic Program team who provided assistance during field work. Historical site data (2 m 9 2 m) provided by the Department of Primary Industries, Parks, Water and Environment. We thank P.C. le Roux and anonymous reviewers for their comments on the manuscript. This research was funded by the Australian Government under an Australian Antarctic Science Program Grant no. 4312 and supported by an Australian Government Research Training Program (RTP) Scholarship and The Holsworth Wildlife Research Endowment and The Ecological Society of Australia.</t>
  </si>
  <si>
    <t>10.1111/aec.12758</t>
  </si>
  <si>
    <t>IK4DL</t>
  </si>
  <si>
    <t>WOS:000476537200013</t>
  </si>
  <si>
    <t>Bates, AE; Cooke, RSC; Duncan, MI; Edgar, GJ; Bruno, JF; Benedetti-Cecchi, L; Côté, IM; Lefcheck, JS; Costello, MJ; Barrett, N; Bird, TJ; Fenberg, PB; Stuart-Smith, RD</t>
  </si>
  <si>
    <t>Bates, Amanda E.; Cooke, Robert S. C.; Duncan, Murray I.; Edgar, Graham J.; Bruno, John F.; Benedetti-Cecchi, Lisandro; Cote, Isabelle M.; Lefcheck, Jonathan S.; Costello, Mark John; Barrett, Neville; Bird, Tomas J.; Fenberg, Phillip B.; Stuart-Smith, Rick D.</t>
  </si>
  <si>
    <t>Climate resilience in marine protected areas and the 'Protection Paradox'</t>
  </si>
  <si>
    <t>NO-TAKE RESERVES; CORAL-REEFS; BODY-SIZE; EL-NINO; BIODIVERSITY; FISH; CONSERVATION; RESISTANCE; RECOVERY; IMPACTS</t>
  </si>
  <si>
    <t>Restricting human activities through Marine Protected Areas (MPAs) is assumed to create more resilient biological communities with a greater capacity to resist and recover following climate events. Here we review the evidence linking protection from local pressures (e.g., fishing and habitat destruction) with increased resilience. Despite strong theoretical underpinnings, studies have only rarely attributed resilience responses to the recovery of food webs and habitats, and increases in the diversity of communities and populations. When detected, resistance to ocean warming and recovery after extreme events in MPAs have small effect sizes against a backdrop of natural variability. By contrast, large die-offs are well described from MPAs following climate stress events. This may be in part because protection from one set of pressures or drivers (such as fishing) can select for species that are highly sensitive to others (such as warming), creating a 'Protection Paradox'. Given that climate change is overwhelming the resilience capacity of marine ecosystems, the only primary solution is to reduce carbon emissions. High quality monitoring data in both space and time can also identify emergent resilience signals that do exist, in combination with adequate reference data to quantify the initial system state. This knowledge will allow networks of diverse protected areas to incorporate spatial refugia against climate change, and identify resilient biological components of natural systems. Sufficient spatial replication further offers insurance against losses in any given MPA, and the possibility for many weak signals of resilience to accumulate.</t>
  </si>
  <si>
    <t>[Bates, Amanda E.; Bird, Tomas J.] Mem Univ Newfoundland, Dept Ocean Sci, St John, NF A1C 5S7, Canada; [Bates, Amanda E.; Duncan, Murray I.; Fenberg, Phillip B.] Univ Southampton, Natl Oceanog Ctr Southampton, Ocean &amp; Earth Sci, Waterfront Campus, Southampton SO14 3ZH, Hants, England; [Cooke, Robert S. C.] Univ Southampton, Biol Sci, Southampton SO17 1BJ, Hants, England; [Cooke, Robert S. C.] Univ Southampton, Geog &amp; Environm, Southampton SO17 1BJ, Hants, England; [Cooke, Robert S. C.] Marwell Wildlife, Thomsons Lane, Winchester SO21 1JH, Hants, England; [Duncan, Murray I.] Rhodes Univ, Dept Ichthyol &amp; Fisheries Sci, ZA-6140 Grahamstown, South Africa; [Duncan, Murray I.] South African Inst Aquat Biodivers, ZA-6140 Grahamstown, South Africa; [Edgar, Graham J.; Barrett, Neville; Stuart-Smith, Rick D.] Univ Tasmania, Inst Marine &amp; Antarctic Studies, Hobart, Tas 7001, Australia; [Bruno, John F.] Univ N Carolina, Dept Biol, Chapel Hill, NC 27599 USA; [Benedetti-Cecchi, Lisandro] Univ Pisa, Dept Biol, CoNISMa, Pisa, Italy; [Cote, Isabelle M.] Simon Fraser Univ, Dept Biol Sci, Burnaby, BC C5A 1S6, Canada; [Lefcheck, Jonathan S.] Smithsonian Environm Res Ctr, MarineGEO, Tennenbaum Marine Observ Network, Edgewater, MD 21037 USA; [Costello, Mark John] Univ Auckland, Inst Marine Sci, Auckland 1142, New Zealand</t>
  </si>
  <si>
    <t>Memorial University Newfoundland; University of Southampton; NERC National Oceanography Centre; University of Southampton; University of Southampton; Rhodes University; National Research Foundation - South Africa; South African Institute for Aquatic Biodiversity; University of Tasmania; University of North Carolina; University of North Carolina Chapel Hill; CoNISMa; University of Pisa; Simon Fraser University; Smithsonian Institution; Smithsonian Environmental Research Center; University of Auckland</t>
  </si>
  <si>
    <t>Bates, AE (corresponding author), Mem Univ Newfoundland, Dept Ocean Sci, St John, NF A1C 5S7, Canada.</t>
  </si>
  <si>
    <t>abates@mun.ca</t>
  </si>
  <si>
    <t>Lefcheck, Jonathan/H-8768-2019; Stuart-Smith, Rick/I-5214-2019; Bates, Amanda E./ABD-6874-2021; Cooke, Rob/AAA-4392-2020; Edgar, Graham/AAY-3797-2020; Cote, Isabelle/ABD-5898-2021; Barrett, Neville/J-7593-2014</t>
  </si>
  <si>
    <t>Lefcheck, Jonathan/0000-0002-8787-1786; Stuart-Smith, Rick/0000-0002-8874-0083; Bates, Amanda E./0000-0002-0198-4537; Cooke, Rob/0000-0003-0601-8888; Edgar, Graham/0000-0003-0833-9001; Barrett, Neville/0000-0002-6167-1356; Benedetti-Cecchi, Lisandro/0000-0001-5244-5202; Duncan, Murray/0000-0002-6110-292X</t>
  </si>
  <si>
    <t>Canada Research Chairs programme; SPITFIRE Doctoral Training Partnership; University of Southampton; Commonwealth Scholarship Commission; National Research Foundation of South Africa; Natural Sciences and Engineering Research Council of Canada</t>
  </si>
  <si>
    <t>Canada Research Chairs programme(Canada Research Chairs); SPITFIRE Doctoral Training Partnership; University of Southampton; Commonwealth Scholarship Commission; National Research Foundation of South Africa(National Research Foundation - South Africa); Natural Sciences and Engineering Research Council of Canada(Natural Sciences and Engineering Research Council of Canada (NSERC)CGIAR)</t>
  </si>
  <si>
    <t>A.E.B. was supported by the Canada Research Chairs programme. Scholarship salary to R.S.C.C was through a scholarship co-funded by the SPITFIRE Doctoral Training Partnership and the University of Southampton and M.I.D. through the Commonwealth Scholarship Commission and the National Research Foundation of South Africa. I.M.C. is supported by a Discovery grant of the Natural Sciences and Engineering Research Council of Canada.</t>
  </si>
  <si>
    <t>10.1016/j.biocon.2019.05.005</t>
  </si>
  <si>
    <t>WOS:000483908400033</t>
  </si>
  <si>
    <t>Glikson, AY</t>
  </si>
  <si>
    <t>Glikson, Andrew Y.</t>
  </si>
  <si>
    <t>North Atlantic and sub-Antarctic Ocean temperatures: possible onset of a transient stadial cooling stage</t>
  </si>
  <si>
    <t>CLIMATIC CHANGE</t>
  </si>
  <si>
    <t>ABRUPT CLIMATE-CHANGE; ICE; GREENLAND</t>
  </si>
  <si>
    <t>The ice core glacial-interglacial record of the last 450 kyr (Cortese et al. Paleogeogr Paleoclimatol 22:4, 2007), development of cold ice meltwater regions at fringes of the Greenland and the West Antarctic ice sheets, and climate projections by Hansen et al. (Atmos Chem Phys 16:3761-3812, 2016), support a relation between ice sheet melting and the cooling of neighboring ocean zones by ice meltwater. Several factors lead to cooling of parts of the North Atlantic Ocean and adjacent lands, including the following: (A) a slowdown of the Atlantic meridional overturning circulation (AMOC); (B) flow of cold ice meltwater from the Greenland ice sheet into the North Atlantic Ocean; (C) undulation and weakening of the jet stream at the Arctic boundary due to a rise in temperature in the Arctic circle at twice the rate of warming at lower latitudes and the ice-water albedo flip. Penetration of Arctic-derived cold air masses southward through a weakened jet stream boundary ensues in extreme weather events in North America and Europe. The slowdown of the AMOC (Caesar et al. Nature 556:191-196, 2018; Praetorius Nat Clim Chang 5:475-480, 2018; Thornalley et al. Nature 556:227-230, 2018; Smeed et al. Geophys Res Lett 45(3):1527-1533, 2018) and growing cold ocean region (Rahmstorf et al. Nat Clim Chang 5:475-480, 2015) may herald the onset of a stadial event. A large-scale stadial event, possibly on the scale of the 8.3-8.2 kyr-old Laurentian melt event, or even the 12.9-11.7-kyr-old Younger Dryas stadial (Carlson Encycl Quat Sci 3:126-134, 2013), could ensue from advanced melting of both the Greenland ice sheet and the Antarctic ice sheet. A stadial would be succeeded by the resumption of warming driven by a continuing rise in greenhouse gas concentrations and amplifying feedback effects. These projections need to be examined vis-a-vis the continuous linear IPCC temperature rise models.</t>
  </si>
  <si>
    <t>[Glikson, Andrew Y.] Australian Natl Univ, Res Sch Earth Sci, Canberra, ACT, Australia</t>
  </si>
  <si>
    <t>Australian National University</t>
  </si>
  <si>
    <t>Glikson, AY (corresponding author), Australian Natl Univ, Res Sch Earth Sci, Canberra, ACT, Australia.</t>
  </si>
  <si>
    <t>Andrew.glikson@anu.edu.au</t>
  </si>
  <si>
    <t>0165-0009</t>
  </si>
  <si>
    <t>1573-1480</t>
  </si>
  <si>
    <t>Clim. Change</t>
  </si>
  <si>
    <t>10.1007/s10584-019-02458-x</t>
  </si>
  <si>
    <t>IS9CY</t>
  </si>
  <si>
    <t>WOS:000482447300002</t>
  </si>
  <si>
    <t>Jiang, M; Measures, CI; Barbeau, KA; Charette, MA; Gille, ST; Hatta, M; Kahru, M; Mitchell, BG; Garabato, ACN; Reiss, C; Selph, K; Zhou, M</t>
  </si>
  <si>
    <t>Jiang, Mingshun; Measures, Christopher, I; Barbeau, Katherine A.; Charette, Matthew A.; Gille, Sarah T.; Hatta, Mariko; Kahru, Mati; Mitchell, B. Gregory; Garabato, Alberto C. Naveira; Reiss, Christian; Selph, Karen; Zhou, Meng</t>
  </si>
  <si>
    <t>Fe sources and transport from the Antarctic Peninsula shelf to the southern Scotia Sea</t>
  </si>
  <si>
    <t>DEEP-SEA RESEARCH PART I-OCEANOGRAPHIC RESEARCH PAPERS</t>
  </si>
  <si>
    <t>Coupled physical-biogeochemical model; Iron (Fe); Off-shelf transport; Shelf sediment; Antarctic Peninsula; Southern Scotia Sea</t>
  </si>
  <si>
    <t>KRILL EUPHAUSIA-SUPERBA; TRACE-METAL DISTRIBUTIONS; DRAKE PASSAGE; CIRCUMPOLAR CURRENT; BRANSFIELD STRAIT; SHETLAND ISLANDS; IRON LIMITATION; DISSOLVED IRON; MODEL; OCEAN</t>
  </si>
  <si>
    <t>The Antarctic Peninsula (AP) shelf is an important source of dissolved iron (Fe) to the upper ocean in the southern Scotia Sea, one of the most productive regions of the Southern Ocean. Here we present results from a four-year (2003-2006) numerical simulation using a regional coupled physical-biogeochemical model to assess the Fe sources and transport on the AP shelf and toward the southern Scotia Sea. The model was validated with a suite of data derived from in situ surveys and remote sensing. Model results indicate that sediments in the AP shelf and the South Orkney Plateau (SOP) provide the dominant source of Fe to the upper 500 m in the southern Scotia Sea. Additional Fe inputs to the region are associated with the Antarctic Circumpolar Current (ACC) and the northern limb of the Weddell Gyre, deep-ocean sediment sources, dust deposition, and icebergs. Fe on the AP shelf originates primarily from sediments on the relatively shallow inner shelf and is directly injected into the water column and subsequently transported toward Elephant Island by the confluent shelf currents. Off-shelf Fe export is primarily through entrainment of shelf waters by the ACC's Southern Boundary frontal jet along the northern edge of the AP shelf, the Hesperides Trough, and the SOP shelf. About 70% of the off-shelf export takes place below the surface mixed layer, and is subsequently re-supplied to the euphotic zone through vertical mixing, mainly during austral fall and winter. The exported shelf-derived Fe is then advected downstream by the ACC and Weddell Gyre and spread over the southern and eastern Scotia Seas. Taken together, shelf Fe export witin top 500 m meets nearly all of the Fe demand of phytoplankton photosynthesis in the southern Scotia Sea. Waters with elevated Fe concentrations in the Scotia Sea are largely restricted to south of the Southern ACC Front.</t>
  </si>
  <si>
    <t>[Jiang, Mingshun] Florida Atlantic Univ, Harbor Branch Oceanog Inst, 5600 US 1 N, Ft Pierce, FL 34946 USA; [Measures, Christopher, I; Hatta, Mariko; Selph, Karen] Univ Hawaii, Dept Oceanog, 1000 Pope Rd, Honolulu, HI 96822 USA; [Barbeau, Katherine A.; Gille, Sarah T.; Kahru, Mati; Mitchell, B. Gregory] Univ Calif San Diego, Scripps Inst Oceanog, 9500 Gilman Dr, La Jolla, CA 92093 USA; [Charette, Matthew A.] Woods Hole Oceanog Inst, Dept Marine Chem &amp; Biogeochem, Woods Hole, MA 02543 USA; [Garabato, Alberto C. Naveira] Univ Southampton, Natl Oceanog Ctr, Ocean &amp; Earth Sci, Southampton, Hants, England; [Reiss, Christian] NOAA Fisheries, Antarctic Ecosyst Res Div, 8901 La Jolla Shores Dr, La Jolla, CA 92037 USA; [Zhou, Meng] Univ Massachusetts, Coll Environm Sci, 100 Morrissey Blvd, Boston, MA 02125 USA</t>
  </si>
  <si>
    <t>Harbor Branch Oceanographic Institute Foundation; State University System of Florida; Florida Atlantic University; University of Hawaii System; University of California System; University of California San Diego; Scripps Institution of Oceanography; Woods Hole Oceanographic Institution; NERC National Oceanography Centre; University of Southampton; National Oceanic Atmospheric Admin (NOAA) - USA; University of Massachusetts System; University of Massachusetts Boston</t>
  </si>
  <si>
    <t>Jiang, M (corresponding author), Florida Atlantic Univ, Harbor Branch Oceanog Inst, 5600 US 1 N, Ft Pierce, FL 34946 USA.</t>
  </si>
  <si>
    <t>jiangm@fau.edu</t>
  </si>
  <si>
    <t>Garabato, Alberto Naveira/AAQ-1114-2020; Hatta, Mariko/ABE-1402-2021</t>
  </si>
  <si>
    <t>Garabato, Alberto Naveira/0000-0001-6071-605X; Mitchell, B. Greg/0000-0002-8550-4333; Barbeau, Katherine/0000-0002-2132-7219; Hatta, Mariko/0000-0002-4892-7708; Selph, Karen/0000-0001-7281-4706</t>
  </si>
  <si>
    <t>NOAA [NA09OAR4310062]; NSF [ANT 0948378, ANT 0948338, PLR-1425989, OCE 1658001]; HBOIF startup fund; Antarctic Wildlife Research Fund; NERC [NE/E005667/1] Funding Source: UKRI</t>
  </si>
  <si>
    <t>NOAA(National Oceanic Atmospheric Admin (NOAA) - USA); NSF(National Science Foundation (NSF)); HBOIF startup fund; Antarctic Wildlife Research Fund; NERC(UK Research &amp; Innovation (UKRI)Natural Environment Research Council (NERC))</t>
  </si>
  <si>
    <t>MJ is funded by NOAA NA09OAR4310062, NSF ANT 0948378, and HBOIF startup fund. MJ and CR received support from Antarctic Wildlife Research Fund. STG received support from NSF awards ANT 0948338, PLR-1425989, and OCE 1658001. The AVISO Ssalto/Duacs altimeter products were produced and distributed by the Copernicus Marine and Environment Monitoring Service (CMEMS) (http://www.marine.copernicus.eu).We thank Dr. Mahowald at Cornell University for providing the dust deposition data. This is HBOI contribution number 2209. We thank the two reviewers for their thoughtful comments, which greatly improved the manuscript.</t>
  </si>
  <si>
    <t>0967-0637</t>
  </si>
  <si>
    <t>1879-0119</t>
  </si>
  <si>
    <t>DEEP-SEA RES PT I</t>
  </si>
  <si>
    <t>Deep-Sea Res. Part I-Oceanogr. Res. Pap.</t>
  </si>
  <si>
    <t>10.1016/j.dsr.2019.06.006</t>
  </si>
  <si>
    <t>IX7IB</t>
  </si>
  <si>
    <t>Green Submitted, Green Accepted, hybrid</t>
  </si>
  <si>
    <t>WOS:000485855900006</t>
  </si>
  <si>
    <t>Raath-Krüger, MJ; McGeoch, MA; Schöb, C; Greve, M; Le Roux, PC</t>
  </si>
  <si>
    <t>Raath-Krueger, Morgan J.; McGeoch, Melodie A.; Schoeb, Christian; Greve, Michelle; Le Roux, Peter C.</t>
  </si>
  <si>
    <t>Positive plant-plant interactions expand the upper distributional limits of some vascular plant species</t>
  </si>
  <si>
    <t>ECOSPHERE</t>
  </si>
  <si>
    <t>abiotic severity; facilitation; plant interactions; range expansion; realized niche</t>
  </si>
  <si>
    <t>STRESS-GRADIENT HYPOTHESIS; CUSHION PLANTS; CLIMATE-CHANGE; FACILITATION; COMMUNITIES; INSIGHTS; NICHE; ATTRIBUTES; RESPONSES; SEVERITY</t>
  </si>
  <si>
    <t>Biotic interactions can shape species' distributions through their impact on species' realized niches, potentially constraining or expanding the range of conditions under which species occur. We examine whether fine-scale plant-plant interactions scale up to shape broad-scale species' distributions, using Azorella selago, a widespread cushion plant that facilitates other species, and the rest of the vascular flora of sub-Antarctic Marion Island as a model system. We compared the upper elevational distributional limit of each species when growing on vs. away from A. selago to test how the interaction with this cushion plant species affects species' ranges. Three out of 19 vascular plant species occurred at higher altitudes in the presence of A. selago than in the absence of A. selago: Acaena magellanica (+26 m higher), Colobanthus kerguelensis (+37 m higher), and Lycopodium saururus (+19 m higher). Therefore, A. selago's fine-scale impacts scaled up to shape the distribution of a subset of the vascular flora of Marion Island. Plant-plant interactions thus have the potential to expand species upper distributional limits by increasing the niche space that a species can occupy, although the influence of these interactions may be strongly species-specific.</t>
  </si>
  <si>
    <t>[Raath-Krueger, Morgan J.; Greve, Michelle; Le Roux, Peter C.] Univ Pretoria, Dept Plant &amp; Soil Sci, Private Bag X20, ZA-0002 Pretoria, South Africa; [McGeoch, Melodie A.] Monash Univ, Sch Biol Sci, Clayton, Vic 3800, Australia; [Schoeb, Christian] Swiss Fed Inst Technol, Swiss Fed Inst Technol, Dept Environm Syst Sci, CH-8092 Zurich, Switzerland</t>
  </si>
  <si>
    <t>University of Pretoria; Monash University; Swiss Federal Institutes of Technology Domain; ETH Zurich</t>
  </si>
  <si>
    <t>Raath-Krüger, MJ (corresponding author), Univ Pretoria, Dept Plant &amp; Soil Sci, Private Bag X20, ZA-0002 Pretoria, South Africa.</t>
  </si>
  <si>
    <t>morganj.r@hotmail.com</t>
  </si>
  <si>
    <t>Raath-Krüger, Morgan/AAM-8871-2020; le Roux, Peter Christiaan/E-7784-2011; Schöb, Christian/B-6083-2008; McGeoch, Melodie/F-8353-2011</t>
  </si>
  <si>
    <t>Raath-Krüger, Morgan/0000-0002-3326-1165; le Roux, Peter Christiaan/0000-0002-7941-7444; Schöb, Christian/0000-0003-4472-2286; McGeoch, Melodie/0000-0003-3388-2241</t>
  </si>
  <si>
    <t>South African National Antarctic Program (SANAP) [93077, 110726, 110734]; National Research Foundation (NRF) [SFH15072 7131155]; Swiss National Science Foundation [PP00P3_170645]</t>
  </si>
  <si>
    <t>South African National Antarctic Program (SANAP); National Research Foundation (NRF); Swiss National Science Foundation(Swiss National Science Foundation (SNSF))</t>
  </si>
  <si>
    <t>The authors would like to thank the South African National Antarctic Program (SANAP; unique grant numbers 93077, 110726, and 110734) and the National Research Foundation (NRF) for funding (NRF Scarce Skills Doctoral Scholarship, grant number: SFH15072 7131155). Christian Schob was supported by the Swiss National Science Foundation (PP00P3_170645). A special thanks to those who assisted with fieldwork: Mawethu Nyakatya, Elana Mostert, Nothando Mhlongo, Alta Zietsman, Camilla Kotze, Martin Slabber, and Anche Louw. This research was conducted under permitted PEIMC1/2013 issued by the Prince Edward Islands Management Committee. Morgan Jade Raath-Kruger and Peter Christiaan le Roux designed the study with input from Melodie McGeoch and Christian Schob. Morgan Jade Raath-Kruger, Peter Christiaan le Roux, and Michelle Greve collected the data. Morgan Jade Raath-Kruger ran the analyses, and Morgan Jade Raath-Kruger and Peter Christiaan le Roux wrote the manuscript with input from Melodie McGeoch, Christian Schob, and Michelle Greve.</t>
  </si>
  <si>
    <t>2150-8925</t>
  </si>
  <si>
    <t>Ecosphere</t>
  </si>
  <si>
    <t>e02820</t>
  </si>
  <si>
    <t>10.1002/ecs2.2820</t>
  </si>
  <si>
    <t>IU8LD</t>
  </si>
  <si>
    <t>WOS:000483832300006</t>
  </si>
  <si>
    <t>Arteaga, LA; Pahlow, M; Bushinsky, SM; Sarmiento, JL</t>
  </si>
  <si>
    <t>Arteaga, Lionel A.; Pahlow, Markus; Bushinsky, Seth M.; Sarmiento, Jorge L.</t>
  </si>
  <si>
    <t>Nutrient Controls on Export Production in the Southern Ocean</t>
  </si>
  <si>
    <t>carbon; export; nutrient; limitation; phytoplankton</t>
  </si>
  <si>
    <t>NET COMMUNITY PRODUCTION; PACIFIC SECTOR; CARBON EXPORT; SEDIMENT TRAP; PARTICLE FLUXES; FRONTAL ZONE; IRON; OXYGEN; EFFICIENCY; DIATOMS</t>
  </si>
  <si>
    <t>We use observations from novel biogeochemical profiling floats deployed by the Southern Ocean Carbon and Climate Observations and Modeling program to estimate annual net community production (ANCP; associated with carbon export) from the seasonal drawdown of mesopelagic oxygen and surface nitrate in the Southern Ocean. Our estimates agree with previous observations in showing an increase in ANCP in the vicinity of the polar front (similar to 3 mol C m(-2) y(-1)), compared to lower rates in the subtropical zone (&lt;= 1 mol C m(-2) y(-1)) and the seasonal ice zone (&lt;2 mol C m(-2) y(-1)). Paradoxically, the increase in ANCP south of the subtropical front is associated with elevated surface nitrate and silicate concentrations, but decreasing surface iron. We hypothesize that iron limitation promotes silicification in diatoms, which is evidenced by the low silicate to nitrate ratio of surface waters around the Antarctic polar front. High diatom silicification increases the ballasting effect of particulate organic carbon and overall ANCP in this region. A model-based assessment of our methods shows a good agreement between ANCP estimates based on oxygen and nitrate drawdown and the modeled downward organic carbon flux at 100 m. This agreement supports the presumption that net biological consumption is the dominant process affecting the drawdown of these chemical tracers and that, given sufficient data, ANCP can be inferred from observations of oxygen and/or nitrate drawdown in the Southern Ocean.</t>
  </si>
  <si>
    <t>[Arteaga, Lionel A.; Bushinsky, Seth M.; Sarmiento, Jorge L.] Princeton Univ, Program Atmospher &amp; Ocean Sci, Princeton, NJ 08544 USA; [Pahlow, Markus] GEOMAR Helmholtz Ctr Ocean Res Kiel, Kiel, Germany</t>
  </si>
  <si>
    <t>National Oceanic Atmospheric Admin (NOAA) - USA; Princeton University; Helmholtz Association; GEOMAR Helmholtz Center for Ocean Research Kiel</t>
  </si>
  <si>
    <t>Arteaga, LA (corresponding author), Princeton Univ, Program Atmospher &amp; Ocean Sci, Princeton, NJ 08544 USA.</t>
  </si>
  <si>
    <t>laaq@princeton.edu</t>
  </si>
  <si>
    <t>Bushinsky, Seth/Q-3379-2017; Pahlow, Markus/AAC-4919-2020; Arteaga, Lionel/V-4549-2019; Arteaga, Lionel/HRA-0626-2023</t>
  </si>
  <si>
    <t>Bushinsky, Seth/0000-0001-5106-4678; Arteaga, Lionel/0000-0002-2796-7452</t>
  </si>
  <si>
    <t>National Science Foundation, Division of Polar Programs [NSF PLR-1425989]; NASA [NNX17AI73G]; SOCCOM project, NASA [NNX17AI73G]; Carbon Mitigation Initiative (CMI) - BP at Princeton University; Deutsche Forschungsgemeinschaft (DFG) [SFB754]</t>
  </si>
  <si>
    <t>National Science Foundation, Division of Polar Programs(National Science Foundation (NSF)); NASA(National Aeronautics &amp; Space Administration (NASA)); SOCCOM project, NASA; Carbon Mitigation Initiative (CMI) - BP at Princeton University; Deutsche Forschungsgemeinschaft (DFG)(German Research Foundation (DFG))</t>
  </si>
  <si>
    <t>We would like to thank the many people at the Monterey Bay Aquarium Research Institute, the University of Washington, and the University of Maine who quality controlled and corrected the SOCCOM float data. SOCCOM float data were collected and made freely available by the Southern Ocean Carbon and Climate Observations and Modeling (SOCCOM) Project funded by the National Science Foundation, Division of Polar Programs (NSF PLR-1425989), supplemented by NOAA and NASA (PI Jorge Sarmiento). L. Arteaga is mainly supported by NASA under Award NNX17AI73G. S. M. Bushinsky is supported by the SOCCOM project, NASA (NNX17AI73G), and the Carbon Mitigation Initiative (CMI) project sponsored by BP at Princeton University. M. Pahlow was supported by Deutsche Forschungsgemeinschaft (DFG) project SFB754 (Sonderforschungsbereich 754 Climate-Biogeochemistry Interactions in the Tropical Ocean, www.sfb754.de).We would also like to thank Rick Slater for providing CM2-1. output to evaluate our methodology. All details and web addresses needed to access the data used to produce our results are described in section 2 of this paper.</t>
  </si>
  <si>
    <t>10.1029/2019GB006236</t>
  </si>
  <si>
    <t>Bronze, Green Accepted</t>
  </si>
  <si>
    <t>WOS:000490565900001</t>
  </si>
  <si>
    <t>Fernandez, RP; Carmona-Balea, A; Cuevas, CA; Barrera, JA; Kinnison, DE; Lamarque, JF; Blaszczak-Boxe, C; Kim, K; Choi, W; Hay, T; Blechschmidt, AM; Schönhardt, A; Burrows, JP; Saiz-Lopez, A</t>
  </si>
  <si>
    <t>Fernandez, Rafael P.; Carmona-Balea, Antia; Cuevas, Carlos A.; Barrera, Javier A.; Kinnison, Douglas E.; Lamarque, Jean-Francois; Blaszczak-Boxe, Christopher; Kim, Kitae; Choi, Wonyong; Hay, Timothy; Blechschmidt, Anne-Marlene; Schoenhardt, Anja; Burrows, John P.; Saiz-Lopez, Alfonso</t>
  </si>
  <si>
    <t>Modeling the Sources and Chemistry of Polar Tropospheric Halogens (Cl, Br, and I) Using the CAM-Chem Global Chemistry-Climate Model</t>
  </si>
  <si>
    <t>polar halogen chemistry; sea-ice halogen emissions; CAM-Chem model; global tropospheric chemistry</t>
  </si>
  <si>
    <t>SEA-SALT AEROSOL; TROPICAL TROPOPAUSE LAYER; GAS-PHASE REACTIONS; OZONE DEPLETION; ATMOSPHERIC CHEMISTRY; MOLECULAR-IODINE; SATELLITE-OBSERVATIONS; STRATOSPHERIC BROMINE; COASTAL ANTARCTICA; PHOTOCHEMICAL DATA</t>
  </si>
  <si>
    <t>Current chemistry climate models do not include polar emissions and chemistry of halogens. This work presents the first implementation of an interactive polar module into the very short-lived (VSL) halogen version of the Community Atmosphere Model with Chemistry (CAM-Chem) model. The polar module includes photochemical release of molecular bromine, chlorine, and interhalogens from the sea-ice surface, and brine diffusion of iodine biologically produced underneath and within porous sea-ice. It also includes heterogeneous recycling of inorganic halogen reservoirs deposited over fresh sea-ice surfaces and snow-covered regions. The polar emission of chlorine, bromine, and iodine reach approximately 32, 250, and 39 Gg/year for Antarctica and 33, 271, and 4 Gg/year for the Arctic, respectively, with a marked seasonal cycle mainly driven by sunlight and sea-ice coverage. Model results are validated against polar boundary layer measurements of ClO, BrO, and IO, and satellite BrO and IO columns. This validation includes satellite observations of IO over inner Antarctica for which an iodine leapfrog mechanism is proposed to transport active iodine from coastal source regions to the interior of the continent. The modeled chlorine and bromine polar sources represent up to 45% and 80% of the global biogenic VSLCl and VSLBr emissions, respectively, while the Antarctic sea-ice iodine flux is similar to 10 times larger than that from the Southern Ocean. We present the first estimate of the contribution of polar halogen emissions to the global tropospheric halogen budget. CAM-Chem includes now a complete representation of halogen sources and chemistry from pole-to-pole and from the Earth's surface up to the stratopause.</t>
  </si>
  <si>
    <t>[Fernandez, Rafael P.; Carmona-Balea, Antia; Cuevas, Carlos A.; Saiz-Lopez, Alfonso] CSIC, Inst Phys Chem Rocasolano, Dept Atmospher Chem &amp; Climate, Madrid, Spain; [Fernandez, Rafael P.; Barrera, Javier A.] FCEN UNCuyo, UNT FRM, Natl Res Council CONICET, Mendoza, Argentina; [Kinnison, Douglas E.; Lamarque, Jean-Francois] Natl Ctr Atmospher Res, Atmospher Chem Observat &amp; Modeling Lab, POB 3000, Boulder, CO 80307 USA; [Blaszczak-Boxe, Christopher] CUNY, Medgar Evers Coll, Dept Chem &amp; Environm Sci, Brooklyn, NY 11210 USA; [Blaszczak-Boxe, Christopher] CUNY, Grad Ctr, Chem Div, Earth &amp; Environm Sci Div, New York, NY USA; [Kim, Kitae] Univ Sci &amp; Technol, Dept Polar Sci, Incheon, South Korea; [Kim, Kitae] Korea Polar Res Inst KOPRI, Incheon, South Korea; [Choi, Wonyong] Pohan Univ Sci &amp; Technol POSTECH, Div Environm Sci &amp; Engn, Pohan, South Korea; [Hay, Timothy] Natl Inst Water &amp; Atmospher Res NIWA, Lauder, New Zealand; [Blechschmidt, Anne-Marlene; Schoenhardt, Anja; Burrows, John P.] Univ Bremen, Inst Environm Phys, Bremen, Germany</t>
  </si>
  <si>
    <t>Consejo Superior de Investigaciones Cientificas (CSIC); CSIC - Instituto de Quimica Fisica Rocasolano (IQFR); Consejo Nacional de Investigaciones Cientificas y Tecnicas (CONICET); National Center Atmospheric Research (NCAR) - USA; City University of New York (CUNY) System; Medgar Evers College; City University of New York (CUNY) System; Korea Polar Research Institute (KOPRI); National Institute of Water &amp; Atmospheric Research (NIWA) - New Zealand; University of Bremen</t>
  </si>
  <si>
    <t>Saiz-Lopez, A (corresponding author), CSIC, Inst Phys Chem Rocasolano, Dept Atmospher Chem &amp; Climate, Madrid, Spain.</t>
  </si>
  <si>
    <t>a.saiz@csic.es</t>
  </si>
  <si>
    <t>Saiz-Lopez, Alfonso/B-3759-2015; amplification, ³ - Arctic/AAU-6640-2020; Choi, Wonyong/F-8206-2010; Fernandez, Rafael Pedro/ABF-2323-2020; Burrows, John Philip/AAF-8468-2019; Lamarque, Jean-Francois/L-2313-2014</t>
  </si>
  <si>
    <t>Saiz-Lopez, Alfonso/0000-0002-0060-1581; Choi, Wonyong/0000-0003-1801-9386; Fernandez, Rafael Pedro/0000-0002-4114-5500; Burrows, John Philip/0000-0002-6821-5580; Kim, Kitae/0000-0003-0803-3547; Lamarque, Jean-Francois/0000-0002-4225-5074; Barrera, Javier Alejandro/0000-0003-3722-9282; Cuevas Rodriguez, Carlos Alberto/0000-0002-9251-5460</t>
  </si>
  <si>
    <t>European Research Council Executive Agency under the European Union's Horizon 2020 Research and Innovation program [ERC-2016-COG 726349 CLIMAHAL]; Consejo Superior de Investigaciones Cientificas (CSIC) of Spain; Computational and Information System Laboratory from the National Center of Atmospheric Research (CISL); CONICET; ANPCyT [PICT 2015-0714]; UNCuyo [SeCTyP M032/3853]; Korea Polar Research Institute (KOPRI) project [PE18200]; State of Bremen; German Research Foundation (DFG); German Aerospace (DLR); European Space Agency (ESA); Deutsche Forschungsgemeinschaft (DFG, German Research Foundation), within the Transregional Collaborative Research Center ArctiC Amplification: Climate Relevant Atmospheric and SurfaCe Processes, and Feedback Mechanisms (AC) 3 [268020496-TRR 172]; University of Bremen Institutional Strategy Measure M8; UTN [PID 4920-194/2018]</t>
  </si>
  <si>
    <t>European Research Council Executive Agency under the European Union's Horizon 2020 Research and Innovation program(European Research Council (ERC)); Consejo Superior de Investigaciones Cientificas (CSIC) of Spain; Computational and Information System Laboratory from the National Center of Atmospheric Research (CISL); CONICET(Consejo Nacional de Investigaciones Cientificas y Tecnicas (CONICET)); ANPCyT(ANPCyT); UNCuyo; Korea Polar Research Institute (KOPRI) project(Korea Polar Research Institute of Marine Research Placement (KOPRI)); State of Bremen; German Research Foundation (DFG)(German Research Foundation (DFG)); German Aerospace (DLR)(Helmholtz AssociationGerman Aerospace Centre (DLR)); European Space Agency (ESA)(European Space Agency); Deutsche Forschungsgemeinschaft (DFG, German Research Foundation), within the Transregional Collaborative Research Center ArctiC Amplification: Climate Relevant Atmospheric and SurfaCe Processes, and Feedback Mechanisms (AC) 3(German Research Foundation (DFG)); University of Bremen Institutional Strategy Measure M8; UTN</t>
  </si>
  <si>
    <t>This study has been funded by the European Research Council Executive Agency under the European Union' s Horizon 2020 Research and Innovation program (Project ERC-2016-COG 726349 CLIMAHAL) and supported by the Consejo Superior de Investigaciones Cientificas (CSIC) of Spain. Computing resources, support, and data storage are provided and maintained by the Computational and Information System Laboratory from the National Center of Atmospheric Research (CISL, 2017). R. P. F. would like to thank CONICET, ANPCyT (PICT 2015-0714), UNCuyo (SeCTyP M032/3853), and UTN (PID 4920-194/2018) for the financial support. Partial funding for this work was provided by the Korea Polar Research Institute (KOPRI) project (PE18200). The contributions of the University of Bremen have been supported by the State of Bremen, the German Research Foundation (DFG), the German Aerospace (DLR), and the European Space Agency (ESA). We gratefully acknowledge the funding by the Deutsche Forschungsgemeinschaft (DFG, German Research Foundation) -Projektnummer 268020496-TRR 172, within the Transregional Collaborative Research Center ArctiC Amplification: Climate Relevant Atmospheric and SurfaCe Processes, and Feedback Mechanisms (AC) 3 in subproject C03 as well as the support by the University of Bremen Institutional Strategy Measure M8 in the framework of the DFG Excellence Initiative. We thank the contribution from two anonymous reviewers, which really helped to improve the manuscript. The code of the CAM-Chem model can be downloaded from this site (https://www2.acom.ucar.edu/gcm/cam-chem). Data that support the finding of this study can be downloaded from our webpage (https://ac2.iqfr.csic.es/en/publications).</t>
  </si>
  <si>
    <t>10.1029/2019MS001655</t>
  </si>
  <si>
    <t>WOS:000480282800018</t>
  </si>
  <si>
    <t>Clay, TA; Small, C; Tuck, GN; Pardo, D; Carneiro, APB; Wood, AG; Croxall, JP; Crossin, GT; Phillips, RA</t>
  </si>
  <si>
    <t>Clay, Thomas A.; Small, Cleo; Tuck, Geoffrey N.; Pardo, Deborah; Carneiro, Ana P. B.; Wood, Andrew G.; Croxall, John P.; Crossin, Glenn T.; Phillips, Richard A.</t>
  </si>
  <si>
    <t>A comprehensive large-scale assessment of fisheries bycatch risk to threatened seabird populations</t>
  </si>
  <si>
    <t>JOURNAL OF APPLIED ECOLOGY</t>
  </si>
  <si>
    <t>albatross; biologging; ecological risk assessment; longline fisheries; marine megafauna; petrel; population model; trawl fisheries</t>
  </si>
  <si>
    <t>PELAGIC LONGLINE FISHERIES; BY-CATCH; WANDERING ALBATROSSES; INCIDENTAL CATCH; GLOBAL PATTERNS; SOUTHERN-OCEAN; MORTALITY; MIGRATION; TRACKING; PETRELS</t>
  </si>
  <si>
    <t>Incidental mortality (bycatch) in fisheries remains the greatest threat to many large marine vertebrates and is a major barrier to fisheries sustainability. Robust assessments of bycatch risk are crucial for informing effective mitigation strategies, but are hampered by missing information on the distributions of key life-history stages (adult breeders and non-breeders, immatures and juveniles). Using a comprehensive biologging dataset (1,692 tracks, 788 individuals) spanning all major life-history stages, we assessed spatial overlap of four threatened seabird populations from South Georgia, with longline and trawl fisheries in the Southern Ocean. We generated monthly population-level distributions, weighting each life-history stage according to population age structure based on demographic models. Specifically, we determined where and when birds were at greatest potential bycatch risk, and from which fleets. Overlap with both pelagic and demersal longline fisheries was highest for black-browed albatrosses, then white-chinned petrels, wandering and grey-headed albatrosses, whereas overlap with trawl fisheries was highest for white-chinned petrels. Hotspots of fisheries overlap occurred in all major ocean basins, but particularly the south-east and south-west Atlantic Ocean (longline and trawl) and south-west Indian Ocean (pelagic longline). Overlap was greatest with pelagic longline fleets in May-September, when fishing effort south of 25 degrees S is highest, and with demersal and trawl fisheries in January-June. Overlap scores were dominated by particular fleets: pelagic longline-Japan, Taiwan; demersal longline and trawl-Argentina, Namibia, Falklands, South Africa; demersal longline-Convention for Conservation of Antarctic Marine Living Resources (CCAMLR) waters, Chile, New Zealand. Synthesis and applications. We provide a framework for calculating appropriately weighted population-level distributions from biologging data, which we recommend for future fisheries bycatch risk assessments. Many regions of high spatial overlap corresponded with high seabird bycatch rates recorded by on-board observers, indicating that our approach reliably mapped relative bycatch risk at large spatial scales. Implementation of effective bycatch mitigation in these high-risk regions varies considerably. Although potential bycatch risk appears to have decreased since the early 2000s, albatross and petrel populations from South Georgia and elsewhere are still declining, emphasizing the need for much improved observer coverage and monitoring of compliance with bycatch regulations.</t>
  </si>
  <si>
    <t>[Clay, Thomas A.] Univ Liverpool, Sch Environm Sci, Liverpool, Merseyside, England; [Clay, Thomas A.; Pardo, Deborah; Wood, Andrew G.; Phillips, Richard A.] NERC, British Antarctic Survey, Cambridge, England; [Small, Cleo] Royal Soc Protect Birds, BirdLife Global Seabird Programme, Sandy, Beds, England; [Tuck, Geoffrey N.] CSIRO Oceans &amp; Atmosphere, Hobart, Tas, Australia; [Carneiro, Ana P. B.; Croxall, John P.] BirdLife Int, Cambridge, England; [Crossin, Glenn T.] Dalhousie Univ, Dept Biol, Halifax, NS, Canada</t>
  </si>
  <si>
    <t>University of Liverpool; UK Research &amp; Innovation (UKRI); Natural Environment Research Council (NERC); NERC British Antarctic Survey; Royal Society for Protection of Birds; Commonwealth Scientific &amp; Industrial Research Organisation (CSIRO); BirdLife International; Dalhousie University</t>
  </si>
  <si>
    <t>Clay, TA (corresponding author), Univ Liverpool, Sch Environm Sci, Liverpool, Merseyside, England.;Clay, TA (corresponding author), NERC, British Antarctic Survey, Cambridge, England.</t>
  </si>
  <si>
    <t>tommy.clay@outlook.com</t>
  </si>
  <si>
    <t>Carneiro, Ana Paula/IQT-6077-2023; Clay, Tommy/W-4867-2019; Tuck, Geoff/E-2356-2012</t>
  </si>
  <si>
    <t>Clay, Tommy/0000-0002-0644-6105; , Ana/0000-0003-0573-7549; Crossin, Glenn/0000-0003-1080-1189; Tuck, Geoff/0000-0002-3640-6147</t>
  </si>
  <si>
    <t>NERC [NE/J021083/1, bas0100035] Funding Source: UKRI</t>
  </si>
  <si>
    <t>0021-8901</t>
  </si>
  <si>
    <t>1365-2664</t>
  </si>
  <si>
    <t>J APPL ECOL</t>
  </si>
  <si>
    <t>J. Appl. Ecol.</t>
  </si>
  <si>
    <t>10.1111/1365-2664.13407</t>
  </si>
  <si>
    <t>IN3UH</t>
  </si>
  <si>
    <t>WOS:000478601300003</t>
  </si>
  <si>
    <t>Yuivar, Y; Alcaino, J; Cifuentes, V; Baeza, M</t>
  </si>
  <si>
    <t>Yuivar, Yassef; Alcaino, Jennifer; Cifuentes, Victor; Baeza, Marcelo</t>
  </si>
  <si>
    <t>Characterization of gelatinase produced by Antarctic Mrakia sp.</t>
  </si>
  <si>
    <t>JOURNAL OF BASIC MICROBIOLOGY</t>
  </si>
  <si>
    <t>Antarctic enzymes; Antarctic yeasts; gelatinase; psychrotolerant yeasts</t>
  </si>
  <si>
    <t>MICROORGANISMS; BACILLUS; ENZYMES</t>
  </si>
  <si>
    <t>In the present study, 20 psychrotolerant yeast species isolated from the soils of King George Island in the sub-Antarctic region were evaluated for the production of extracellular gelatinase, an enzyme with high potential for applications in diverse areas, such as food and medicine. The production of extracellular gelatinase was confirmed in the yeasts Metschnikowia sp., Leucosporidium fragarium, and Mrakia sp., the last one being the yeast in which the highest gelatinase activity was detected. The enzyme was purified from cultures of Mrakia sp., and the effect of different physical-chemical factors on its activity was determined. The gelatinase produced by Mrakia sp. would correspond to a protein of relative molecular weight (rMW) 37,000, which displayed the highest activity at 36 degrees C, pH 7.0, 10 mM CaCl2, and 5 mM ZnSO4.</t>
  </si>
  <si>
    <t>[Yuivar, Yassef; Alcaino, Jennifer; Cifuentes, Victor; Baeza, Marcelo] Univ Chile, Fac Ciencias, Dept Ciencias Ecol, Santiago 3425, Chile; [Alcaino, Jennifer; Cifuentes, Victor; Baeza, Marcelo] Univ Chile, Fac Ciencias, Ctr Biotecnol, Santiago, Chile</t>
  </si>
  <si>
    <t>Universidad de Chile; Universidad de Chile</t>
  </si>
  <si>
    <t>Baeza, M (corresponding author), Univ Chile, Fac Ciencias, Dept Ciencias Ecol, Santiago 3425, Chile.</t>
  </si>
  <si>
    <t>mbaeza@uchile.cl</t>
  </si>
  <si>
    <t>Alcaino, Jennifer/H-4576-2012</t>
  </si>
  <si>
    <t>Baeza, Marcelo/0000-0001-8853-395X</t>
  </si>
  <si>
    <t>Comision Nacional de Ciencia y Tecnologia</t>
  </si>
  <si>
    <t>This study was financially supported through the Comision Nacional de Ciencia y Tecnologia (grant FONDECYT 1130333).</t>
  </si>
  <si>
    <t>0233-111X</t>
  </si>
  <si>
    <t>1521-4028</t>
  </si>
  <si>
    <t>J BASIC MICROB</t>
  </si>
  <si>
    <t>J. Basic Microbiol.</t>
  </si>
  <si>
    <t>10.1002/jobm.201900126</t>
  </si>
  <si>
    <t>IM6CV</t>
  </si>
  <si>
    <t>WOS:000478081600008</t>
  </si>
  <si>
    <t>Morales, N; Coghlan, AR; Hayden, G; Guajardo, P</t>
  </si>
  <si>
    <t>Morales, Naiti; Coghlan, Amy Rose; Hayden, Gonzalo; Guajardo, Paula</t>
  </si>
  <si>
    <t>First sighting of a tropical benthic reef shark species at Rapa Nui: chance dispersal or a sign of things to come?</t>
  </si>
  <si>
    <t>JOURNAL OF FISH BIOLOGY</t>
  </si>
  <si>
    <t>climate change; Easter Island; El Nino; Pacific Ocean; Triaenodon obesus; white tip reef shark</t>
  </si>
  <si>
    <t>TRIAENODON-OBESUS; CLIMATE-CHANGE; EASTER-ISLAND; CONSERVATION; ABUNDANCE; BIOLOGY; FISHES; DEPTH; BAY</t>
  </si>
  <si>
    <t>On 20 December 2017, a mature Triaenodon obesus was observed at Hanga Roa Bay, Rapa Nui (Easter Island) at c.18 m depth. This observation increases both the range of T. obesus in the Pacific Ocean and the number of elasmobranch species at Rapa Nui. In combination with other recent sightings further extending the southern range of this species during the Austral summer, sea surface temperature is suggested as key to southern dispersal.</t>
  </si>
  <si>
    <t>[Morales, Naiti; Guajardo, Paula] Millennium Nucleus Ecol &amp; Sustainable Managemen, Coquimbo, Chile; [Morales, Naiti; Guajardo, Paula] Univ Catolica Norte, Fac Ciencias Mar, Coquimbo, Chile; [Coghlan, Amy Rose] Univ Tasmania, Inst Marine &amp; Antarctic Studies, Hobart, Tas, Australia; [Hayden, Gonzalo] Mike Rapu Div Ctr, Hanga Roa, Chile</t>
  </si>
  <si>
    <t>Universidad Catolica del Norte; University of Tasmania</t>
  </si>
  <si>
    <t>Morales, N (corresponding author), Univ Catolica Norte, Fac Ciencias Mar, Coquimbo, Chile.</t>
  </si>
  <si>
    <t>naiti.morales@gmail.com</t>
  </si>
  <si>
    <t>Morales, Naiti/KEH-1169-2024; Coghlan, Amy/AAP-3105-2021</t>
  </si>
  <si>
    <t>Morales, Naiti/0000-0003-1348-2056</t>
  </si>
  <si>
    <t>CONICYT [21151143] Funding Source: Medline; Chilean Millennium Initiative (ESMOI) Funding Source: Medline</t>
  </si>
  <si>
    <t>CONICYT(Comision Nacional de Investigacion Cientifica y Tecnologica (CONICYT)); Chilean Millennium Initiative (ESMOI)</t>
  </si>
  <si>
    <t>0022-1112</t>
  </si>
  <si>
    <t>1095-8649</t>
  </si>
  <si>
    <t>J FISH BIOL</t>
  </si>
  <si>
    <t>J. Fish Biol.</t>
  </si>
  <si>
    <t>10.1111/jfb.13977</t>
  </si>
  <si>
    <t>IQ3IS</t>
  </si>
  <si>
    <t>WOS:000480645900029</t>
  </si>
  <si>
    <t>Prend, CJ; Gille, ST; Talley, LD; Mitchell, BG; Rosso, I; Mazloff, MR</t>
  </si>
  <si>
    <t>Prend, Channing J.; Gille, Sarah T.; Talley, Lynne D.; Mitchell, B. Greg; Rosso, Isabella; Mazloff, Matthew R.</t>
  </si>
  <si>
    <t>Physical Drivers of Phytoplankton Bloom Initiation in the Southern Ocean's Scotia Sea</t>
  </si>
  <si>
    <t>NATURAL IRON FERTILIZATION; MIXED-LAYER DEPTH; DRAKE PASSAGE; BIOMASS; KRILL; VARIABILITY; CIRCULATION; TRANSPORT; WEDDELL; WATERS</t>
  </si>
  <si>
    <t>The Scotia Sea is the site of one of the largest spring phytoplankton blooms in the Southern Ocean. Past studies suggest that shelf-iron inputs are responsible for the high productivity in this region, but the physical mechanisms that initiate and sustain the bloom are not well understood. Analysis of profiling float data from 2002 to 2017 shows that the Scotia Sea has an unusually shallow mixed-layer depth during the transition from winter to spring, allowing the region to support a bloom earlier in the season than elsewhere in the Antarctic Circumpolar Current. We compare these results to the mixed-layer depth in the 1/6 degrees data-assimilating Southern Ocean State Estimate and then use the model output to assess the physical balances governing mixed-layer variability in the region. Results indicate the importance of lateral advection of Weddell Sea surface waters in setting the stratification. A Lagrangian particle release experiment run backward in time suggests that Weddell outflow constitutes 10% of the waters in the upper 200 m of the water column in the bloom region. This dense Weddell water subducts below the surface waters in the Scotia Sea, establishing a sharp subsurface density contrast that cannot be overcome by wintertime convection. Profiling float trajectories are consistent with the formation of Taylor columns over the region's complex bathymetry, which may also contribute to the unique stratification. Furthermore, biogeochemical measurements from 2016 and 2017 bloom events suggest that vertical exchange associated with this Taylor column enhances productivity by delivering nutrients to the euphotic zone. Plain Language Summary Tiny algae called phytoplankton form the base of the marine food web and absorb carbon dioxide from the atmosphere through photosynthesis. Therefore, understanding the processes that control the location and timing of phytoplankton blooms is necessary to accurately model marine ecosystems and the global carbon cycle. In this study, we examine the upper ocean conditions that support the earliest and largest offshore spring phytoplankton bloom in the Southern Ocean, which surrounds Antarctica and is a key region of carbon uptake for the global ocean. Observational data and model output both suggest that the bloom region has unique stratification, which is conducive to bloom development. By releasing virtual particles into a climate model and tracking their position, we find that currents transport cold water to the bloom site from the Weddell Sea. This cold water is key to explaining the region's unusual stratification. Finally, we analyze new observations taken by robotic floats of the 2016 and 2017 blooms. These data suggest that biological productivity is closely linked to the seafloor topography. This is because flow over topography leads to enhanced mixing, which delivers essential nutrients to the sunlit upper ocean where phytoplankton can grow.</t>
  </si>
  <si>
    <t>[Prend, Channing J.; Gille, Sarah T.; Talley, Lynne D.; Mitchell, B. Greg; Rosso, Isabella; Mazloff, Matthew R.] Scripps Inst Oceanog, La Jolla, CA 92037 USA</t>
  </si>
  <si>
    <t>University of California System; University of California San Diego; Scripps Institution of Oceanography</t>
  </si>
  <si>
    <t>Prend, CJ (corresponding author), Scripps Inst Oceanog, La Jolla, CA 92037 USA.</t>
  </si>
  <si>
    <t>cprend@ucsd.edu</t>
  </si>
  <si>
    <t>Mazloff, Matthew/0000-0002-1650-5850; Talley, Lynne/0000-0003-1574-729X; rosso, isabella/0000-0002-6761-7297; Gille, Sarah/0000-0001-9144-4368; Mitchell, B. Greg/0000-0002-8550-4333; Prend, Channing/0000-0003-4661-0480</t>
  </si>
  <si>
    <t>National Science Foundation Graduate Research Fellowship [DGE-1650112]; NSF [PLR-1425989, OCE-1658001, ANT-0948338]; National Science Foundation, Division of Polar Programs [NSF PLR-1425989]; Argo Program; NOAA program</t>
  </si>
  <si>
    <t>National Science Foundation Graduate Research Fellowship(National Science Foundation (NSF)); NSF(National Science Foundation (NSF)); National Science Foundation, Division of Polar Programs(National Science Foundation (NSF)); Argo Program; NOAA program(National Oceanic Atmospheric Admin (NOAA) - USA)</t>
  </si>
  <si>
    <t>C.J.P. is supported by a National Science Foundation Graduate Research Fellowship under grant DGE-1650112. S.T.G., L.D.T., I.R., and M.R.M. were supported by NSF PLR-1425989. S.T.G. also received support from NSF OCE-1658001. B.G.M. was supported by NSF ANT-0948338. The authors thank two anonymous reviewers, whose comments greatly improved the manuscript. Thanks also to Emma Bent for helping get Octopus running and Ivana Cerovecki for assisting with the SOSE budgets. Profiling float data were collected and made freely available the International Argo Program (http://www.argo.ucsd.edu, http://argo.jcommops.org) and by the Southern Ocean Carbon and Climate Observations and Modeling (SOCCOM) Project (http://soccom.princeton.edu) funded by the National Science Foundation, Division of Polar Programs (NSF PLR-1425989), supplemented by NASA (NNX14AP49B), and by Argo and the NOAA programs that contribute to it. Southern Ocean State Estimate (SOSE) output is publicly available (http://sose.ucsd.edu).Offline Lagrangian particle trajectories were calculated using Octopus (http://github.com/jinbow/Octopus).AVISO combined mean dynamic topography product for 1993-2012 on a 1/4 degrees x 1/4 degrees grid is available online (http://www.aviso.altimetry.fr/).MODIS Aqua level 3 binned chlorophyll a data at 9-km resolution are available from NASA (http://oceandata.sci.gsfc.nasa.gov/MODIS-Aqua/).Bathymetry from the ETOPO1 Global Relief Model is available from NOAA (https://www.ngdc.noaa.gov/mgg/global/).Surface drifter trajectories are available from the Global Drifter Program (http://www.aoml.noaa.gov/phod/gdp/index.php).The drifter-derived monthly climatology of global near-surface currents on a 1/4 degrees x 1/4 degrees is also available from NOAA (http://www.aoml.noaa.gov/phod/gdp/mean_velocity.php).NOAA/NSIDC Climate Data Record of passive microwave sea ice concentration is available online (https://nsidc.org/data/G02202).</t>
  </si>
  <si>
    <t>10.1029/2019JC015162</t>
  </si>
  <si>
    <t>WOS:000490464200027</t>
  </si>
  <si>
    <t>Cremonesi, L; Connolly, A; Allison, P; Banerjee, O; Batten, L; Beatty, JJ; Bechtol, K; Belov, K; Besson, DZ; Binns, WR; Bugaev, V; Cao, P; Chen, CC; Chen, CH; Chen, P; Clem, JM; Dailey, B; Deaconu, C; Dowkontt, PF; Fox, BD; Gordon, JWH; Gorham, PW; Hill, B; Huang, JJ; Hughes, K; Hupe, R; Israel, MH; Liewer, KM; Lin, SY; Liu, TC; Ludwig, AB; Macchiarulo, L; Matsuno, S; McBride, K; Miki, C; Mulrey, K; Nam, J; Nichol, RJ; Novikov, A; Oberla, E; Prohira, S; Rauch, BF; Robert, JM; Romero-Wolf, A; Rotter, B; Russell, JW; Saltzberg, D; Seckel, D; Schoorlemmer, H; Shiao, J; Stafford, S; Stockham, J; Stockham, M; Strutt, B; Stuhr, J; Sutherland, M; Varner, GS; Vieregg, AG; Wang, SH; Wissel, SA</t>
  </si>
  <si>
    <t>Cremonesi, L.; Connolly, A.; Allison, P.; Banerjee, O.; Batten, L.; Beatty, J. J.; Bechtol, K.; Belov, K.; Besson, D. Z.; Binns, W. R.; Bugaev, V; Cao, P.; Chen, C. C.; Chen, C. H.; Chen, P.; Clem, J. M.; Dailey, B.; Deaconu, C.; Dowkontt, P. F.; Fox, B. D.; Gordon, J. W. H.; Gorham, P. W.; Hill, B.; Huang, J. J.; Hughes, K.; Hupe, R.; Israel, M. H.; Liewer, K. M.; Lin, S. Y.; Liu, T. C.; Ludwig, A. B.; Macchiarulo, L.; Matsuno, S.; McBride, K.; Miki, C.; Mulrey, K.; Nam, J.; Nichol, R. J.; Novikov, A.; Oberla, E.; Prohira, S.; Rauch, B. F.; Robert, J. M.; Romero-Wolf, A.; Rotter, B.; Russell, J. W.; Saltzberg, D.; Seckel, D.; Schoorlemmer, H.; Shiao, J.; Stafford, S.; Stockham, J.; Stockham, M.; Strutt, B.; Stuhr, J.; Sutherland, M.; Varner, G. S.; Vieregg, A. G.; Wang, S. H.; Wissel, S. A.</t>
  </si>
  <si>
    <t>ANITA Collaboration</t>
  </si>
  <si>
    <t>The simulation of the sensitivity of the Antarctic Impulsive Transient Antenna (ANITA) to Askaryan radiation from cosmogenic neutrinos interacting in the Antarctic Ice</t>
  </si>
  <si>
    <t>JOURNAL OF INSTRUMENTATION</t>
  </si>
  <si>
    <t>Neutrino detectors; Simulation methods and programs; Particle detectors; Balloon instrumentation</t>
  </si>
  <si>
    <t>THICKNESS; SHOWERS</t>
  </si>
  <si>
    <t>A Monte Carlo simulation program for the radio detection of Ultra High Energy (UHE) neutrino interactions in the Antarctic ice as viewed by the Antarctic Impulsive Transient Antenna (ANITA) is described in this article. The program, icemc, provides an input spectrum of UHE neutrinos, the parametrization of the Askaryan radiation generated by their interaction in the ice, and the propagation of the radiation through ice and air to a simulated model of the third and fourth ANITA flights. This paper provides an overview of the icemc simulation, descriptions of the physics models used and of the ANITA electronics processing chain, data/simulation comparisons to validate the predicted performance, and a summary of the impact of published results.</t>
  </si>
  <si>
    <t>[Cremonesi, L.; Banerjee, O.; Nichol, R. J.] UCL, Dept Phys &amp; Astron, Gower St, London, England; [Connolly, A.; Allison, P.; Batten, L.; Dailey, B.; Gordon, J. W. H.; Hughes, K.; Hupe, R.; McBride, K.; Prohira, S.; Stafford, S.; Sutherland, M.; ANITA Collaboration] Ohio State Univ, Ctr Cosmol &amp; AstroParticle Phys, Dept Phys, W Woodruff Ave, Columbus, OH 43210 USA; [Beatty, J. J.; Deaconu, C.; Hughes, K.; Ludwig, A. B.; Oberla, E.; Vieregg, A. G.] Univ Chicago, Kavli Inst Cosmol Phys, Dept Phys, Enrico Fermi Inst, Chicago, IL 60637 USA; [Beatty, J. J.] LSST, 950 North Cherry Ave, Tucson, AZ 85721 USA; [Bechtol, K.; Liewer, K. M.; Romero-Wolf, A.] Jet Prop Lab, Oak Grove Dr, Pasadena, CA 91109 USA; [Belov, K.; Novikov, A.; Stockham, J.; Stockham, M.] Univ Kansas, Dept Phys &amp; Astron, Wescoe Hall Dr, Lawrence, KS 66045 USA; [Belov, K.; Novikov, A.] Natl Res Nucl Univ, Moscow Engn Phys Inst, 31 Kashirskoye Highway, Moscow 115409, Russia; [Besson, D. Z.; Binns, W. R.; Bugaev, V; Dowkontt, P. F.; Israel, M. H.; Rauch, B. F.] Washington Univ, Dept Phys, Brookings Dr, St Louis, MO 63130 USA; [Besson, D. Z.; Binns, W. R.; Bugaev, V; Dowkontt, P. F.; Israel, M. H.; Rauch, B. F.] Washington Univ, McDonnell Ctr Space Sci, Brookings Dr, St Louis, MO 63130 USA; [Cao, P.; Clem, J. M.; Mulrey, K.; Seckel, D.] Univ Delaware, Dept Phys, Newark, DE 19716 USA; [Chen, C. C.; Chen, C. H.; Chen, P.; Huang, J. J.; Lin, S. Y.; Liu, T. C.; Nam, J.; Shiao, J.; Wang, S. H.] Natl Taiwan Univ, Dept Phys, Grad Inst Astrophys, Roosevelt Rd, Taipei 10617, Taiwan; [Chen, C. C.; Chen, C. H.; Chen, P.; Huang, J. J.; Lin, S. Y.; Liu, T. C.; Nam, J.; Shiao, J.; Wang, S. H.] Natl Taiwan Univ, Leung Ctr Cosmol &amp; Particle Astrophys, Roosevelt Rd, Taipei 10617, Taiwan; [Fox, B. D.; Gorham, P. W.; Hill, B.; Macchiarulo, L.; Matsuno, S.; Miki, C.; Robert, J. M.; Rotter, B.; Russell, J. W.; Schoorlemmer, H.; Varner, G. S.] Univ Hawaii, Dept Phys &amp; Astron, Correa Rd, Manoa, HI 96822 USA; [Mulrey, K.] Vrije Univ Brussel, Astrophys Inst, Pleinlaan 2, B-1050 Brussels, Belgium; [Robert, J. M.] Univ Calif San Diego, Ctr Astrophys &amp; Space Sci, Gilman Dr, La Jolla, CA 92093 USA; [Saltzberg, D.; Strutt, B.] Univ Calif Los Angeles, Dept Phys &amp; Astron, Portola Plaza, Los Angeles, CA 90095 USA; [Schoorlemmer, H.] Max Planck Inst Kernphys, D-69117 Heidelberg, Germany; [Stuhr, J.; Wissel, S. A.] Calif Polytech State Univ San Luis Obispo, North Perimeter Rd, San Luis Obispo, CA 93407 USA</t>
  </si>
  <si>
    <t>University of London; University College London; University System of Ohio; Ohio State University; University of Chicago; National Aeronautics &amp; Space Administration (NASA); NASA Jet Propulsion Laboratory (JPL); University of Kansas; National Research Nuclear University MEPhI (Moscow Engineering Physics Institute); Washington University (WUSTL); Washington University (WUSTL); University of Delaware; National Taiwan University; National Taiwan University; University of Hawaii System; University of Hawaii Manoa; Vrije Universiteit Brussel; University of California System; University of California San Diego; University of California System; University of California Los Angeles; Max Planck Society; California State University System; California Polytechnic State University San Luis Obispo</t>
  </si>
  <si>
    <t>Cremonesi, L (corresponding author), UCL, Dept Phys &amp; Astron, Gower St, London, England.</t>
  </si>
  <si>
    <t>l.cremonesi@ucl.ac.uk</t>
  </si>
  <si>
    <t>Novikov, Alexander S/L-7538-2016; Belov, Konstantin V/D-2520-2013; Nichol, Ryan/C-1645-2008; Beatty, James/D-9310-2011; Chen, Pisin/IAO-8769-2023; Huang, Jian Jang/L-9953-2016</t>
  </si>
  <si>
    <t>Belov, Konstantin V/0000-0002-8861-110X; Nichol, Ryan/0000-0003-0557-0443; Beatty, James/0000-0003-0481-4952; Chen, Pisin/0000-0001-5251-7210; Cremonesi, Linda/0000-0003-0711-1056; Hughes, Kaeli/0000-0002-4551-9581; Deaconu, Cosmin/0000-0002-4953-6397; Macchiarulo, Luca/0009-0004-1141-0344; Wissel, Stephanie/0000-0003-0569-6978; Gorham, Peter/0000-0002-0923-9363; Allison, Patrick/0000-0001-8141-2653; Novikov, Alexander/0000-0002-1086-7252; Mulrey, Katharine/0000-0001-8026-8020</t>
  </si>
  <si>
    <t>Kavli Institute for Cosmological Physics at the University of Chicago; National Science Foundation [1255557, 1752922, GRT00049285]; Cosmology and Astroparticle Student and Postdoc Exchange Network (CASPEN); Leverhulme Trust; Taiwan's Ministry of Science and Technology (MOST) under its Vanguard Program [106-2119-M-002-011]; STFC [ST/N000285/1, PP/E006876/1] Funding Source: UKRI</t>
  </si>
  <si>
    <t>Kavli Institute for Cosmological Physics at the University of Chicago(University of Chicago); National Science Foundation(National Science Foundation (NSF)); Cosmology and Astroparticle Student and Postdoc Exchange Network (CASPEN); Leverhulme Trust(Leverhulme Trust); Taiwan's Ministry of Science and Technology (MOST) under its Vanguard Program; STFC(UK Research &amp; Innovation (UKRI)Science &amp; Technology Facilities Council (STFC))</t>
  </si>
  <si>
    <t>We would like to thank the National Aeronautics and Space Administration and the National Science Foundation, especially the Office of Polar Programs. We would especially like to thank the staff of the Columbia Scientific Balloon Facility and the logistical support staff enabling us to perform our work in Antarctica. We are deeply indebted to those who dedicate their careers to help make our science possible in such remote environments. This work was supported by the Kavli Institute for Cosmological Physics at the University of Chicago. Computing resources were provided by the University of Chicago Research Computing Center and the Ohio Supercomputing Center at The Ohio State University. A. Connolly and S. Wissel would like to thank the National Science Foundation for their support through CAREER awards 1255557 and 1752922, respectively. A. Connolly would also like to thank the National Science Foundation for their support through the single-PI grant GRT00049285. O. Banerjee and L. Cremonesi's work was also supported by collaborative visits funded by the Cosmology and Astroparticle Student and Postdoc Exchange Network (CASPEN). The University College London group was also supported by the Leverhulme Trust. The Taiwan team is supported by Taiwan's Ministry of Science and Technology (MOST) under its Vanguard Program 106-2119-M-002-011.</t>
  </si>
  <si>
    <t>1748-0221</t>
  </si>
  <si>
    <t>J INSTRUM</t>
  </si>
  <si>
    <t>J. Instrum.</t>
  </si>
  <si>
    <t>P08011</t>
  </si>
  <si>
    <t>10.1088/1748-0221/14/08/P08011</t>
  </si>
  <si>
    <t>Instruments &amp; Instrumentation</t>
  </si>
  <si>
    <t>IS8BR</t>
  </si>
  <si>
    <t>WOS:000482373600008</t>
  </si>
  <si>
    <t>van der Merwe, P; Trull, TW; Goodwin, T; Jansen, P; Bowie, A</t>
  </si>
  <si>
    <t>van der Merwe, Pier; Trull, Thomas W.; Goodwin, Trevor; Jansen, Peter; Bowie, Andrew</t>
  </si>
  <si>
    <t>The autonomous clean environmental (ACE) sampler: A trace-metal-clean seawater sampler suitable for open-oceantime-series applications</t>
  </si>
  <si>
    <t>LIMNOLOGY AND OCEANOGRAPHY-METHODS</t>
  </si>
  <si>
    <t>FLOW-INJECTION; IRON; WATER</t>
  </si>
  <si>
    <t>The fundamental role of the micronutrient Fe in controlling phytoplankton growth in large parts of Earth's oceans and a lack of information on seasonal transitions in remote regions motivated us to create an autonomous water sampler capable of collecting uncontaminated open-ocean seawater samples with monthly resolution over a full annual cycle. Phytoplankton are at the base of the food chain, which take up carbon dioxide through photosynthesis. Assessing Fe availability is essential to understanding both ocean productivity and our climate. This need is particularly important in the Southern Ocean, where Fe limitation is wide spread and access is difficult especially in winter. To address this need, we have developed an autonomous system capable of observing iron concentrations over a full seasonal cycle, at the subnanomolar concentrations that are important in the open ocean. The automated clean environmental sampler has been developed initially for 1-yr deployments on oceanographic moorings. Twelve samples per unit can be programmed to collect 65 mL of seawater through a noncontaminating, primarily Teflon sample path. The system is vaned to maintain its intake tubes in upstream water and has been tested to 100 m depth. The system was deployed during a GEOTRACES section (SR3 line, GS01) in 2018 alongside an industry standard, trace metal clean rosette, and no significant difference was found in Fe concentrations in the 50 pmol L-1 range, proving its capability at collecting uncontaminated seawater samples in the open ocean at temperatures above 0 degrees C.</t>
  </si>
  <si>
    <t>[van der Merwe, Pier; Trull, Thomas W.; Jansen, Peter; Bowie, Andrew] Univ Tasmania, Antarctic Climate &amp; Ecosyst Cooperat Res Ctr, Hobart, Tas, Australia; [Trull, Thomas W.; Goodwin, Trevor; Jansen, Peter] CSIRO, Marine &amp; Atmospher Res, Hobart, Tas, Australia; [Bowie, Andrew] Univ Tasmania, Inst Marine &amp; Antarctic Studies, Hobart, Tas, Australia</t>
  </si>
  <si>
    <t>Antarctic Climate &amp; Ecosystems Cooperative Research Centre (ACE CRC); University of Tasmania; Commonwealth Scientific &amp; Industrial Research Organisation (CSIRO); University of Tasmania</t>
  </si>
  <si>
    <t>van der Merwe, P (corresponding author), Univ Tasmania, Antarctic Climate &amp; Ecosyst Cooperat Res Ctr, Hobart, Tas, Australia.</t>
  </si>
  <si>
    <t>pier.vandermerwe@utas.edu.au</t>
  </si>
  <si>
    <t>Goodwin, Trevor/AAP-9851-2021; Bowie, Andrew/C-8677-2013; van der Merwe, Pier/C-9210-2015</t>
  </si>
  <si>
    <t>Bowie, Andrew/0000-0002-5144-7799; van der Merwe, Pier/0000-0002-7428-8030</t>
  </si>
  <si>
    <t>Antarctic Climate and Ecosystem Co-operative Research Centre; Integrated Marine Observing System (IMOS) Southern Ocean Time Series (SOTS)</t>
  </si>
  <si>
    <t>We thank the officers and crew of the RV Investigator and staff at the Marine National Facility for their help during and after the SR3 cruise. We thank Di Davies for valuable discussions during the early phase of this work and for help with deployment and recovery of the system. We thank Morgane Perron for help with deployment and recovery of the system in March 2019. This work was funded by the Antarctic Climate and Ecosystem Co-operative Research Centre. This work was also funded by the Integrated Marine Observing System (IMOS) Southern Ocean Time Series (SOTS) subfacility support for mooring engineering.</t>
  </si>
  <si>
    <t>1541-5856</t>
  </si>
  <si>
    <t>LIMNOL OCEANOGR-METH</t>
  </si>
  <si>
    <t>Limnol. Oceanogr. Meth.</t>
  </si>
  <si>
    <t>10.1002/lom3.10327</t>
  </si>
  <si>
    <t>Limnology; Oceanography</t>
  </si>
  <si>
    <t>IY1XW</t>
  </si>
  <si>
    <t>WOS:000479830800001</t>
  </si>
  <si>
    <t>Jepsen, EM; de Bruyn, PJN</t>
  </si>
  <si>
    <t>Jepsen, Emma M.; de Bruyn, P. J. Nico</t>
  </si>
  <si>
    <t>Pinniped entanglement in oceanic plastic pollution: A global review</t>
  </si>
  <si>
    <t>Pinniped; Entanglement; Oceanic plastic pollution; Ghost-fishing; Observer bias; ALDFG</t>
  </si>
  <si>
    <t>MAN-MADE DEBRIS; ANTARCTIC FUR SEALS; ARCTOCEPHALUS-GAZELLA; MARINE-ENVIRONMENT; PUP MORTALITY; INGESTION; MICROPLASTICS; CALIFORNIA; RESERVES; ISLANDS</t>
  </si>
  <si>
    <t>Oceanic plastic pollution is a growing worldwide environmental concern, endangering numerous marine species. Pinnipeds are particularly susceptible to entanglement, especially in abandoned, lost or discarded fishing gear and packaging straps. We searched three international databases to compile a comprehensive review of all reported pinniped entanglements over the last 40 years, with the aim to identify areas of concern and foci for mitigation. The majority of published records of entanglement emanate from North America and Oceania and are focused on a few populous species (notably, Zalophus californianus and Arctocephalus gazella). Reporting bias, skewed research effort and incomplete understanding of plastic pollution and pinniped abundance overlap, combine to cloud our understanding of the entanglement problem. Broader geographical effort in entanglement data collection, reporting of such data, and improved quantification of the proportions of populations, sexes and ages that are most susceptible, will aid our efforts to pinpoint priority mitigation measures.</t>
  </si>
  <si>
    <t>[Jepsen, Emma M.; de Bruyn, P. J. Nico] Univ Pretoria, Mammal Res Inst, Dept Zool &amp; Entomol, Private Bag X20, ZA-0028 Hatfield, South Africa</t>
  </si>
  <si>
    <t>University of Pretoria</t>
  </si>
  <si>
    <t>de Bruyn, PJN (corresponding author), Univ Pretoria, Mammal Res Inst, Dept Zool &amp; Entomol, Private Bag X20, ZA-0028 Hatfield, South Africa.</t>
  </si>
  <si>
    <t>pjndebruyn@zoology.up.ac.za</t>
  </si>
  <si>
    <t>de Bruyn, P. J. Nico/E-4176-2010</t>
  </si>
  <si>
    <t>de Bruyn, P. J. Nico/0000-0002-9114-9569</t>
  </si>
  <si>
    <t>10.1016/j.marpolbul.2019.05.042</t>
  </si>
  <si>
    <t>WOS:000482493000036</t>
  </si>
  <si>
    <t>Chakraborty, S; Jana, B</t>
  </si>
  <si>
    <t>Chakraborty, Sandipan; Jana, Biman</t>
  </si>
  <si>
    <t>Calcium ion implicitly modulates the adsorption ability of ion-dependent type II antifreeze proteins on an ice/water interface: a structural insight</t>
  </si>
  <si>
    <t>METALLOMICS</t>
  </si>
  <si>
    <t>ICE-BINDING; MOLECULAR-DYNAMICS; FREE CRYOPRESERVATION; WATER DYNAMICS; FACTOR XA; KINASE-C; RECRYSTALLIZATION; CALMODULIN; PURIFICATION; MECHANISM</t>
  </si>
  <si>
    <t>Ion dependent type II antifreeze proteins (AFPs) are an unusual design of natural evolution for cold-acclimatization of fishes in the Antarctic region. This class of proteins requires Ca2+ to perform an unusual biological recognition, binding to a specific ice plane. However, an ice-protein complex is yet to be characterized at the molecular scale. Here, using equilibrium simulations, free energy calculations and metadynamics, we have elucidated this unusual ice recognition phenomenon at the atomistic level. The origin of ion selectivity has been critically investigated to identify the role of different ions in the dynamics and ice binding ability of the protein. We have demonstrated that within the type II protein matrix, the preferred coordination number of Ca2+ is seven involving five protein atoms and two water molecules. Due to this coordination geometry, the ion binding loop adopts a flat solvent exposed conformation which helps the AFP to efficiently adsorb on the prism plane. The ice binding surface (IBS) adsorbs on the ice surface mediated by a layer of ordered water. Structural synergy between the ice/water interface of the prism plane and the water structure around the IBS makes the adsorption highly favorable. On the other hand, the preferred geometry of the Zn2+ coordination sphere within the AFP matrix is tetrahedral. Both the coordination number and the coordination bond length are smaller for Zn2+ in comparison to Ca2+. Thus to optimize the coordination sphere for Zn2+ within the protein matrix, a kink is introduced in the ion binding loop, a part of the IBS. Therefore, the IBS and ice surface complementarity is greatly perturbed which leads to less effective adsorption.</t>
  </si>
  <si>
    <t>[Chakraborty, Sandipan; Jana, Biman] Indian Assoc Cultivat Sci, Sch Chem Sci, Kolkata 700032, India</t>
  </si>
  <si>
    <t>Department of Science &amp; Technology (India); Indian Association for the Cultivation of Science (IACS) - Jadavpur</t>
  </si>
  <si>
    <t>Jana, B (corresponding author), Indian Assoc Cultivat Sci, Sch Chem Sci, Kolkata 700032, India.</t>
  </si>
  <si>
    <t>pcbj@iacs.res.in</t>
  </si>
  <si>
    <t>Chakraborty, Sandipan/T-8968-2017</t>
  </si>
  <si>
    <t>Chakraborty, Sandipan/0000-0001-8759-1074</t>
  </si>
  <si>
    <t>Department of Science and Technology, Government of India (SERB grant) [EMR/2016/001333]</t>
  </si>
  <si>
    <t>Department of Science and Technology, Government of India (SERB grant)</t>
  </si>
  <si>
    <t>The work was financially supported by the Department of Science and Technology, Government of India (SERB grant EMR/2016/001333). The authors also gratefully acknowledge the central supercomputing facility (CRAY) at the Indian Association for the Cultivation of Science, Kolkata.</t>
  </si>
  <si>
    <t>ROYAL SOC CHEMISTRY</t>
  </si>
  <si>
    <t>THOMAS GRAHAM HOUSE, SCIENCE PARK, MILTON RD, CAMBRIDGE CB4 0WF, CAMBS, ENGLAND</t>
  </si>
  <si>
    <t>1756-5901</t>
  </si>
  <si>
    <t>1756-591X</t>
  </si>
  <si>
    <t>Metallomics</t>
  </si>
  <si>
    <t>10.1039/c9mt00100j</t>
  </si>
  <si>
    <t>Biochemistry &amp; Molecular Biology</t>
  </si>
  <si>
    <t>IR4PF</t>
  </si>
  <si>
    <t>WOS:000481416000005</t>
  </si>
  <si>
    <t>Barker, S; Knorr, G; Conn, S; Lordsmith, S; Newman, D; Thornalley, D</t>
  </si>
  <si>
    <t>Barker, Stephen; Knorr, Gregor; Conn, Stephen; Lordsmith, Sian; Newman, Dhobasheni; Thornalley, David</t>
  </si>
  <si>
    <t>Early Interglacial Legacy of Deglacial Climate Instability</t>
  </si>
  <si>
    <t>NORTH-ATLANTIC OCEAN; MAJOR GLACIATION CYCLES; MILLENNIAL TIME SCALES; OVERTURNING CIRCULATION; CARBON-CYCLE; ICEBERG DISCHARGES; ATMOSPHERIC CO2; SOUTHERN-OCEAN; ANTARCTIC ICE; LAST</t>
  </si>
  <si>
    <t>Throughout the last glacial cycle millennial timescale variations in atmospheric CO2 occurred in parallel with perturbations in deep ocean circulation, which were themselves reflected by observable changes in surface conditions across the North Atlantic region. Here we use continuous proxy records to argue that an equivalent relationship has held throughout the last 800 kyr, that is, since before the first occurrence of Heinrich events (strictly defined). Our results highlight the importance of internal climate dynamics in amplifying external (insolation) forcing on the climate system to produce the large amplitude of glacial terminations (deglaciations) during the middle to late Pleistocene. We show that terminations are characterized by an interval of intense ice rafting followed by a subsequent and abrupt shift to anomalously warm surface conditions (with respect to the more gradually evolving background state), which we interpret to reflect an abrupt recovery of deep ocean circulation in the Atlantic. According to our synthesis, this is followed by a period of enhanced (or at least anomalous) overturning lasting thousands of years until equilibrium interglacial conditions are attained and during which atmospheric CO2 is likely to decrease. Our results therefore suggest that deglacial oscillations in ocean circulation can have a lasting influence on early interglacial climate and highlight the transient nature of atmospheric CO2 overshoots associated with the onset of some previous interglacials. Accordingly, we suggest that these intervals should be considered as a part of the deglacial process. This has implications for studies concerned with the evolution of atmospheric CO2 during interglacial periods including the Holocene.</t>
  </si>
  <si>
    <t>[Barker, Stephen; Knorr, Gregor; Conn, Stephen; Lordsmith, Sian; Newman, Dhobasheni] Cardiff Univ, Sch Earth &amp; Ocean Sci, Cardiff, S Glam, Wales; [Knorr, Gregor] Alfred Wegener Inst, Bremerhaven, Germany; [Thornalley, David] UCL, Dept Geog, London, England</t>
  </si>
  <si>
    <t>Cardiff University; Helmholtz Association; Alfred Wegener Institute, Helmholtz Centre for Polar &amp; Marine Research; University of London; University College London</t>
  </si>
  <si>
    <t>Barker, S (corresponding author), Cardiff Univ, Sch Earth &amp; Ocean Sci, Cardiff, S Glam, Wales.</t>
  </si>
  <si>
    <t>barkers3@cf.ac.uk</t>
  </si>
  <si>
    <t>Stephen, Barker/C-2770-2009</t>
  </si>
  <si>
    <t>Barker, Stephen/0000-0001-7870-6431; Thornalley, David/0000-0001-5885-5499</t>
  </si>
  <si>
    <t>U.K. NERC [NE/J008133/1, NE/P000878/1, NE/L006405/1]; NERC [NE/P000878/1, NE/I006370/1, NE/L006405/1, NE/J008133/1] Funding Source: UKRI</t>
  </si>
  <si>
    <t>U.K. NERC(UK Research &amp; Innovation (UKRI)Natural Environment Research Council (NERC)); NERC(UK Research &amp; Innovation (UKRI)Natural Environment Research Council (NERC))</t>
  </si>
  <si>
    <t>We thank the Editor, Luke Skinner, and two anonymous reviewers for their careful and constructive evaluations of our study. This research used samples provided by the Integrated Ocean Drilling Program (IODP). We acknowledge support from U.K. NERC (Grants NE/J008133/1, NE/P000878/1, and NE/L006405/1). Author contributions are as follows: S. B. designed project and analyzed data sets; S. C., S. L., and D. N. performed all laboratory work. All authors contributed to writing the paper. The authors declare no competing interests. All data presented here are available in the supporting information and online in the PANGAEA data repository (https://doi.pangaea.de/10.1594/PANGAEA.904398).</t>
  </si>
  <si>
    <t>10.1029/2019PA003661</t>
  </si>
  <si>
    <t>WOS:000495384600011</t>
  </si>
  <si>
    <t>Teixeira, TR; Santos, GS; Turatti, ICC; Paziani, MH; Kress, MRV; Colepicolo, P; Debonsi, HM</t>
  </si>
  <si>
    <t>Teixeira, Thaiz Rodrigues; Santos, Gustavo Souza; Casanova Turatti, Izabel Cristina; Paziani, Mario Henrique; von Zeska Kress, Marcia Regina; Colepicolo, Pio; Debonsi, Hosana Maria</t>
  </si>
  <si>
    <t>Characterization of the lipid profile of Antarctic brown seaweeds and their endophytic fungi by gas chromatography-mass spectrometry (GC-MS)</t>
  </si>
  <si>
    <t>Brown seaweed; Endophytic fungi; Antarctica; Fatty acids; Sterols; GC-MS</t>
  </si>
  <si>
    <t>POLYUNSATURATED FATTY-ACIDS; BETA-AMYRIN TRITERPENES; MARINE MACROALGAE; BIOACTIVE COMPOUNDS; ALPHA-AMYRIN; BIOLOGICAL-ACTIVITIES; CHEMICAL-COMPOSITION; ALGAE; STEROLS; METABOLISM</t>
  </si>
  <si>
    <t>The marine environment supports vast habitats with prodigious biodiversity comprising the largest source of unique bioactive compounds biosynthesized by macro and microorganisms, including seaweeds and their associated fungi. In this context, the interest in studying and characterizing marine natural products has increased in the last years. Among these metabolites, lipids and their derivatives play an important role in the metabolism of marine organisms and are sources of substances with therapeutic properties and biotechnological purposes. In this research, it was investigated the lipid amount present in the algae species Ascoseira mirabilis, Adenocystis utricularis, Desmarestia anceps, Phaeurus antarcticus and in their associated endophytic fungi Aspergillus flavus, Penicillium echinulatum, Microascus croci and Penicillium purpurogenum, respectively. This study was achieved by gas chromatography-mass spectrometry, using a standard methodology to analyze all of the components present in the eight organisms. Fatty acids (FAs) and sterols are among the lipids of the highest concentration in the studied algae and fungi. In general, phytol and fucosterol were the most abundant metabolites in all seaweed, while in endophytic fungi, the FAs (palmitic, linoleic, oleic and stearic acid) and ergosterol appeared in major concentrations. This work contributes to new chemical information on the underexploited biodiversity of macroalgae and endophytic fungi belonging to the Antarctic Peninsula and, furthermore, to increase the possibilities for the discovery of bioactive substances and apply it on biotechnological approaches.</t>
  </si>
  <si>
    <t>[Teixeira, Thaiz Rodrigues; Santos, Gustavo Souza; Casanova Turatti, Izabel Cristina; Debonsi, Hosana Maria] Univ Sao Paulo, Dept Phys &amp; Chem, Sch Pharmaceut Sci Ribeirao Preto, Ribeirao Preto, SP, Brazil; [Paziani, Mario Henrique; von Zeska Kress, Marcia Regina] Univ Sao Paulo, Dept Clin Anal Toxicol &amp; Food Sci, Sch Pharmaceut Sci Ribeirao Preto, Ribeirao Preto, SP, Brazil; [Colepicolo, Pio] Univ Sao Paulo, Dept Biochem, Chem Inst, Sao Paulo, SP, Brazil</t>
  </si>
  <si>
    <t>Universidade de Sao Paulo; Universidade de Sao Paulo; Universidade de Sao Paulo</t>
  </si>
  <si>
    <t>Debonsi, HM (corresponding author), Univ Sao Paulo, Dept Phys &amp; Chem, Sch Pharmaceut Sci Ribeirao Preto, Ribeirao Preto, SP, Brazil.</t>
  </si>
  <si>
    <t>hosana@fcfrp.usp.br</t>
  </si>
  <si>
    <t>von Zeska Kress, Marcia Regina/F-2651-2012; Santos, Gustavo/M-7752-2017; Teixeira, Thaiz R/JCD-9187-2023; Teixeira, Thaiz R/L-1601-2016; Fapesp, Biota/F-8655-2017; Debonsi, Hosana/C-6120-2012</t>
  </si>
  <si>
    <t>von Zeska Kress, Marcia Regina/0000-0003-1239-7722; Santos, Gustavo/0000-0002-7288-2466; Fapesp, Biota/0000-0002-9887-8449; Debonsi, Hosana/0000-0002-4888-0217; Rodrigues Teixeira, Thaiz/0000-0001-9514-3327</t>
  </si>
  <si>
    <t>Brazilian Antarctic Program (PROANTAR/MCT/CNPq) [64/2013]; Brazilian Marine Force; Coordination of Improvement of Higher Level Personnel (CAPES); National Council for Scientific and Technological Development (CNPq); National Institute of Science and Technology (INCT: BioNat) [465637/2014-0]; State of Sao Paulo Research Foundation (FAPESP) [2014/50926-0]; Fundacao de Amparo a Pesquisa do Estado de Sao Paulo (FAPESP) [14/50926-0] Funding Source: FAPESP</t>
  </si>
  <si>
    <t>Brazilian Antarctic Program (PROANTAR/MCT/CNPq); Brazilian Marine Force; Coordination of Improvement of Higher Level Personnel (CAPES)(Coordenacao de Aperfeicoamento de Pessoal de Nivel Superior (CAPES)); National Council for Scientific and Technological Development (CNPq)(Conselho Nacional de Desenvolvimento Cientifico e Tecnologico (CNPQ)); National Institute of Science and Technology (INCT: BioNat); State of Sao Paulo Research Foundation (FAPESP)(Fundacao de Amparo a Pesquisa do Estado de Sao Paulo (FAPESP)); Fundacao de Amparo a Pesquisa do Estado de Sao Paulo (FAPESP)(Fundacao de Amparo a Pesquisa do Estado de Sao Paulo (FAPESP))</t>
  </si>
  <si>
    <t>This study had financial and logistic support from the Brazilian Antarctic Program (PROANTAR/MCT/CNPq No 64/2013) and Brazilian Marine Force. The authors are grateful for the financial and Fellowship Support from the Brazilian research funding agencies Coordination of Improvement of Higher Level Personnel (CAPES), National Council for Scientific and Technological Development (CNPq), National Institute of Science and Technology (INCT: BioNat), Grant #465637/2014-0, and the State of Sao Paulo Research Foundation (FAPESP), Grant #2014/50926-0. The authors are thankful to Renata S. N. Tavares for collection of algae in the Mission XXXIV/2015 and Ludmila Tonani by the support in the identification of fungi. We thank Professor Dr. Norberto Peporine Lopes (School of Pharmaceutical Sciences of Ribeirao Preto-USP) for providing available equipment.</t>
  </si>
  <si>
    <t>10.1007/s00300-019-02529-w</t>
  </si>
  <si>
    <t>WOS:000482050500002</t>
  </si>
  <si>
    <t>Antoni, MYD; Delpiani, SM; González-Castro, M; Blasina, GE; Spath, MC; Depiani, GE; Ashikaga, FY; Cruz, VP; Oliveira, C; de Astarloa, JMD</t>
  </si>
  <si>
    <t>Deli Antoni, Mariana Y.; Delpiani, Sergio M.; Gonzalez-Castro, Mariano; Blasina, Gabriela E.; Spath, Maria C.; Depiani, Gabriela E.; Ashikaga, Fernando Y.; Cruz, Vanessa P.; Oliveira, Claudio; Diaz de Astarloa, Juan M.</t>
  </si>
  <si>
    <t>Comparative populational study of Lepidonotothen larseni and L. nudifrons (Teleostei: Nototheniidae) from the Antarctic Peninsula and the South Shetland Islands, Antarctica</t>
  </si>
  <si>
    <t>Notothenioidei; Antarctic fishes; Southern ocean; Landmark-based morphometry; Mitochondrial DNA</t>
  </si>
  <si>
    <t>LIFE-HISTORY STRATEGIES; GENETIC-STRUCTURE; BRANSFIELD STRAIT; SCOTIA ARC; CHAENOCEPHALUS-ACERATUS; PHENOTYPIC VARIATION; FISH ASSEMBLAGES; OCEAN CURRENTS; FRESH-WATER; FOOD-WEB</t>
  </si>
  <si>
    <t>Most Antarctic notothenioids exhibit clear geographic structure at large scales of spatial separation, generally between populations off different Ocean sectors. At smaller distances, there is great variation in the extent of population structuring. The Antarctic Peninsula and the archipelago of the South Shetland Islands are separated by a narrow strait of deep water (1000 m). Despite the proximity of these two areas, the confluence of water masses of different origins establishes frontal systems and local gyres which may preclude migration between shelf populations. Among the most abundant fish species in the area, the painted notothen Lepidonotothen larseni and the gaudy notothen Lepidonotothen nudifrons are two of the most numerous and widely distributed. In the present study, the genetic and morphological population structure of these closely related species was evaluated between the Antarctic Peninsula and the South Shetland Islands. Nine meristic counts, 18 inter-landmark distances and a mitochondrial DNA marker (D-loop) were analyzed. Populations of L. nudifrons were significantly different based on both, morphogeometric and genetic analyses, while L. larseni showed no population differentiation. The results showed a moderate structuring not correlated with distance between L. nudifrons populations off the Antarctic Peninsula and the South Shetland Islands. These findings provide evidence that differences between the studied species may be linked to key life history events, such as timing and location of egg development, hatching times and dispersal period of larvae. The present data suggest that notothenioid population structuring at regional scale may be related to a combination of life history traits, oceanographic features and local adaptation.</t>
  </si>
  <si>
    <t>[Deli Antoni, Mariana Y.; Delpiani, Sergio M.; Gonzalez-Castro, Mariano; Spath, Maria C.; Depiani, Gabriela E.; Diaz de Astarloa, Juan M.] CONICET UNMdP, Grp Biotaxon Morfol &amp; Mol Peces BIMOPE, Inst Invest Marinas &amp; Costeras, Funes 3350, RA-7600 Mar Del Plata, Buenos Aires, Argentina; [Deli Antoni, Mariana Y.; Delpiani, Sergio M.; Gonzalez-Castro, Mariano; Blasina, Gabriela E.; Spath, Maria C.; Depiani, Gabriela E.; Diaz de Astarloa, Juan M.] Consejo Nacl Invest Cient &amp; Tecn, Av Rivadavia 1917,CABA C1033AAJ, Buenos Aires, DF, Argentina; [Blasina, Gabriela E.] Univ Nacl Sur, Lab Vertebrados, Dept Biol Bioquim &amp; Farm, San Juan 670, RA-8000 Bahia Blanca, Buenos Aires, Argentina; [Ashikaga, Fernando Y.; Cruz, Vanessa P.; Oliveira, Claudio] Univ Estadual Paulista, Dept Morfol, Inst Biociencias, Dist Rubiao Jr S-N, BR-18618970 Botucatu, SP, Brazil</t>
  </si>
  <si>
    <t>National University of Mar del Plata; Consejo Nacional de Investigaciones Cientificas y Tecnicas (CONICET); Consejo Nacional de Investigaciones Cientificas y Tecnicas (CONICET); National University of the South; Universidade Estadual Paulista</t>
  </si>
  <si>
    <t>González-Castro, M (corresponding author), CONICET UNMdP, Grp Biotaxon Morfol &amp; Mol Peces BIMOPE, Inst Invest Marinas &amp; Costeras, Funes 3350, RA-7600 Mar Del Plata, Buenos Aires, Argentina.;González-Castro, M (corresponding author), Consejo Nacl Invest Cient &amp; Tecn, Av Rivadavia 1917,CABA C1033AAJ, Buenos Aires, DF, Argentina.</t>
  </si>
  <si>
    <t>gocastro@mdp.edu.ar</t>
  </si>
  <si>
    <t>Oliveira, Claudio/D-7713-2012; de Astarloa, Juan Diaz/F-5395-2012; González-Castro, Mariano/AAG-8103-2019</t>
  </si>
  <si>
    <t>Oliveira, Claudio/0000-0002-7010-8880; de Astarloa, Juan Diaz/0000-0002-9250-1771; Cruz, Vanessa Paes/0000-0002-2450-8701; Gonzalez-Castro, Mariano/0000-0003-2403-3168</t>
  </si>
  <si>
    <t>Consejo Nacional de Investigaciones Cientificas y Tecnicas (Project-FONDO IBOL) [3657/15]; Universidad Nacional de Mar del Plata (EXA Grant) [767/16]; National Science and Technology Council of the Brazilian Federal Government (CNPq) [306054/2006-0]; Sao Paulo State Foundation (FAPESP) [2016/09204-6]; CONICET; external CONICET CPA fellowship [12020160100004CO]; Fundacao de Amparo a Pesquisa do Estado de Sao Paulo (FAPESP) [16/09204-6] Funding Source: FAPESP</t>
  </si>
  <si>
    <t>Consejo Nacional de Investigaciones Cientificas y Tecnicas (Project-FONDO IBOL); Universidad Nacional de Mar del Plata (EXA Grant); National Science and Technology Council of the Brazilian Federal Government (CNPq)(Conselho Nacional de Desenvolvimento Cientifico e Tecnologico (CNPQ)Fundacao de Apoio a Pesquisa do Distrito Federal (FAPDF)); Sao Paulo State Foundation (FAPESP)(Fundacao de Amparo a Pesquisa do Estado de Sao Paulo (FAPESP)); CONICET(Consejo Nacional de Investigaciones Cientificas y Tecnicas (CONICET)); external CONICET CPA fellowship; Fundacao de Amparo a Pesquisa do Estado de Sao Paulo (FAPESP)(Fundacao de Amparo a Pesquisa do Estado de Sao Paulo (FAPESP))</t>
  </si>
  <si>
    <t>The authors thank Cristiane Kioko Shimabukuro Dias and Najila Nolie Catarine Dantas Cerqueira for their helpful assistance. This research was supported by Consejo Nacional de Investigaciones Cientificas y Tecnicas (Project-FONDO IBOL Grant No. 3657/15), Universidad Nacional de Mar del Plata (EXA Grant No. 767/16), the National Science and Technology Council of the Brazilian Federal Government (CNPq Grant No. 306054/2006-0 to CO) and Sao Paulo State Foundation (FAPESP Grant No. 2016/09204-6 to CO). Mariana Y. Deli Antoni and Maria C. Spath were supported by CONICET postdoctoral fellowships. Matias Delpiani was supported by an external CONICET CPA fellowship (12020160100004CO). Thanks to Dr. Mario La Mesa and anonymous reviewers who provided valuable suggestions for improving a previous version of the manuscript.</t>
  </si>
  <si>
    <t>10.1007/s00300-019-02540-1</t>
  </si>
  <si>
    <t>WOS:000482050500011</t>
  </si>
  <si>
    <t>Kopalová, K; Soukup, J; Kohler, TJ; Roman, M; Coria, SH; Vignoni, PA; Lecomte, KL; Nedbalová, L; Nyvlt, D; Lirio, JM</t>
  </si>
  <si>
    <t>Kopalova, K.; Soukup, J.; Kohler, T. J.; Roman, M.; Coria, S. H.; Vignoni, P. A.; Lecomte, K. L.; Nedbalova, L.; Nyvlt, D.; Lirio, J. M.</t>
  </si>
  <si>
    <t>Habitat controls on limno-terrestrial diatom communities of Clearwater Mesa, James Ross Island, Maritime Antarctica</t>
  </si>
  <si>
    <t>Algae; Ecology; Biogeography; Polar Region; Climate change; Paleolimnology</t>
  </si>
  <si>
    <t>MCMURDO DRY VALLEYS; FRESH-WATER; TAYLOR VALLEY; ENVIRONMENTAL-CHANGE; BENTHIC DIATOMS; LIVINGSTON ISLAND; LARSEMANN HILLS; BYERS PENINSULA; VESTFOLD HILLS; CLIMATE-CHANGE</t>
  </si>
  <si>
    <t>Diatoms are important ecological indicators in Antarctica, and paleolimnologists routinely apply transfer functions to fossil diatoms recovered from lake sediments to reconstruct past environments. However, living diatom communities may differ among the possible habitat types represented in sediment cores (both within lakes and their immediate proximity), hindering the full and accurate interpretation of fossil records. Therefore, an improved understanding of Antarctic diatom habitat preferences would substantially aid in interpreting regional paleo-material. To gain insights into habitat differences, we sampled epipelon, epilithon, Nostoc mats, lake-adjacent moss, and wet soil from &gt; 30 lakes and ponds from Clearwater Mesa, James Ross Island, spanning a broad gradient in conductivity (a common basis for transfer functions). We found that diatom communities significantly differed between habitat types (although abundances were too low in Nostoc mats to characterize communities), with the clearest distinctions being between submerged (epipelon and epilithon) and exposed (moss and wet soil) groups. Submerged habitat types had greater abundances of attached aquatic taxa (i.e. Gomphonema spp.), while exposed habitats harboured more abundant aerophilic genera (e.g. Hantzschia, Luticola, and Pinnularia). Furthermore, only epilithon communities were significantly related to conductivity, and both epipelon and epilithon habitats showed conspicuous increases in Denticula jamesrossensis at greater conductivity values. Collectively, these results improve our knowledge of limno-terrestrial diatoms from the Maritime Antarctic Region, and further highlight the utility of incorporating knowledge of habitat preferences into (paleo)ecological research.</t>
  </si>
  <si>
    <t>[Kopalova, K.; Soukup, J.; Kohler, T. J.; Nedbalova, L.] Charles Univ Prague, Fac Sci, Dept Ecol, Vinicna 7, Prague 12844, Czech Republic; [Roman, M.; Nyvlt, D.] Masaryk Univ, Fac Sci, Dept Geog, Brno, Czech Republic; [Coria, S. H.; Lirio, J. M.] Inst Antartico Argentino, 25 Mayo 1143, Buenos Aires, DF, Argentina; [Vignoni, P. A.] GFZ German Res Ctr Geosci, Sect Climate Dynam &amp; Landscape Evolut 5 2, Potsdam, Germany; [Vignoni, P. A.; Lecomte, K. L.] Univ Nacl Cordoba, FCEFyN, Ave Velez Sarsfield 1611,X5016CGA, Cordoba, Argentina; [Lecomte, K. L.] Univ Nacl Cordoba, CONICET, Ctr Invest Ciencias Tierra CICTERRA, Ave Velez Sarsfield 1611,X5016CGA, Cordoba, Argentina</t>
  </si>
  <si>
    <t>Charles University Prague; Masaryk University Brno; Instituto Antartico Argentino; Helmholtz Association; Helmholtz-Center Potsdam GFZ German Research Center for Geosciences; National University of Cordoba; Consejo Nacional de Investigaciones Cientificas y Tecnicas (CONICET); National University of Cordoba</t>
  </si>
  <si>
    <t>Kopalová, K (corresponding author), Charles Univ Prague, Fac Sci, Dept Ecol, Vinicna 7, Prague 12844, Czech Republic.</t>
  </si>
  <si>
    <t>k.kopalova@hotmail.com</t>
  </si>
  <si>
    <t>Kohler, Tyler Joe/IUO-5352-2023; Nedbalová, Linda/AAF-1001-2022; Roman, Matěj/AAN-4194-2020; Nedbalová, Linda/AFF-8321-2022; Nyvlt, Daniel/J-6504-2019; Lecomte, Karina/KHD-3796-2024; Kopalova, Katerina/M-6207-2017</t>
  </si>
  <si>
    <t>Kohler, Tyler Joe/0000-0001-5137-4844; Nedbalová, Linda/0000-0003-1800-714X; Roman, Matěj/0000-0003-4741-5169; Nedbalová, Linda/0000-0003-1800-714X; Nyvlt, Daniel/0000-0002-6876-490X; Vignoni, Paula/0000-0002-9681-4986; LECOMTE, KARINA LETICIA/0000-0001-6901-0918; Kopalova, Katerina/0000-0002-7905-4268</t>
  </si>
  <si>
    <t>Czech Science Foundation [16-17346Y]; Agencia National de Promocion Cientifica y Tecnologica (ANPCyT) [PICTO-2010-0096]; FONCyT [PICT 2017-2026]; Ministry of Education, Youth and Sports of the Czech Republic [LM2015078, CZ.02.1.01/0.0/0.0/16_ 013/0001708]; Argentina's Consejo Nacional de Investigaciones Cientificas y Tecnicas (CONICET) [2017-2019 GI, MUNI/A/1251/2017]; Charles University Grant Agency Grant [126715]; Charles University Research Centre Program [204069]</t>
  </si>
  <si>
    <t>Czech Science Foundation(Grant Agency of the Czech Republic); Agencia National de Promocion Cientifica y Tecnologica (ANPCyT)(ANPCyT); FONCyT(FONCyT); Ministry of Education, Youth and Sports of the Czech Republic(Ministry of Education, Youth &amp; Sports - Czech Republic); Argentina's Consejo Nacional de Investigaciones Cientificas y Tecnicas (CONICET)(Consejo Nacional de Investigaciones Cientificas y Tecnicas (CONICET)); Charles University Grant Agency Grant; Charles University Research Centre Program</t>
  </si>
  <si>
    <t>The authors would like to acknowledge the logistical support of the Direccion Nacional del Antartico, Instituto Antartico Argentino, and Marambio and J.G. Mendel stations. This contribution was supported by the Czech Science Foundation Project No. 16-17346Y, Agencia National de Promocion Cientifica y Tecnologica (ANPCyT) Project PICTO-2010-0096 and FONCyT PICT 2017-2026. Funding was also provided by the Ministry of Education, Youth and Sports of the Czech Republic Projects No. LM2015078 and CZ.02.1.01/0.0/0.0/16_ 013/0001708. Authors wish to acknowledge the assistance of Argentina's Consejo Nacional de Investigaciones Cientificas y Tecnicas (CONICET) PIP No 2017-2019 GI and PUE 2016-CONICET-CICTERRA, MUNI/A/1251/2017and Secretaria de Ciencia y Tecnica, Universidad Nacional de Cordoba (SECyT-UNC). MR's participation in the field campaign was made possible by the Charles University Grant Agency Grant No. 126715. TJK and KK were further supported by Charles University Research Centre Program No. 204069. We would like to thank Marcos Kitaura, Eduardo Ale Monserrat, Emmanuel C. Portalez Carnovai, and Agustin Cuparo for their great help in the field. Lastly, many thanks to Manuel Toro and two anonymous reviewers for their comments, which greatly improved the manuscript.</t>
  </si>
  <si>
    <t>10.1007/s00300-019-02547-8</t>
  </si>
  <si>
    <t>WOS:000482050500016</t>
  </si>
  <si>
    <t>Yu, YN; Zhang, ZL; Shokr, M; Hui, FM; Cheng, X; Chi, ZH; Heil, P; Chen, ZQ</t>
  </si>
  <si>
    <t>Yu, Yining; Zhang, Zhilun; Shokr, Mohammed; Hui, Fengming; Cheng, Xiao; Chi, Zhaohui; Heil, Petra; Chen, Zhuoqi</t>
  </si>
  <si>
    <t>Automatically Extracted Antarctic Coastline Using Remotely-Sensed Data: An Update</t>
  </si>
  <si>
    <t>Antarctic coastline; coastline extraction; remote sensing; Canny algorithms; ice shelves</t>
  </si>
  <si>
    <t>AMERY ICE SHELF; IMAGERY</t>
  </si>
  <si>
    <t>The temporal and spatial variability of the Antarctic coastline is a clear indicator of change in extent and mass balance of ice sheets and shelves. In this study, the Canny edge detector was utilized to automatically extract high-resolution information of the Antarctic coastline for 2005, 2010, and 2017, based on optical and microwave satellite data. In order to improve the accuracy of the extracted coastlines, we developed the Canny algorithm by automatically calculating the local low and high thresholds via the intensity histogram of each image to derive thresholds to distinguish ice sheet from water. A visual comparison between extracted coastlines and mosaics from remote sensing images shows good agreement. In addition, comparing manually extracted coastline, based on prior knowledge, the accuracy of planimetric position of automated extraction is better than two pixels of Landsat images (30 m resolution). Our study shows that the percentage of deviation (&lt;100 m) between automatically and manually extracted coastlines in nine areas around the Antarctica is 92.32%, and the mean deviation is 38.15 m. Our results reveal that the length of coastline around Antarctica increased from 35,114 km in 2005 to 35,281 km in 2010, and again to 35,672 km in 2017. Meanwhile, the total area of the Antarctica varied slightly from 1.3618 x 10(7) km(2) (2005) to 1.3537 x 10(7) km(2) (2010) and 1.3657 x 10(7) km(2) (2017). We have found that the decline of the Antarctic area between 2005 and 2010 is related to the breakup of some individual ice shelves, mainly in the Antarctic Peninsula and off East Antarctica. We present a detailed analysis of the temporal and spatial change of coastline and area change for the six ice shelves that exhibited the largest change in the last decade. The largest area change (a loss of 4836 km(2)) occurred at the Wilkins Ice Shelf between 2005 and 2010.</t>
  </si>
  <si>
    <t>[Yu, Yining; Zhang, Zhilun; Chen, Zhuoqi] Beijing Normal Univ, State Key Lab Remote Sensing Sci, Beijing 100875, Peoples R China; [Yu, Yining; Zhang, Zhilun; Chen, Zhuoqi] Beijing Normal Univ, Coll Global Change &amp; Earth Syst Sci, Beijing 100875, Peoples R China; [Yu, Yining; Zhang, Zhilun; Hui, Fengming; Cheng, Xiao; Chen, Zhuoqi] Sun Yat Sen Univ, Sch Geospatial Engn &amp; Sci, Guangzhou 510275, Guangdong, Peoples R China; [Yu, Yining; Zhang, Zhilun; Hui, Fengming; Cheng, Xiao; Chen, Zhuoqi] Univ Corp Polar Res, Beijing 100875, Peoples R China; [Shokr, Mohammed] Environm Canada, Sci &amp; Technol Branch, Toronto, ON M3H 5T4, Canada; [Chi, Zhaohui] Texas A&amp;M Univ, Geospatial Sci Applicat &amp; Technol Ctr, Dept Geog, 3147 TAMU, College Stn, TX 77843 USA; [Heil, Petra] Univ Tasmania, Australian Antarct Div, Hobart, Tas 7001, Australia; [Heil, Petra] Univ Tasmania, Antarctica Climate &amp; Ecosyst Cooperat Res Ctr, Hobart, Tas 7001, Australia</t>
  </si>
  <si>
    <t>Beijing Normal University; Beijing Normal University; Sun Yat Sen University; Environment &amp; Climate Change Canada; Texas A&amp;M University System; Texas A&amp;M University College Station; University of Tasmania; Australian Antarctic Division; University of Tasmania</t>
  </si>
  <si>
    <t>Hui, FM (corresponding author), Sun Yat Sen Univ, Sch Geospatial Engn &amp; Sci, Guangzhou 510275, Guangdong, Peoples R China.;Hui, FM (corresponding author), Univ Corp Polar Res, Beijing 100875, Peoples R China.</t>
  </si>
  <si>
    <t>Yu, Yining/ABD-3966-2020; Zhang, Zhilun/IUO-2208-2023</t>
  </si>
  <si>
    <t>Chi, Zhaohui/0000-0002-4842-9573; Cheng, Xiao/0000-0001-6910-6565; yu, yining/0000-0002-9197-995X; Heil, Petra/0000-0003-2078-0342; Zhang, Zhilun/0000-0001-7507-7625</t>
  </si>
  <si>
    <t>National Natural Science Foundation of China [41676176, 41830536]; Australian Government's Cooperative Research Centers Program through the Antarctica Climate and Ecosystems Cooperative Research Centre; International Space Science Institute [406]; Australian Antarctica Science [4301, 4390]</t>
  </si>
  <si>
    <t>National Natural Science Foundation of China(National Natural Science Foundation of China (NSFC)); Australian Government's Cooperative Research Centers Program through the Antarctica Climate and Ecosystems Cooperative Research Centre; International Space Science Institute; Australian Antarctica Science</t>
  </si>
  <si>
    <t>This research was funded by the National Natural Science Foundation of China (Grant No. 41676176 and 41830536). P.H. was supported by the Australian Government's Cooperative Research Centers Program through the Antarctica Climate and Ecosystems Cooperative Research Centre, and the International Space Science Institute's team grant #406. This work contributes to the Australian Antarctica Science projects 4301 and 4390.</t>
  </si>
  <si>
    <t>10.3390/rs11161844</t>
  </si>
  <si>
    <t>WOS:000484387600007</t>
  </si>
  <si>
    <t>Ametrano, A; Vitale, M; Greco, S; Gerdol, M; Coscia, MR</t>
  </si>
  <si>
    <t>Ametrano, A.; Vitale, M.; Greco, Samuele; Gerdol, M.; Coscia, M. R.</t>
  </si>
  <si>
    <t>The evolutionary puzzle of IgT genes in antarctic fishes</t>
  </si>
  <si>
    <t>FISH &amp; SHELLFISH IMMUNOLOGY</t>
  </si>
  <si>
    <t>IgT; Antarctic teleost; evolution; exon remnant; genome modifications</t>
  </si>
  <si>
    <t>[Ametrano, A.; Vitale, M.; Coscia, M. R.] CNR, Inst Prot Biochem, Via P Castellino 111, I-80131 Naples, Italy; [Greco, Samuele; Gerdol, M.] Univ Trieste, Dept Life Sci, Via Giorgieri 5, I-34127 Trieste, Italy</t>
  </si>
  <si>
    <t>Consiglio Nazionale delle Ricerche (CNR); Istituto di Biochimica delle Proteine (IBP-CNR); University of Trieste</t>
  </si>
  <si>
    <t>mr.coscia@ibp.cnr.it</t>
  </si>
  <si>
    <t>Pallavicini, Alberto/J-4158-2012; Coscia, Maria Rosaria/AAU-1808-2021; Gerdol, Marco/D-2115-2013</t>
  </si>
  <si>
    <t>Gerdol, Marco/0000-0001-6411-0813</t>
  </si>
  <si>
    <t>1050-4648</t>
  </si>
  <si>
    <t>1095-9947</t>
  </si>
  <si>
    <t>FISH SHELLFISH IMMUN</t>
  </si>
  <si>
    <t>Fish Shellfish Immunol.</t>
  </si>
  <si>
    <t>O-063</t>
  </si>
  <si>
    <t>10.1016/j.fsi.2019.04.217</t>
  </si>
  <si>
    <t>Fisheries; Immunology; Marine &amp; Freshwater Biology; Veterinary Sciences</t>
  </si>
  <si>
    <t>IH7IG</t>
  </si>
  <si>
    <t>WOS:000474676700190</t>
  </si>
  <si>
    <t>Desa, MA; Ramprasad, T; Raju, KAK</t>
  </si>
  <si>
    <t>Desa, Maria Ana; Ramprasad, T.; Raju, K. A. Kamesh</t>
  </si>
  <si>
    <t>An integrated geophysical study east of the southern Chagos Laccadive Ridge Complex, Central Indian Ocean Basin: Implications for the Rodriguez Triple Junction dynamics in the Late Cretaceous</t>
  </si>
  <si>
    <t>MARINE GEOLOGY</t>
  </si>
  <si>
    <t>Central Indian Ocean Basin; Rodriguez Triple Junction; Microplate; Southwest Indian Ridge; Episodic migration; Marion hotspot</t>
  </si>
  <si>
    <t>PALEOMAGNETIC EVIDENCE; SPREADING CENTERS; ASEISMIC RIDGES; FRACTURE-ZONE; PLATE MOTIONS; EVOLUTION; DEFORMATION; MADAGASCAR; GRAVITY; ANOMALIES</t>
  </si>
  <si>
    <t>The Central Indian Ocean Basin, east of the southern Chagos Laccadive Ridge complex has evolved due to seafloor spreading in the N-S direction since the Late Cretaceous. The trace of the Rodriguez Triple Junction (RTJ) has been inferred in this basin, but its exact location and dynamics prior to C29o are not known. About 20,000 km of total magnetic intensity data along with satellite gravity mosaic were used to understand the dynamics of the RTJ in the Late Cretaceous. Synthetic seafloor spreading models endorse the presence of Late Cretaceous to early Palaeogene magnetic anomalies C34y to C24o in the study area. Half-spreading rates are initially low (32 mm/yr) between C34y to C33y, and increase up to 78 mm/yr by C28y. Thereafter a decreasing trend is seen (57 mm/yr). Towards the west in the study area, higher spreading rates (120 mm/yr) between C33y and C32ay, and distorted anomalies between chrons C32ay and C30y are observed. Detailed geophysical analysis suggests that the higher spreading rates are due to the presence of transferred crust, and the distorted anomalies are caused by the presence of fragmented tectonic blocks depicting microplate formation and rotation. Plate reconstruction models suggest that the RTJ at C34y time lay southwest of Comorin Ridge which coincided with the northern edge of the Conrad Rise. Until C33y, the RTJ left a linear trace parallel to the fracture zone trend on both the Indian and Antarctic plates, while it gradually moved eastwards on the African plate. The RTJ migrated westwards until C31y causing the transfer of a considerable amount of crust from the African plate to both the Indian and Antarctic plates. Thereafter, the RTJ rapidly reversed its migration direction towards the east until C29o causing the formation and rotation of a microplate on the Indian plate and lengthening of the Southwest Indian Ridge. The present study suggests that this episodic migration of the RTJ may be due to ridge propagation under the influence of the Marion hotspot which was in the vicinity during that period. This RTJ migration resulted in microplate formation, lithospheric transfer and thickened lithosphere similar to the inferences made at many triple junctions in the Pacific Ocean. Thus the origin of anomalous structures such as the Crozet Bank may be related to triple junction dynamics under the influence of Marion hotspot. Further, the counter clockwise rotation of the Southwest Indian Ridge between C33y and C29y may have a causal link with the formation and rotation of the microplate, which occurred during the same period. The present study thus facilitated the inference of the dynamics of the RTJ trace between C34y and C29o on the three plates.</t>
  </si>
  <si>
    <t>[Desa, Maria Ana; Ramprasad, T.; Raju, K. A. Kamesh] Natl Inst Oceanog, CSIR, Geol Oceanog, Panaji 403004, Goa, India</t>
  </si>
  <si>
    <t>Council of Scientific &amp; Industrial Research (CSIR) - India; CSIR - National Institute of Oceanography (NIO)</t>
  </si>
  <si>
    <t>Desa, MA (corresponding author), Natl Inst Oceanog, CSIR, Geol Oceanog, Panaji 403004, Goa, India.</t>
  </si>
  <si>
    <t>mdesa@nio.org</t>
  </si>
  <si>
    <t>Desa, Maria/0000-0001-7454-229X</t>
  </si>
  <si>
    <t>0025-3227</t>
  </si>
  <si>
    <t>1872-6151</t>
  </si>
  <si>
    <t>MAR GEOL</t>
  </si>
  <si>
    <t>Mar. Geol.</t>
  </si>
  <si>
    <t>10.1016/j.margeo.2019.05.007</t>
  </si>
  <si>
    <t>Geosciences, Multidisciplinary; Oceanography</t>
  </si>
  <si>
    <t>Geology; Oceanography</t>
  </si>
  <si>
    <t>IH2LG</t>
  </si>
  <si>
    <t>WOS:000474325700004</t>
  </si>
  <si>
    <t>Kurjanski, B; Rea, BR; Spagnolo, M; Winsborrow, M; Cornwell, DG; Andreassen, K; Howell, J</t>
  </si>
  <si>
    <t>Kurjanski, Bartosz; Rea, Brice R.; Spagnolo, Matteo; Winsborrow, Monica; Cornwell, David G.; Andreassen, Karin; Howell, John</t>
  </si>
  <si>
    <t>Morphological evidence for marine ice stream shutdown, central Barents Sea</t>
  </si>
  <si>
    <t>SCALE GLACIAL LINEATIONS; KONG KARLS LAND; SEISMIC ARCHITECTURE; SUBGLACIAL BEDFORMS; RETREAT DYNAMICS; TUNNEL VALLEYS; SHEET; SURGE; FLOW; SVALBARD</t>
  </si>
  <si>
    <t>Marine-based ice streams are responsible for a significant proportion of the ice mass loss from the present-day Greenland Ice Sheet, East Antarctic Ice Sheet (EAIS) and West Antarctic Ice Sheet (WAIS) but the processes controlling their initiation, evolution and shutdown remain elusive, hindering our understanding of how existing ice masses will respond to predicted future warming. The exposed beds of palaeo-ice streams offer a unique opportunity to study subglacial processes, which are largely inaccessible in contemporary settings. We use high resolution multibeam swath bathymetry data from the Barents Sea to map the geomorphology of a palaeo-ice stream bed, located in Olgastretet (Olga Trough), approximately 75 km southeast of Kong Karls Land and 200 km east of central Svalbard. This reveals evidence for shut down of a marine-based ice stream, followed by a phase of passive retreat or lift-off of the ice stream facilitating preservation of crevasse-squeeze ridges (CSRs). Subsequently, active retreat of the ice margin was re-established and is marked by recessional moraine ridges located upstream of the CSRs. Previously, CSRs have been mainly associated with surging land-terminating ice margins, however our work adds to recent observations of CSRs on the beds of marine-based ice streams, implying that they may be more common than previously thought. It also indicates that marine-based ice streams may switch on- and off in a surge-like manner which has important implications for our understanding of ice stream life cycles and the modelling of ice sheets.</t>
  </si>
  <si>
    <t>[Kurjanski, Bartosz; Rea, Brice R.; Spagnolo, Matteo; Cornwell, David G.; Howell, John] Univ Aberdeen, Sch Geosci, Aberdeen AB24 3UE, Scotland; [Winsborrow, Monica; Andreassen, Karin] Arctic Univ Norway, Ctr Arctic Gas Hydrate Environm &amp; Climate CAGE, N-9037 Tromso, Norway</t>
  </si>
  <si>
    <t>University of Aberdeen; UiT The Arctic University of Tromso</t>
  </si>
  <si>
    <t>Kurjanski, B (corresponding author), Univ Aberdeen, Sch Geosci, Aberdeen AB24 3UE, Scotland.</t>
  </si>
  <si>
    <t>bkurjanski@abdn.ac.uk</t>
  </si>
  <si>
    <t>Howell, John/AAF-5607-2021; Spagnolo, Matteo/G-2415-2011; Cornwell, David/A-9641-2011</t>
  </si>
  <si>
    <t>Spagnolo, Matteo/0000-0002-2753-338X; Rea, Brice/0000-0002-9928-145X; Winsborrow, Monica/0000-0001-5950-1254; Cornwell, David/0000-0002-9843-7811; Kurjanski, Bartosz/0000-0001-8797-6425</t>
  </si>
  <si>
    <t>NERC Oil and Gas CDT [NE/M00578X/1]</t>
  </si>
  <si>
    <t>NERC Oil and Gas CDT</t>
  </si>
  <si>
    <t>The authors would like to thank NERC Oil and Gas CDT (http://www.nerc-cdt-oil-and-gas.ac.uk; NERC grant NE/M00578X/1) for the funding and support. We would also like to thank MAREANO (www.mareano.no) and EMODnet Bathymetry Consortium 2016 (http://www.emodnet-bathymetry.eu) for providing bathymetric data.</t>
  </si>
  <si>
    <t>10.1016/j.margeo.2019.05.001</t>
  </si>
  <si>
    <t>WOS:000474325700005</t>
  </si>
  <si>
    <t>Dutra, LXC; Sporne, I; Haward, M; Aswani, S; Cochrane, KL; Frusher, S; Gasalla, MA; Gianesella, SMF; Grant, T; Hobday, AJ; Jennings, S; Plagányi, E; Pecl, G; Salim, SS; Sauer, W; Taboada, MB; van Putten, IE</t>
  </si>
  <si>
    <t>Dutra, Leo X. C.; Sporne, Ilva; Haward, Marcus; Aswani, Shankar; Cochrane, Kevern L.; Frusher, Stewart; Gasalla, Maria A.; Gianesella, Sonia M. F.; Grant, Tanith; Hobday, Alistair J.; Jennings, Sarah; Plaganyi, Eva; Pecl, Gretta; Salim, Shyam S.; Sauer, Warwick; Taboada, Manuela B.; van Putten, Ingrid E.</t>
  </si>
  <si>
    <t>Governance mapping: A framework for assessing the adaptive capacity of marine resource governance to environmental change</t>
  </si>
  <si>
    <t>MARINE POLICY</t>
  </si>
  <si>
    <t>CLIMATE-CHANGE; NETWORK GOVERNANCE; DIAGNOSTIC-APPROACH; ECOSYSTEM APPROACH; RAPID ASSESSMENT; FISHERIES; MANAGEMENT; ADAPTATION; COASTAL; HEURISTICS</t>
  </si>
  <si>
    <t>Marine social-ecological systems are influenced by the way humans interact with their environment, and external forces, which change and re-shape the environment. In many regions, exploitation of marine resources and climate change are two of the primary drivers shifting the abundance and distribution of marine living resources, with negative effects on marine-dependent communities. Governance systems determine 'who' makes decisions, 'what' are their powers and responsibilities, and 'how' they are exercised. Understanding the connections between the actors comprising governance systems and influences between governance and the environment is therefore critical to support successful transitions to novel forms of governance required to deal with environmental changes. The paper provides an analytical framework with a practical example from Vanuatu, for mapping and assessment of the governance system providing for management of coral reef fish resources. The framework enables a rapid analysis of governance systems to identify factors that can encourage, or hinder, the adaptation of communities to changes in abundance or availability of marine resources.</t>
  </si>
  <si>
    <t>[Dutra, Leo X. C.; Plaganyi, Eva] CSIRO Oceans &amp; Atmosphere, Queensland BioSci Precinct, Brisbane, Qld 4072, Australia; [Dutra, Leo X. C.; Sporne, Ilva] Univ South Pacific, Fac Sci Technol &amp; Environm, Sch Marine Studies, Laucala Bay Rd, Suva, Fiji; [Sporne, Ilva] Griffith Univ, Sch Environm, 170 Kessels Rd, Nathan, Qld 4111, Australia; [Sporne, Ilva] Griffith Univ, Environm Futures Res Inst, 170 Kessels Rd, Nathan, Qld 4111, Australia; [Haward, Marcus] Univ Tasmania, Inst Marine &amp; Antarctic Studies, Ocean &amp; Cryosphere Ctr, Private Bag 129, Hobart, Tas 7001, Australia; [Haward, Marcus; Frusher, Stewart; Hobday, Alistair J.; Jennings, Sarah; Plaganyi, Eva; Pecl, Gretta; van Putten, Ingrid E.] Univ Tasmania, Ctr Marine Socioecol, Private Bag 129, Hobart, Tas 7001, Australia; [Aswani, Shankar] Rhodes Univ, Dept Anthropol, ZA-6140 Grahamstown, South Africa; [Aswani, Shankar; Cochrane, Kevern L.; Grant, Tanith; Sauer, Warwick] Rhodes Univ, Dept Ichthyol &amp; Fisheries Sci, ZA-6140 Grahamstown, South Africa; [Frusher, Stewart; Pecl, Gretta] Univ Tasmania, Inst Marine &amp; Antarctic Studies, Private Bag 129, Hobart, Tas 7001, Australia; [Gasalla, Maria A.] Univ Sao Paulo, Oceanog Inst, Fisheries Ecosyst Lab LabPesq, Sao Paulo, Brazil; [Gianesella, Sonia M. F.] Univ Sao Paulo, Inst Energy &amp; Environm, Sao Paulo, Brazil; [Hobday, Alistair J.; van Putten, Ingrid E.] CSIRO Oceans &amp; Atmosphere, GPO Box 1538, Hobart, Tas 7001, Australia; [Jennings, Sarah] Univ Tasmania, Tasmanian Sch Business &amp; Econ, Sandy Bay, Tas 7004, Australia; [Salim, Shyam S.] Cent Marine Fisheries Res Inst, Socioecon Evaluat &amp; Technol Transfer Div, Post Box 1603, Ernakulam 682018, India; [Taboada, Manuela B.] Queensland Univ Technol, Sch Design, Creat Ind Fac, Gardens Point 2 George St, Brisbane, Qld 4000, Australia</t>
  </si>
  <si>
    <t>Commonwealth Scientific &amp; Industrial Research Organisation (CSIRO); University of the South Pacific; Griffith University; Griffith University; University of Tasmania; University of Tasmania; Rhodes University; Rhodes University; University of Tasmania; Universidade de Sao Paulo; Universidade de Sao Paulo; Commonwealth Scientific &amp; Industrial Research Organisation (CSIRO); University of Tasmania; Indian Council of Agricultural Research (ICAR); ICAR - Central Marine Fisheries Research Institute; Queensland University of Technology (QUT)</t>
  </si>
  <si>
    <t>Dutra, LXC (corresponding author), CSIRO Oceans &amp; Atmosphere, Queensland BioSci Precinct, Brisbane, Qld 4072, Australia.</t>
  </si>
  <si>
    <t>leo.dutra@csiro.au</t>
  </si>
  <si>
    <t>Jennings, Sarah M/J-7888-2014; Hobday, Alistair/A-1460-2012; van putten, ingrid/AAV-1301-2021; Pecl, Gretta/D-7267-2011; Gasalla, Maria A./JBJ-9606-2023; Sauer, Warwick/GJI-2267-2022; Dutra, Leo/R-6256-2019; Plaganyi, Eva E/C-5130-2011; Haward, Marcus/G-3369-2014</t>
  </si>
  <si>
    <t>van putten, ingrid/0000-0001-8397-9768; Pecl, Gretta/0000-0003-0192-4339; Gasalla, Maria A./0000-0003-1506-7040; Sauer, Warwick/0000-0002-9756-1757; Plaganyi, Eva E/0000-0002-4740-4200; SPORNE, Ilva/0000-0003-0629-2449; Dutra, Leo/0000-0002-5781-3956; Haward, Marcus/0000-0003-4775-0864</t>
  </si>
  <si>
    <t>Belmont Forum; GULLS Project; Commonwealth Scientific and Industrial Research Organisation (CSIRO); Institute for Marine and Antarctic Studies; University of the South Pacific through the SRT Pilot Programme/2016, project Mapping Socio-Ecological Systems in Fiji; ARC Future Fellowship [FT140100596]; FAPESP (Sao Paulo Research Foundation) [2012/51873-1]</t>
  </si>
  <si>
    <t>Belmont Forum; GULLS Project; Commonwealth Scientific and Industrial Research Organisation (CSIRO)(Commonwealth Scientific &amp; Industrial Research Organisation (CSIRO)); Institute for Marine and Antarctic Studies; University of the South Pacific through the SRT Pilot Programme/2016, project Mapping Socio-Ecological Systems in Fiji; ARC Future Fellowship(Australian Research Council); FAPESP (Sao Paulo Research Foundation)(Fundacao de Amparo a Pesquisa do Estado de Sao Paulo (FAPESP))</t>
  </si>
  <si>
    <t>The research underpinning this paper is a contribution to the multi country Belmont research project Global Understanding and Learning for Local Solutions (GULLS) designed to characterise, assess and predict the future of coastal-marine food resources and to improve fishing community adaptation through the provision and sharing of knowledge. The authors are grateful for funding provided by the Belmont Forum and associated agencies through the GULLS Project, the Commonwealth Scientific and Industrial Research Organisation (CSIRO), Institute for Marine and Antarctic Studies, and the University of the South Pacific through the SRT Pilot Programme/2016, project Mapping Socio-Ecological Systems in Fiji. GP was supported by an ARC Future Fellowship FT140100596. FAPESP (Sao Paulo Research Foundation) supported the project in Brazil (Grant 2012/51873-1).</t>
  </si>
  <si>
    <t>0308-597X</t>
  </si>
  <si>
    <t>1872-9460</t>
  </si>
  <si>
    <t>MAR POLICY</t>
  </si>
  <si>
    <t>Mar. Pol.</t>
  </si>
  <si>
    <t>10.1016/j.marpol.2018.12.011</t>
  </si>
  <si>
    <t>Environmental Studies; International Relations</t>
  </si>
  <si>
    <t>Environmental Sciences &amp; Ecology; International Relations</t>
  </si>
  <si>
    <t>IH2GP</t>
  </si>
  <si>
    <t>WOS:000474313500001</t>
  </si>
  <si>
    <t>Bianchi, E; Solarte, A; Guozden, T</t>
  </si>
  <si>
    <t>Bianchi, Emilio; Solarte, Andres; Guozden, Tomas</t>
  </si>
  <si>
    <t>Spatiotemporal variability of the wind power resource in Argentina and Uruguay</t>
  </si>
  <si>
    <t>WIND ENERGY</t>
  </si>
  <si>
    <t>Argentina; EOF; Uruguay; variability; wind power</t>
  </si>
  <si>
    <t>HEMISPHERE STORM TRACKS; SOUTHERN ANNULAR MODE; ANTARCTIC OSCILLATION; SEASONAL-VARIATIONS; HOVEN SPECTRUM; REANALYSIS; CIRCULATION; RELIABILITY; PATTERNS; EUROPE</t>
  </si>
  <si>
    <t>The spatiotemporal variability of the wind power resource over Argentina and Uruguay is assessed based on the Modern-Era Retrospective Analysis for Research and Applications 2 (MERRA2) dataset. Hourly wind speeds were interpolated to 100-m height, and then, wind power outputs were computed using power curves of three International Electrotechnical Commission (IEC) wind classes. The time series of wind power outputs were filtered using a fast Fourier transform (FFT) to separate regular (annual and daily) from irregular (interannual and synoptic scale) cycles. An empirical orthogonal function analysis was applied to the resulting datasets to obtain the main modes of variability. The results show that the combination of wind power outputs from southern and northern Patagonia broadly follows the average annual electric load. Patagonia exhibits the highest variability on the interannual, annual, and synoptic timescales. On the interannual and synoptic timescales, the variability modes are associated with known and distinct atmospheric circulation modes. The interannual modes of variability are associated with opposite surface level pressure (SLP) anomalies between middle and high latitudes.</t>
  </si>
  <si>
    <t>[Bianchi, Emilio; Solarte, Andres; Guozden, Tomas] Univ Nacl Rio Negro, Lab Proc Senales Aplicadas &amp; Comp Alto Rendimient, Mitre 630, San Carlos De Bariloche, Rio Negro, Argentina</t>
  </si>
  <si>
    <t>Bianchi, E (corresponding author), Univ Nacl Rio Negro, Lab Proc Senales Aplicadas &amp; Comp Alto Rendimient, Mitre 630, San Carlos De Bariloche, Rio Negro, Argentina.</t>
  </si>
  <si>
    <t>ebianchi@unrn.edu.ar</t>
  </si>
  <si>
    <t>Bianchi, Emilio/0000-0003-1300-2198; Solarte Casanova, Edinson Andres/0000-0002-9088-393X</t>
  </si>
  <si>
    <t>Fondo para la Investigacion Cientifica y Tecnologica; Universidad Nacional de Rio Negro</t>
  </si>
  <si>
    <t>1095-4244</t>
  </si>
  <si>
    <t>1099-1824</t>
  </si>
  <si>
    <t>Wind Energy</t>
  </si>
  <si>
    <t>10.1002/we.2342</t>
  </si>
  <si>
    <t>Energy &amp; Fuels; Engineering, Mechanical</t>
  </si>
  <si>
    <t>Energy &amp; Fuels; Engineering</t>
  </si>
  <si>
    <t>IH7BC</t>
  </si>
  <si>
    <t>WOS:000474658000006</t>
  </si>
  <si>
    <t>Xu, LY; Wei, K; Wu, X; Smyshlyaev, SP; Chen, W; Galin, VY</t>
  </si>
  <si>
    <t>Xu, Luyang; Wei, Ke; Wu, Xue; Smyshlyaev, S. P.; Chen, Wen; Galin, V. Ya.</t>
  </si>
  <si>
    <t>The Effect of Super Volcanic Eruptions on Ozone Depletion in a Chemistry-Climate Model</t>
  </si>
  <si>
    <t>ADVANCES IN ATMOSPHERIC SCIENCES</t>
  </si>
  <si>
    <t>stratospheric ozone; volcanic eruptions; stratospheric aerosols; chemistry-climate model</t>
  </si>
  <si>
    <t>STRATOSPHERIC POLAR VORTEX; NORTHERN-HEMISPHERE; IN-SITU; HETEROGENEOUS CHEMISTRY; GENERAL-CIRCULATION; EFFECTIVE RADIUS; MT. PINATUBO; AEROSOL; TEMPERATURE; VARIABILITY</t>
  </si>
  <si>
    <t>With the gradual yet unequivocal phasing out of ozone depleting substances (ODSs), the environmental crisis caused by the discovery of an ozone hole over the Antarctic has lessened in severity and a promising recovery of the ozone layer is predicted in this century. However, strong volcanic activity can also cause ozone depletion that might be severe enough to threaten the existence of life on Earth. In this study, a transport model and a coupled chemistry-climate model were used to simulate the impacts of super volcanoes on ozone depletion. The volcanic eruptions in the experiments were the 1991 Mount Pinatubo eruption and a 100 x Pinatubo size eruption. The results show that the percentage of global mean total column ozone depletion in the 2050 RCP8.5 100 x Pinatubo scenario is approximately 6% compared to two years before the eruption and 6.4% in tropics. An identical simulation, 100 x Pinatubo eruption only with natural source ODSs, produces an ozone depletion of 2.5% compared to two years before the eruption, and with 4.4% loss in the tropics. Based on the model results, the reduced ODSs and stratospheric cooling lighten the ozone depletion after super volcanic eruption.</t>
  </si>
  <si>
    <t>[Xu, Luyang; Wei, Ke; Chen, Wen] Chinese Acad Sci, Inst Atmospher Phys, Ctr Monsoon Syst Res, Beijing 100190, Peoples R China; [Xu, Luyang] Univ Chinese Acad Sci, Beijing 100049, Peoples R China; [Wu, Xue] Chinese Acad Sci, Inst Atmospher Phys, Key Lab Middle Atmosphere &amp; Global Environm Obser, Beijing 100190, Peoples R China; [Smyshlyaev, S. P.] Russian State Hydrometeorol Univ, Malookhtinskii Pr 98, St Petersburg 195196, Russia; [Galin, V. Ya.] Russian Acad Sci, Inst Numer Math, Ul Gubkina 8, Moscow 11999, Russia</t>
  </si>
  <si>
    <t>Chinese Academy of Sciences; Institute of Atmospheric Physics, CAS; Chinese Academy of Sciences; University of Chinese Academy of Sciences, CAS; Chinese Academy of Sciences; Institute of Atmospheric Physics, CAS; Russian State Hydrometeorological University; Russian Academy of Sciences</t>
  </si>
  <si>
    <t>Wei, K (corresponding author), Chinese Acad Sci, Inst Atmospher Phys, Ctr Monsoon Syst Res, Beijing 100190, Peoples R China.</t>
  </si>
  <si>
    <t>weike@mail.iap.ac.cn</t>
  </si>
  <si>
    <t>Smyshlyaev, Sergei P./F-1198-2014; Xu, Luyang/JEP-8096-2023; Chen, Wen/G-6058-2011; Wei, Ke/G-4541-2011; Wu, Xue/R-9302-2019</t>
  </si>
  <si>
    <t>Chen, Wen/0000-0001-9327-9079; Wu, Xue/0000-0002-0427-782X</t>
  </si>
  <si>
    <t>National Key Research and Development Project of China [2016YFA0600604]; National Natural Science Foundation of China [41461144001, 41861144016]; Youth Innovation Promotion Association of the Chinese Academy of Sciences [2014064]</t>
  </si>
  <si>
    <t>National Key Research and Development Project of China; National Natural Science Foundation of China(National Natural Science Foundation of China (NSFC)); Youth Innovation Promotion Association of the Chinese Academy of Sciences</t>
  </si>
  <si>
    <t>This research was supported by the National Key Research and Development Project of China (Grant No. 2016YFA0600604), the National Natural Science Foundation of China (Grant No. 41461144001 and No. 41861144016), and the Youth Innovation Promotion Association of the Chinese Academy of Sciences (Grant No. 2014064). We thank the two anonymous referees for their comments on the manuscript.</t>
  </si>
  <si>
    <t>0256-1530</t>
  </si>
  <si>
    <t>1861-9533</t>
  </si>
  <si>
    <t>ADV ATMOS SCI</t>
  </si>
  <si>
    <t>Adv. Atmos. Sci.</t>
  </si>
  <si>
    <t>10.1007/s00376-019-8241-8</t>
  </si>
  <si>
    <t>IG3UV</t>
  </si>
  <si>
    <t>WOS:000473731800006</t>
  </si>
  <si>
    <t>Chaudhary, DK; Kim, J</t>
  </si>
  <si>
    <t>Chaudhary, Dhiraj Kumar; Kim, Jaisoo</t>
  </si>
  <si>
    <t>New insights into bioremediation strategies for oil-contaminated soil in cold environments</t>
  </si>
  <si>
    <t>INTERNATIONAL BIODETERIORATION &amp; BIODEGRADATION</t>
  </si>
  <si>
    <t>Bioremediation; Psychrophiles; Cold environments; Bioaugmentation; Enrichment-cultivation</t>
  </si>
  <si>
    <t>EX-SITU BIOREMEDIATION; POLYCYCLIC AROMATIC-HYDROCARBONS; PETROLEUM-HYDROCARBON; LOW-TEMPERATURE; CRUDE-OIL; MICROBIAL-DEGRADATION; ANTARCTIC SOILS; ARCTIC SOILS; ANAEROBIC DEGRADATION; BACTERIAL COMMUNITIES</t>
  </si>
  <si>
    <t>The exploration of petroleum source, production, and transportation in cold environments is increasing tremendously. These activities have made cold regions of the earth vulnerable to oil-contamination. In cold environments, oil-based contaminants persist longer than they do in temperate region because of the low bioavailability of hydrocarbons and the harsh climatic conditions. Oil-based contaminants must be removed to maintain biodiversity and ecological balance. During the last fifteen years, several bioremediation strategies have been employed in cold regions. One effective bioremediation strategy is the introduction of potent cold adaptive microorganism combining with amendment of physio-chemical parameters into the contaminated sites. However, this approach is still in its infancy compared to the use of mesophilic microorganisms. The current bioremediation practices employed in cold regions suffer with several problems such as lack of potent oil-degraders, poor bioavailability of hydrocarbons, and low temperature, oxygen, and nutrient level. Understanding on these aspects is essential for successful bioremediation in cold environments. This review discusses the current bioremediation strategies, the limiting factors governing bioremediation, and the mechanism of biodegradation in cold regions. Furthermore, culture-independent techniques for assessing potent microbes, laboratory cultivation techniques for isolating psychrophilic oil-degraders and conceptual strategies of bioaugmentation are presented.</t>
  </si>
  <si>
    <t>[Chaudhary, Dhiraj Kumar; Kim, Jaisoo] Kyonggi Univ, Coll Nat Sci, Dept Life Sci, Suwon 16227, South Korea</t>
  </si>
  <si>
    <t>Kyonggi University</t>
  </si>
  <si>
    <t>Kim, J (corresponding author), Kyonggi Univ, Coll Nat Sci, Dept Life Sci, Suwon 16227, South Korea.</t>
  </si>
  <si>
    <t>jkimtamu@kgu.ac.kr</t>
  </si>
  <si>
    <t>Chaudhary, Dhiraj Kumar/S-7772-2016</t>
  </si>
  <si>
    <t>Chaudhary, Dhiraj Kumar/0000-0003-4845-3933</t>
  </si>
  <si>
    <t>Basic Science Research Program through the National Research Foundation of Korea (NRF) - Ministry of Education [2016R1D1A1A09916982]</t>
  </si>
  <si>
    <t>Basic Science Research Program through the National Research Foundation of Korea (NRF) - Ministry of Education</t>
  </si>
  <si>
    <t>This research was supported by Basic Science Research Program through the National Research Foundation of Korea (NRF) funded by the Ministry of Education (2016R1D1A1A09916982).</t>
  </si>
  <si>
    <t>0964-8305</t>
  </si>
  <si>
    <t>1879-0208</t>
  </si>
  <si>
    <t>INT BIODETER BIODEGR</t>
  </si>
  <si>
    <t>Int. Biodeterior. Biodegrad.</t>
  </si>
  <si>
    <t>10.1016/j.ibiod.2019.05.001</t>
  </si>
  <si>
    <t>Biotechnology &amp; Applied Microbiology; Environmental Sciences</t>
  </si>
  <si>
    <t>Biotechnology &amp; Applied Microbiology; Environmental Sciences &amp; Ecology</t>
  </si>
  <si>
    <t>IF8XQ</t>
  </si>
  <si>
    <t>WOS:000473377000008</t>
  </si>
  <si>
    <t>Zoura, D; Hill, DJ; Dolan, AM; Hunter, SJ; Tang, Z; Haywood, AM</t>
  </si>
  <si>
    <t>Zoura, D.; Hill, D. J.; Dolan, A. M.; Hunter, S. J.; Tang, Z.; Haywood, A. M.</t>
  </si>
  <si>
    <t>Atmospheric carbon dioxide, ice sheet and topographic constraints on palaeo moisture availability in Asia</t>
  </si>
  <si>
    <t>monsoons; Eurasia; climate; aridity; GCM; proxies</t>
  </si>
  <si>
    <t>TIBETAN PLATEAU; LATE EOCENE; MONSOON; CLIMATE; UPLIFT; SIMULATION; MODEL; ENSO; ARIDIFICATION; PALEOCLIMATE</t>
  </si>
  <si>
    <t>Today, the hydrological regime in East and South Asia is dominated by the monsoons, whilst central Asia is characterized as arid. Studies that have examined the onset of aridity and the intensification of the monsoons in Asia have generated significant debate, especially in respect to the timing of monsoon onset and how this relates to the potential causal mechanisms. The uplift of the Tibetan Plateau, the retreat of the Paratethys Sea, and the global cooling after the Eocene/Oligocene transition are all considered major drivers of Asian aridity and monsoonal intensification. However, little is known about each of these factor's contribution to the development of modern monsoon behaviour. Here, for the first time, we perform sensitivity simulations of a fully coupled ocean-atmosphere climate model (HadCM3) to investigate the effect of the Greenland and Antarctic ice-sheets formation, atmospheric carbon dioxide (CO2) variability, and Tibetan Plateau uplift on East Central Asian aridity and monsoon driven precipitation. We focus on three individual regions, the South Asian Monsoon, the East Asian Monsoon and the Arid East Central Asia and we present the annual precipitation cycle and the moisture availability over each region. Our results show that of the parameters investigated the primary control on Asian hydroclimate is the topography of the Tibetan Plateau. Furthermore, our results highlight that the significance of each forcing depends on the component of the hydrological region and factors studied, a factor that proxy interpretation need to take into consideration. (C) 2019 Elsevier B.V. All rights reserved.</t>
  </si>
  <si>
    <t>[Zoura, D.; Hill, D. J.; Dolan, A. M.; Hunter, S. J.; Haywood, A. M.] Univ Leeds, Sch Earth &amp; Environm, Leeds LS2 9JT, W Yorkshire, England; [Tang, Z.] Chinese Acad Sci, Inst Geol &amp; Geophys, Key Lab Cenozo Geol &amp; Environm, Beijing 100029, Peoples R China</t>
  </si>
  <si>
    <t>University of Leeds; Chinese Academy of Sciences; Institute of Geology &amp; Geophysics, CAS</t>
  </si>
  <si>
    <t>Zoura, D (corresponding author), Univ Leeds, Sch Earth &amp; Environm, Leeds LS2 9JT, W Yorkshire, England.</t>
  </si>
  <si>
    <t>eedz@leeds.ac.uk</t>
  </si>
  <si>
    <t>Dolan, Aisling M/D-2625-2012</t>
  </si>
  <si>
    <t>Hill, Daniel/0000-0001-5492-3925; Tang, Zihua/0000-0002-1143-9284; Zoura, Despina/0000-0001-9645-7803; Tang, Zihua/0000-0003-1772-7145</t>
  </si>
  <si>
    <t>10.1016/j.epsl.2019.04.035</t>
  </si>
  <si>
    <t>IE9IX</t>
  </si>
  <si>
    <t>WOS:000472689200002</t>
  </si>
  <si>
    <t>Lessa, DVO; Santos, TP; Venancio, IM; Santarosa, ACA; dos Santos, EC; Toledo, FAL; Costa, KB; Albuquerque, ALS</t>
  </si>
  <si>
    <t>Lessa, Douglas V. O.; Santos, Thiago P.; Venancio, Igor M.; Santarosa, Ana Claudia A.; dos Santos Junior, Edmundo C.; Toledo, Felipe A. L.; Costa, Karen B.; Albuquerque, Ana Luiza S.</t>
  </si>
  <si>
    <t>Eccentricity-induced expansions of Brazilian coastal upwelling zones</t>
  </si>
  <si>
    <t>GLOBAL AND PLANETARY CHANGE</t>
  </si>
  <si>
    <t>Southwest Atlantic Ocean; Planktonic foraminifera; Pleistocene; Milankovitch cycles; Paleoceanography</t>
  </si>
  <si>
    <t>SOUTH-ATLANTIC; PLANKTONIC-FORAMINIFERA; CABO FRIO; ANTARCTIC ICE; CHRONOLOGY AICC2012; ISOTOPE COMPOSITION; LATE PLEISTOCENE; SURFACE WATERS; VITORIA EDDY; SEDIMENT</t>
  </si>
  <si>
    <t>Expansions of coastal upwelling spots along the Brazilian coast were previously reported for Marine Isotope Stage (MIS) 5, but open questions remain regarding the climatic mechanisms and the periodicity of such changes. Based on two marine sediment cores, we provide evidence for multiple intensifications of the upwelling regime off the Southeast Brazilian margin (SBM) during several interglacials and highlight the major role of eccentricity as the responsible forcing. In addition, we show a two-step change in the upwelling regime across the Mid-Brunhes Event (MBE) and an increase in the amplitude of upwelling variability after this climatic transition. Our findings point to substantial modifications of the upwelling regions during several glacial-interglacial transitions that probably altered the regional marine productivity regime and the carbon budget.</t>
  </si>
  <si>
    <t>[Lessa, Douglas V. O.; Santos, Thiago P.; Albuquerque, Ana Luiza S.] Univ Fed Fluminense, Programa Posgrad Geoquim, BR-24020141 Niteroi, RJ, Brazil; [Venancio, Igor M.] Natl Inst Space Res INPE, Ctr Weather Forecasting &amp; Climate Studies CPTEC, Rodovia Pres Dutra,Km 39, BR-12630000 Cachoeira Paulista, SP, Brazil; [Santarosa, Ana Claudia A.; dos Santos Junior, Edmundo C.; Toledo, Felipe A. L.; Costa, Karen B.] Univ Sao Paulo, Oceanog Inst, South Atlantic Paleoceanog Lab, BR-05508120 Sao Paulo, Brazil</t>
  </si>
  <si>
    <t>Universidade Federal Fluminense; Universidade de Sao Paulo</t>
  </si>
  <si>
    <t>Albuquerque, ALS (corresponding author), Univ Fed Fluminense, Programa Geoquim Ambiental, Outeiro Sao Joao Baptista S-N, BR-24020141 Niteroi, RJ, Brazil.</t>
  </si>
  <si>
    <t>ana_albuquerque@id.uff.br</t>
  </si>
  <si>
    <t>Albuquerque, Ana Luiza/AAC-1536-2019; Toledo, Felipe A L/E-9025-2012; Venancio, Igor M/I-5893-2014; Santos, Thiago P./AAN-6506-2021; costa, karen/N-5713-2015</t>
  </si>
  <si>
    <t>Albuquerque, Ana Luiza/0000-0003-1267-6190; Toledo, Felipe A L/0000-0001-6959-2065; Venancio, Igor M/0000-0003-3118-4247; costa, karen/0000-0002-4757-0524; Santos, Thiago/0000-0002-9273-3329</t>
  </si>
  <si>
    <t>CAPES-ASPECTO project [88887.091731/2014-01]; Coordenacao de Aperfeicoamento de Pessoal de Nivel Superior - CAPES/Brazil [001]; CAPES [88887.156152/2017-00, PE 99999.000042/2017-00]; CNPq (National Council for the Development of Science and Technology, Brazil) [302521/2017-8]</t>
  </si>
  <si>
    <t>CAPES-ASPECTO project; Coordenacao de Aperfeicoamento de Pessoal de Nivel Superior - CAPES/Brazil(Coordenacao de Aperfeicoamento de Pessoal de Nivel Superior (CAPES)); CAPES(Coordenacao de Aperfeicoamento de Pessoal de Nivel Superior (CAPES)); CNPq (National Council for the Development of Science and Technology, Brazil)(Conselho Nacional de Desenvolvimento Cientifico e Tecnologico (CNPQ))</t>
  </si>
  <si>
    <t>This study was supported by the CAPES-ASPECTO project (grant 88887.091731/2014-01). This study was financed in part by the Coordenacao de Aperfeicoamento de Pessoal de Nivel Superior - CAPES/Brazil - Finance Code 001. Douglas V.O. Lessa acknowledges financial support from CAPES (grant PE 99999.000042/2017-00). CAPES currently supports Igor M. Venancio financially with a scholarship (grant 88887.156152/2017-00). A.L.S. Albuquerque is a CNPq (National Council for the Development of Science and Technology, Brazil) senior researcher (grant 302521/2017-8).</t>
  </si>
  <si>
    <t>0921-8181</t>
  </si>
  <si>
    <t>1872-6364</t>
  </si>
  <si>
    <t>GLOBAL PLANET CHANGE</t>
  </si>
  <si>
    <t>Glob. Planet. Change</t>
  </si>
  <si>
    <t>10.1016/j.gloplacha.2019.05.002</t>
  </si>
  <si>
    <t>IE9JY</t>
  </si>
  <si>
    <t>WOS:000472691900004</t>
  </si>
  <si>
    <t>Bates, ML; Hawker, DW; Cropp, R</t>
  </si>
  <si>
    <t>Bates, Michael L.; Hawker, Darryl W.; Cropp, Roger</t>
  </si>
  <si>
    <t>Spatio-temporal variations in hexachlorobenzene partitioning in a near shore Antarctic marine environment from a one-dimensional coupled ecosystem-chemical distribution model</t>
  </si>
  <si>
    <t>POP; Biomagnification; Vertically-resolved model; Fugacity; Ecosystem; Climate change</t>
  </si>
  <si>
    <t>PERSISTENT ORGANIC POLLUTANTS; SOUTHERN-OCEAN; BIOACCUMULATION; KRILL; FATE; ICE; PHYTOPLANKTON; CONTAMINANTS; RESPONSES; DYNAMICS</t>
  </si>
  <si>
    <t>Hexachlorobenzene (HCB) is an example of a persistent organic pollutant (POP) that is relatively abundant and widespread in near shore Antarctic marine environments. By definition, POPs may distribute with an ecosystem, bioaccumulating and potentially reaching hazardous levels in some organisms. Modelling approaches may provide insight into this behaviour and complement physical sampling that is difficult in such environments. Here, a dynamic, trophically complex ecosystem (biological) model comprising biological groups from plankton to apex predators is coupled to a mass conserving, fugacity based chemical distribution model with vertical resolution of the seawater compartment. The model accommodates seasonal variations in solar irradiance, sea ice coverage, and boundary layer air temperature. The greatest proportion of the HCB is predicted to be in sediment with comparatively little intra-annual variation. For biota, highest lipid based concentrations are in aerial seabirds, baleen whales and seals but considerable seasonal variation is apparent. The POPcline, the water depth where vertical HCB concentration gradient is greatest, is coupled with the base of the mixed layer throughout the Antarctic year. Seasonal partitioning of POPs in Antarctic environments is shown to be subject to oscillating or flip-flop dynamics with significantly different controlling factors in summer and winter. In summer, HCB in the surface waters, where most of the biological activity is occurring, is isolated from the sediments that contain most of the POP mass. During winter however, fractional sea ice cover increases turbulent diffusion and the mixed layer and POPcline deepen increasing homogenisation in water column. Surface waters are more likely to come into direct contact with sediments, and biota such as krill migrate to the ocean floor and feed on detritus produced from summer plankton blooms that has since sunk to the ocean floor.</t>
  </si>
  <si>
    <t>[Bates, Michael L.; Hawker, Darryl W.; Cropp, Roger] Griffith Univ, Sch Environm &amp; Sci, Gold Coast, Qld 4215, Australia; [Cropp, Roger] Univ Queensland, Ctr Applicat Nat Resource Math, Sch Math &amp; Phys, St Lucia, Qld 4072, Australia</t>
  </si>
  <si>
    <t>Griffith University; Griffith University - Gold Coast Campus; University of Queensland</t>
  </si>
  <si>
    <t>Cropp, R (corresponding author), Griffith Univ, Sch Environm &amp; Sci, Gold Coast, Qld 4215, Australia.</t>
  </si>
  <si>
    <t>r.cropp@griffith.edu.au</t>
  </si>
  <si>
    <t>Cropp, Roger/C-1019-2008</t>
  </si>
  <si>
    <t>Cropp, Roger/0000-0001-9582-857X</t>
  </si>
  <si>
    <t>Australian Antarctic Science [4121]</t>
  </si>
  <si>
    <t>Australian Antarctic Science</t>
  </si>
  <si>
    <t>This project was made possible through funding from Australian Antarctic Science grant number 4121. We thank the NASA Goddard Space Flight Center, Ocean Ecology Laboratory, Ocean Biology Processing Group. Moderate-resolution Imaging Spectroradiometer (MODIS) Terra Sea Surface Temperature and Photosynthetically Available Radiation Data; NASA OB.DAAC, Greenbelt, MD, USA for providing sea surface temperature and irradiance data. The authors also thank a very conscientious reviewer.</t>
  </si>
  <si>
    <t>10.1016/j.jmarsys.2019.05.001</t>
  </si>
  <si>
    <t>IE9JC</t>
  </si>
  <si>
    <t>WOS:000472689700005</t>
  </si>
  <si>
    <t>Youn, UJ; Lee, JH; Han, SJ</t>
  </si>
  <si>
    <t>Youn, Ui Joung; Lee, Jun Hyuk; Han, Se Jong</t>
  </si>
  <si>
    <t>Diketopiperazine and alloxazine alkaloids from the antarctic bacteria, Pseudorhodobacter psychrotolerans sp. nov</t>
  </si>
  <si>
    <t>BIOCHEMICAL SYSTEMATICS AND ECOLOGY</t>
  </si>
  <si>
    <t>Pseudorhodobacter psychrotolerans sp. nov.; Antarctic bacteria; Alloxazine; Diketopiperazine; Rhodobacteraceae</t>
  </si>
  <si>
    <t>SPONGE-ASSOCIATED BACTERIUM; METHYL-ESTERS NAMES; EMENDED DESCRIPTION; MARINE BACTERIUM; AGROBACTERIUM-FERRUGINEUM; ROSEOVARIUS-TOLERANS; CYCLIC DIPEPTIDES; BIOSYNTHESIS; METABOLITES; ABSORPTION</t>
  </si>
  <si>
    <t>Chemical investigation of the ethyl acetate extract of the Antarctic bacteria, Pseudorhodobacter psychrotolerans sp. nov. led to the isolation of five diketopiperazines (1-5), an alloxazine (6), p-hydroxybenzoic acid (7), and 2-methylbutanedioic acid (8). The structures of these compounds were confirmed by 1D and 2D-NMR and MS experiments, as well as by comparison with published values. This is the first phytochemical study of Pseudorhodobacter psychrotolerans sp. nov. Furthermore, all the compounds have been isolated for the first time from the genus Pseudorhodobacter and the family Rhodobacteraceae. The chemotaxonomic significance of the isolated compounds is discussed.</t>
  </si>
  <si>
    <t>[Youn, Ui Joung; Han, Se Jong] KIOST, Korea Polar Res Inst, Div Life Sci, Incheon 21990, South Korea; [Lee, Jun Hyuk] Korea Polar Res Inst, Unit Polar Genom, Incheon 21990, South Korea; [Lee, Jun Hyuk; Han, Se Jong] Univ Sci &amp; Technol, Dept Polar Sci, Incheon 21990, South Korea</t>
  </si>
  <si>
    <t>Korea Polar Research Institute (KOPRI); Korea Institute of Ocean Science &amp; Technology (KIOST); Korea Polar Research Institute (KOPRI)</t>
  </si>
  <si>
    <t>Youn, UJ (corresponding author), KIOST, Korea Polar Res Inst, Div Life Sci, Incheon 21990, South Korea.</t>
  </si>
  <si>
    <t>ujyoun@kopri.re.kr</t>
  </si>
  <si>
    <t>Korea Polar Research Institute, KOPRI [PE19210]</t>
  </si>
  <si>
    <t>Korea Polar Research Institute, KOPRI</t>
  </si>
  <si>
    <t>This work was supported by a grant to the Korea Polar Research Institute, KOPRI, under a project PE19210.</t>
  </si>
  <si>
    <t>0305-1978</t>
  </si>
  <si>
    <t>1873-2925</t>
  </si>
  <si>
    <t>BIOCHEM SYST ECOL</t>
  </si>
  <si>
    <t>Biochem. Syst. Ecol.</t>
  </si>
  <si>
    <t>10.1016/j.bse.2019.04.010</t>
  </si>
  <si>
    <t>Biochemistry &amp; Molecular Biology; Ecology; Evolutionary Biology</t>
  </si>
  <si>
    <t>Biochemistry &amp; Molecular Biology; Environmental Sciences &amp; Ecology; Evolutionary Biology</t>
  </si>
  <si>
    <t>IE1CZ</t>
  </si>
  <si>
    <t>WOS:000472124800004</t>
  </si>
  <si>
    <t>Manríquez, LME; Lavina, ELC; Fernández, RA; Trevisan, C; Leppe, MA</t>
  </si>
  <si>
    <t>Manriquez, Leslie. M. E.; Lavina, Ernesto L. C.; Fernandez, Roy A.; Trevisan, Cristine; Leppe, Marcelo A.</t>
  </si>
  <si>
    <t>Campanian-Maastrichtian and Eocene stratigraphic architecture, facies analysis, and paleoenvironmental evolution of the northern Magallanes Basin (Chilean Patagonia)</t>
  </si>
  <si>
    <t>JOURNAL OF SOUTH AMERICAN EARTH SCIENCES</t>
  </si>
  <si>
    <t>Upper cretaceous; Eocene; Foreshore; Shoreface; Dinosaurs; Mammals</t>
  </si>
  <si>
    <t>TRES PASOS FORMATION; SANTA-CRUZ PROVINCE; FORELAND BASIN; ZIRCON GEOCHRONOLOGY; ICE; ARGENTINA; TRANSPORT; INSIGHTS; DEPOSITS; SCALE</t>
  </si>
  <si>
    <t>The stratigraphic architecture and environmental evolution of the Cerro Guido-Rio de las Chinas Valley Complex contains the upper Cretaceous to Eocene record of the Magallanes/Austral Basin, located in southernmost Chile. This retroarc foreland basin contains a significant record of early Cretaceous to Miocene biogeographic and environmental changes that occurred in high paleolatitudes after the break-up of Gondwana. Using 37 strati graphic sections, we generated a 1390 m thick stratigraphic column, which was used to developed sedimentary facies and an analysis of sequence stratigraphy. Results show, in general, aggradation composed of six third-order depositional sequences each delimited by an erosive surface. A lowstand systems tract developed above each surface, represented by alluvial environments similar to braided fluvial systems, and coastal plain environments, with the development of meandering fluvial and lacustrine systems. Above the lowstand tract, the transgressive systems tract is composed of a shallow marine environment with foreshore, shoreface, and offshore systems. A highstand systems tract was observed in one sequence, and is represented by shallow marine facies. The extensive outcrop in the studied area contains a diverse and voluminous fossil record, containing fossilized invertebrates (bivalves, gastropods, bryozoans, and brachiopods), vertebrates (hadrosaurs, omithischians, sauropods, theropods, birds, mammals, frogs, turtles, plesiosaurs, mosasaurs, and sharks), and plants (wood, leaves impressions, flowers, pollen, and spores). Thus, this study broadens the understanding of the South American-Antarctic connection during the late Cretaceous-Paleogene, through a diverse fossil record and study of the paleoenvironmental evolution of this high-latitude basin.</t>
  </si>
  <si>
    <t>[Manriquez, Leslie. M. E.; Lavina, Ernesto L. C.] Univ Vale Rio dos Sinos, Programa Posgrad Geol, Ave Unisinos 950, BR-93022000 Sao Leopoldo, RS, Brazil; [Fernandez, Roy A.] Univ Concepcion, Dept Ciencias Tierra, Victor Lamas 1290, Concepcion, Chile; [Trevisan, Cristine; Leppe, Marcelo A.] Inst Antartico Chileon, Lab Paleobiol Antartica &amp; Patagonia, Plaza Munoz Gamero 1055, Punta Arenas, Chile</t>
  </si>
  <si>
    <t>Universidade do Vale do Rio dos Sinos (Unisinos); Universidad de Concepcion</t>
  </si>
  <si>
    <t>Manríquez, LME (corresponding author), Univ Vale Rio dos Sinos, Programa Posgrad Geol, Ave Unisinos 950, BR-93022000 Sao Leopoldo, RS, Brazil.</t>
  </si>
  <si>
    <t>leslie@edu.unisinos.br</t>
  </si>
  <si>
    <t>Leppe, Marcelo/L-5447-2014; Lavina, Ernesto/AAL-6034-2021</t>
  </si>
  <si>
    <t>Leppe, Marcelo/0000-0002-1545-8167; Lavina, Ernesto/0000-0002-2290-4962; Trevisan, Cristine/0000-0001-5550-2380; Fernandez, Roy A./0000-0002-2656-5312</t>
  </si>
  <si>
    <t>CNPq (National Council for Scientist and Technological Development) of Brazil; Fondecyt project [1151389]; Anillo project [ACT-172099]</t>
  </si>
  <si>
    <t>CNPq (National Council for Scientist and Technological Development) of Brazil(Conselho Nacional de Desenvolvimento Cientifico e Tecnologico (CNPQ)); Fondecyt project(Comision Nacional de Investigacion Cientifica y Tecnologica (CONICYT)CONICYT FONDECYT); Anillo project(Comision Nacional de Investigacion Cientifica y Tecnologica (CONICYT)CONICYT PIA/ANILLOS)</t>
  </si>
  <si>
    <t>We thank CNPq (National Council for Scientist and Technological Development) of Brazil for the student grant. Acknowledgements are also given to the Graduate Program in Geology (PPGEO) of Vale do Rio dos Sinos University (UNISINOS), and to ittFossil, for the laboratory facilities. We also thank the INACH (Chilean Antarctic Institute) for their support during field work. The present study is part of the project from the Paleogeographic patterns v/s climate change in South America and the Antarctic Peninsula during the latest Cretaceous: a possible explanation for the origin of the Austral biota?, Fondecyt project No 1151389, and also received support for field trips from the Anillo project ACT-172099 and from Estancia Cerro Guido. We are grateful to Sergio Soto Aculia, Jonathan AlarcOn Munoz, Felipe Suazo, Juan Pablo Pino, and Hector Mansilla for their comments regarding the fossil material. Special thanks to Edwin Gonzalez, Sebastian Garrido, Alejandra Mantiquez, Maria Jesus Ortuya, Veronica Milla, and Rene Quinan for their assistance in the field. Brian Romans, Elena Centeno and anonymous reviewer provided appreciated comments which helped to improve this manuscript considerably.</t>
  </si>
  <si>
    <t>0895-9811</t>
  </si>
  <si>
    <t>J S AM EARTH SCI</t>
  </si>
  <si>
    <t>J. South Am. Earth Sci.</t>
  </si>
  <si>
    <t>10.1016/j.jsames.2019.04.010</t>
  </si>
  <si>
    <t>IE1CR</t>
  </si>
  <si>
    <t>WOS:000472124000008</t>
  </si>
  <si>
    <t>Brearley, AJ; Johnson, JM; Williams, B; Gattacceca, J</t>
  </si>
  <si>
    <t>Brearley, Adrian J.; Johnson, Jessica M.; Williams, Brian; Gattacceca, Jerome</t>
  </si>
  <si>
    <t>VARIABLE METASOMATIC ALTERATION OF ALLENDE-LIKE OXIDIZED CV3 CHONDRITES: A COMPARISON OF ANTARCTIC AND NORTHWEST AFRICA CV3 CHONDRITES WITH ALLENDE</t>
  </si>
  <si>
    <t>METEORITICS &amp; PLANETARY SCIENCE</t>
  </si>
  <si>
    <t>82nd Annual Meeting of the Meteoritical-Society (MetSoc)</t>
  </si>
  <si>
    <t>JUL 07-12, 2019</t>
  </si>
  <si>
    <t>Sapporo, JAPAN</t>
  </si>
  <si>
    <t>[Brearley, Adrian J.; Johnson, Jessica M.; Williams, Brian] 1Univ New Mexico, Dept Earth &amp; Planetary Sci, MSC03-2040, Albuquerque, NM 87131 USA; [Gattacceca, Jerome] Aix Marseille Univ, CNRS, Coll France, IRD,INRA,CEREGE, Aix En Provence, France</t>
  </si>
  <si>
    <t>University of New Mexico; Universite PSL; College de France; Institut de Recherche pour le Developpement (IRD); INRAE; Centre National de la Recherche Scientifique (CNRS); Aix-Marseille Universite</t>
  </si>
  <si>
    <t>brearley@unm.edu</t>
  </si>
  <si>
    <t>Gattacceca, Jerome/AAG-5651-2019</t>
  </si>
  <si>
    <t>Gattacceca, Jerome/0000-0002-1639-7140</t>
  </si>
  <si>
    <t>1086-9379</t>
  </si>
  <si>
    <t>1945-5100</t>
  </si>
  <si>
    <t>METEORIT PLANET SCI</t>
  </si>
  <si>
    <t>Meteorit. Planet. Sci.</t>
  </si>
  <si>
    <t>IE0YU</t>
  </si>
  <si>
    <t>WOS:000472113600045</t>
  </si>
  <si>
    <t>Engrand, C; Charon, E; Leroux, H; Le Guillou, C; Duprat, J; Dartois, E; Bernard, S; Guérin, B; Delauche, L; Godard, M</t>
  </si>
  <si>
    <t>Engrand, C.; Charon, E.; Leroux, H.; Le Guillou, C.; Duprat, J.; Dartois, E.; Bernard, S.; Guerin, B.; Delauche, L.; Godard, M.</t>
  </si>
  <si>
    <t>INNER SOLAR SYSTEM IRRADIATION HISTORY OF MINERALS IN AN ULTRACARBONACEOUS ANTARCTIC MICROMETEORITE (UCAMM).</t>
  </si>
  <si>
    <t>[Engrand, C.; Duprat, J.; Guerin, B.; Delauche, L.; Godard, M.] Univ Paris Saclay, Univ Paris Sud, CNRS, CSNSM, F-91405 Orsay, France; [Charon, E.] Univ Paris Saclay, CEA Saclay, CEA, NIMBE,CNRS, F-91191 Gif Sur Yvette, France; [Leroux, H.; Le Guillou, C.] Univ Lille 1, UMET, F-59650 Villeneuve Dascq, France; [Dartois, E.] Univ Paris Saclay, Univ Paris Sud, CNRS, ISMO, F-91400 Orsay, France; [Bernard, S.] Sorbonne Univ, MNHN, CNRS, IMPMC, 4 Pl Jussieu, F-75005 Paris, France</t>
  </si>
  <si>
    <t>Universite Paris Saclay; Centre National de la Recherche Scientifique (CNRS); Universite Paris Cite; Universite Paris Saclay; Centre National de la Recherche Scientifique (CNRS); CEA; Universite Paris Cite; Universite de Lille; Universite Paris Cite; Universite Paris Saclay; Centre National de la Recherche Scientifique (CNRS); Museum National d'Histoire Naturelle (MNHN); Centre National de la Recherche Scientifique (CNRS); Institut de Recherche pour le Developpement (IRD); Sorbonne Universite</t>
  </si>
  <si>
    <t>cecile.engrand@csnsm.in2p3.fr</t>
  </si>
  <si>
    <t>Charon, Emeline/AAH-1468-2020; Charon, Emeline/O-7617-2018; Godard, Marie/H-6451-2011; Le Guillou, Corentin/D-4982-2013</t>
  </si>
  <si>
    <t>Charon, Emeline/0000-0003-2034-9528; Godard, Marie/0000-0002-7276-4021;</t>
  </si>
  <si>
    <t>IPEV-PNRA in Antarctica; CNRS; PNP; LabEx P2IO; IN2P3; ANR (COMETOR)</t>
  </si>
  <si>
    <t>IPEV-PNRA in Antarctica; CNRS(Centre National de la Recherche Scientifique (CNRS)); PNP; LabEx P2IO; IN2P3; ANR (COMETOR)(Agence Nationale de la Recherche (ANR))</t>
  </si>
  <si>
    <t>This work was supported by IPEV-PNRA in Antarctica. Funding from CNRS, PNP, LabEx P2IO, IN2P3 and ANR (COMETOR) are acknowledged.</t>
  </si>
  <si>
    <t>WOS:000472113600103</t>
  </si>
  <si>
    <t>Hublet, G; Yamaguchi, A; Debaille, V; Shirai, N; Kimura, M</t>
  </si>
  <si>
    <t>Hublet, G.; Yamaguchi, A.; Debaille, V.; Shirai, N.; Kimura, M.</t>
  </si>
  <si>
    <t>GEOCHEMICAL STUDY OF TYPE 3 ORDINARY CHONDRITES.</t>
  </si>
  <si>
    <t>[Hublet, G.; Debaille, V.] Univ Libre Bruxelles, Lab G Time, Brussels, Belgium; [Hublet, G.; Yamaguchi, A.; Kimura, M.] Natl Inst Polar Res, Antarctic Meteorite Res Ctr, Tokyo, Japan; [Shirai, N.] Tokyo Metropolitan Univ, Dept Chem, Tokyo, Japan</t>
  </si>
  <si>
    <t>Universite Libre de Bruxelles; Research Organization of Information &amp; Systems (ROIS); National Institute of Polar Research (NIPR) - Japan; Tokyo Metropolitan University</t>
  </si>
  <si>
    <t>ghublet@ulb.ac.be</t>
  </si>
  <si>
    <t>WOS:000472113600167</t>
  </si>
  <si>
    <t>Kim, NK; Kusakabe, M; Park, C; Lee, JI; Nagao, K</t>
  </si>
  <si>
    <t>Kim, N. K.; Kusakabe, M.; Park, C.; Lee, J. I.; Nagao, K.</t>
  </si>
  <si>
    <t>High precision analysis of three oxygen isotopes in silicates using an automated laser fluorination</t>
  </si>
  <si>
    <t>FRACTIONATION</t>
  </si>
  <si>
    <t>[Kim, N. K.; Lee, J. I.] Korea Polar Res Inst, Unit Antarctic K Route Expedit, Incheon 21990, South Korea; [Kusakabe, M.] Univ Toyama, Dept Environm Biol &amp; Chem, Toyama 9308555, Japan; [Park, C.; Nagao, K.] Korea Polar Res Inst, Div Earth Syst Sci, Incheon 21990, South Korea</t>
  </si>
  <si>
    <t>Korea Polar Research Institute (KOPRI); University of Toyama; Korea Polar Research Institute (KOPRI)</t>
  </si>
  <si>
    <t>kimnk@kopri.re.kr; mkh2314@gmail.com; changkun@kopri.re.kr; jilee@kopri.re.kr; nagao@kopri.re.kr</t>
  </si>
  <si>
    <t>WOS:000472113600202</t>
  </si>
  <si>
    <t>Maeda, R; Goderis, S; Debaille, V; Hublet, G; Pourkhorsandi, H; Claeys, P</t>
  </si>
  <si>
    <t>Maeda, R.; Goderis, S.; Debaille, V.; Hublet, G.; Pourkhorsandi, H.; Claeys, P.</t>
  </si>
  <si>
    <t>RARE EARTH ELEMENT DISTRIBUTION AND LU-HF AND SM-ND ISOTOPE SYSTEMATICS OF ANTARCTIC H CHONDRITES</t>
  </si>
  <si>
    <t>CONSTRAINTS; MINERALOGY</t>
  </si>
  <si>
    <t>[Maeda, R.; Goderis, S.; Claeys, P.] Vrije Univ Brussel, Analyt Environm &amp; GeoChem AMGC, Pl Laan 2, B-1050 Brussels, Belgium; [Debaille, V.; Hublet, G.; Pourkhorsandi, H.] Univ Libre Bruxelles, Lab G Time, Ave Franklin Roosevelt 50, B-1050 Brussels, Belgium</t>
  </si>
  <si>
    <t>Vrije Universiteit Brussel; Universite Libre de Bruxelles</t>
  </si>
  <si>
    <t>Ryoga.Maeda@vub.ac.be</t>
  </si>
  <si>
    <t>(VUB), VRIJE UNIVERSITEIT BRUSSEL/B-4895-2008; Goderis, Steven/F-9908-2011</t>
  </si>
  <si>
    <t>(VUB), VRIJE UNIVERSITEIT BRUSSEL/0000-0002-4585-7687; Goderis, Steven/0000-0002-6666-7153</t>
  </si>
  <si>
    <t>WOS:000472113600264</t>
  </si>
  <si>
    <t>Parker, ET; Engrand, C; Dworkin, JP; Glavin, DP</t>
  </si>
  <si>
    <t>Parker, E. T.; Engrand, C.; Dworkin, J. P.; Glavin, D. P.</t>
  </si>
  <si>
    <t>AMINO ACIDS IN ANTARCTIC MICROMETEORITES</t>
  </si>
  <si>
    <t>EXOGENOUS DELIVERY</t>
  </si>
  <si>
    <t>[Parker, E. T.; Dworkin, J. P.; Glavin, D. P.] NASA, Goddard Space Flight Ctr, Solar Syst Explorat Div, Greenbelt, MD 20771 USA; [Engrand, C.] Univ Paris Saclay, Univ Paris Sud, CNRS, CSNSM, Orsay, France</t>
  </si>
  <si>
    <t>National Aeronautics &amp; Space Administration (NASA); NASA Goddard Space Flight Center; Universite Paris Saclay; Centre National de la Recherche Scientifique (CNRS); Universite Paris Cite</t>
  </si>
  <si>
    <t>Dworkin, Jason P./C-9417-2012; Glavin, Daniel P/D-6194-2012</t>
  </si>
  <si>
    <t>Dworkin, Jason P./0000-0002-3961-8997; Glavin, Daniel P/0000-0001-7779-7765</t>
  </si>
  <si>
    <t>WOS:000472113600349</t>
  </si>
  <si>
    <t>Righter, K</t>
  </si>
  <si>
    <t>Righter, K.</t>
  </si>
  <si>
    <t>Overview of carbonaceous chondrites in the US Antarctic meteorite collection: implications for understanding Bennu and Ryugu.</t>
  </si>
  <si>
    <t>CLASSIFICATION</t>
  </si>
  <si>
    <t>[Righter, K.] NASA, Johnson Space Ctr, Mailcodc XI2,2101 NASA Pkwy, Houston, TX 77058 USA</t>
  </si>
  <si>
    <t>National Aeronautics &amp; Space Administration (NASA); NASA Johnson Space Center</t>
  </si>
  <si>
    <t>WOS:000472113600376</t>
  </si>
  <si>
    <t>Will, P; Busemann, H; Riebe, MEI; Maden, C</t>
  </si>
  <si>
    <t>Will, P.; Busemann, H.; Riebe, M. E. I.; Maden, C.</t>
  </si>
  <si>
    <t>REGOLITH HISTORY OF SIX LUNAR REGOLITH BRECCIAS DERIVED FROM NOBLE GAS ELEMENTAL AND ISOTOPIC ABUNDANCES.</t>
  </si>
  <si>
    <t>[Will, P.; Busemann, H.; Riebe, M. E. I.; Maden, C.] Swiss Fed Inst Technol, Inst Geochem &amp; Petrol, CH-8092 Zurich, Switzerland</t>
  </si>
  <si>
    <t>Swiss Federal Institutes of Technology Domain; ETH Zurich</t>
  </si>
  <si>
    <t>patrizia.wil@erdw.ethz.ch</t>
  </si>
  <si>
    <t>Swiss SNF</t>
  </si>
  <si>
    <t>Swiss SNF(Swiss National Science Foundation (SNSF))</t>
  </si>
  <si>
    <t>We thank the NASA Antarctic MWG for allocating samples PCA and MET, T. Irving and A. Wittmann for NWA 10404, K. Nistdizumi and R. Wieler for DEW and M. SchOnbachler for providing splits of NWA 11237 and NWA 11273, purchased from the JNMC Zurich. This research is supported by the Swiss SNF.</t>
  </si>
  <si>
    <t>WOS:000472113600478</t>
  </si>
  <si>
    <t>Yesiltas, M; Zolensky, M; Glotch, TD</t>
  </si>
  <si>
    <t>Yesiltas, M.; Zolensky, M.; Glotch, T. D.</t>
  </si>
  <si>
    <t>THE FIRST TURKISH ANTARCTIC METEORITE SEARCH EXPEDITION</t>
  </si>
  <si>
    <t>[Yesiltas, M.] Kirklareli Univ, Fac Aeronaut &amp; Space Sci, TR-39100 Kirklarch, Turkey; [Zolensky, M.] NASA, Johnson Space Ctr, Houston, TX 77058 USA; [Glotch, T. D.] SUNY Stony Brook, Dept Geosci, Stony Brook, NY 11794 USA</t>
  </si>
  <si>
    <t>Kirklareli University; National Aeronautics &amp; Space Administration (NASA); State University of New York (SUNY) System; State University of New York (SUNY) Stony Brook</t>
  </si>
  <si>
    <t>myesiltas@knights.ucf.edu</t>
  </si>
  <si>
    <t>Yesiltas, Mehmet/G-3735-2013</t>
  </si>
  <si>
    <t>Yesiltas, Mehmet/0000-0002-1521-0460</t>
  </si>
  <si>
    <t>Republic of Turkey; Ministry of Industry and Technology</t>
  </si>
  <si>
    <t>Turkish Antarctic meteorite search expedition was financially supported by the Republic of Turkey, Ministry of Industry and Technology, and was coordinated by Polar Research Center of Istanbul Technical University. We acknowledge the logistical support by the International Polar Foundation (IPF) and Belgium's Princess Elisabeth Antarctica (PEA) Station.</t>
  </si>
  <si>
    <t>WOS:000472113600493</t>
  </si>
  <si>
    <t>Gilmour, ME; Lavers, JL; Lamborg, C; Chastel, O; Kania, SA; Shaffer, SA</t>
  </si>
  <si>
    <t>Gilmour, M. E.; Lavers, J. L.; Lamborg, C.; Chastel, O.; Kania, S. A.; Shaffer, S. A.</t>
  </si>
  <si>
    <t>Mercury as an indicator of foraging ecology but not the breeding hormone prolactin in seabirds</t>
  </si>
  <si>
    <t>ECOLOGICAL INDICATORS</t>
  </si>
  <si>
    <t>Chemical tracer; Contaminant; Mesopelagic predator; Procellariiformes; Prolactin; Western Australia</t>
  </si>
  <si>
    <t>SHEARWATERS PUFFINUS-CARNEIPES; FLESH-FOOTED SHEARWATERS; PERSISTENT ORGANIC POLLUTANTS; SAN-FRANCISCO BAY; METHYLMERCURY-INDUCED NEUROTOXICITY; PETREL PTERODROMA-MACROPTERA; OXIDATIVE STRESS; SELENIUM CONCENTRATIONS; GLUTATHIONE METABOLISM; TROPICAL SEABIRDS</t>
  </si>
  <si>
    <t>Marine predators are frequently exposed to contaminants through diet, and thus contaminants like mercury have the potential to be used as tracers of foraging ecology. Mercury's neurotoxic and endocrine-disrupting effects can have far-ranging consequences for both individuals and populations, and thus mercury concentrations could also be indicative of wildlife health. Because blood samples are relatively non-invasive and easy to obtain in seabird colonies, we investigated whether blood-based mercury concentrations were representative of foraging ecology and breeding hormone concentrations in seabirds. Blood-based mercury carbon and nitrogen stable isotopes, and the reproductive hormone, prolactin, were sampled from two seabird species that exhibit different foraging strategies in Western Australia: Great-winged Petrels (Pterodroma macroptera) are pelagic squid-specialists whose populations are under-studied; Flesh-footed Shearwaters (Ardenna carneipes) are coastal foragers that associate with fishing vessels, and are a species listed as Vulnerable in Western Australia. Mercury was six times higher in Great-winged Petrels (geometric mean +/- SE: 3.360 +/- 0.180 mu g g(-1) ww, n=15) than Flesh-footed Shearwaters (0.554 +/- 0.109 mu g g(-1) ww, n=12). There was a significant difference in delta N-15 between species, and within-species variation in delta C-13 mirrored variation in mercury concentrations, supporting the view that foraging ecology plays a central role in mercury exposure. Furthermore, Great-winged Petrels' mercury concentrations are among the highest reported in seabirds. However, no relationship between mercury and prolactin concentrations was detected. Overall, these results demonstrate that mercury can be used as a foraging ecology tracer in these populations but may not be a good indicator of seabirds' breeding hormones like prolactin, though mercury may affect other aspects of reproduction that we did not measure. These results may aid in future assessment of population trends in these, and other, species.</t>
  </si>
  <si>
    <t>[Gilmour, M. E.; Lamborg, C.] Univ Calif Santa Cruz, Ocean Sci Dept, Santa Cruz, CA 95060 USA; [Lavers, J. L.] Univ Tasmania, Inst Marine &amp; Antarctic Studies, Battery Point, Tas 7004, Australia; [Chastel, O.] Univ La Rochelle, CEBC, CNRS, UMR 7372, F-79360 Villiers En Bois, France; [Kania, S. A.] Univ Tennessee, Dept Biomed &amp; Diagnost Sci, Knoxville, TN 37996 USA; [Shaffer, S. A.] San Jose State Univ, Dept Biol Sci, San Jose, CA 95192 USA</t>
  </si>
  <si>
    <t>University of California System; University of California Santa Cruz; University of Tasmania; Centre National de la Recherche Scientifique (CNRS); CNRS - Institute of Ecology &amp; Environment (INEE); La Rochelle Universite; University of Tennessee System; University of Tennessee Knoxville; UT Institute of Agriculture; California State University System; San Jose State University</t>
  </si>
  <si>
    <t>Gilmour, ME (corresponding author), Univ Calif Santa Cruz, Ocean Sci Dept, Santa Cruz, CA 95060 USA.</t>
  </si>
  <si>
    <t>mgilmour@ucsc.edu</t>
  </si>
  <si>
    <t>Lavers, Jennifer/IWM-5417-2023; Kania, Stephen/ABF-6920-2021; Lavers, Jennifer/O-4831-2017; Gilmour, Morgan/AAJ-5877-2020; Shaffer, Scott/D-5015-2009</t>
  </si>
  <si>
    <t>Lavers, Jennifer/0000-0001-7596-6588; Gilmour, Morgan/0000-0002-2618-1095; Lamborg, Carl/0000-0003-4379-3904; Shaffer, Scott/0000-0002-7751-5059; Kania, Stephen/0000-0002-4490-7347</t>
  </si>
  <si>
    <t>National Science Foundation, United States; Pacific Summer Institutes (EAPSI) Program</t>
  </si>
  <si>
    <t>National Science Foundation, United States(National Science Foundation (NSF)); Pacific Summer Institutes (EAPSI) Program</t>
  </si>
  <si>
    <t>We extend a huge thank you to Lisa Hills and Nabilla Zayan for assistance with field work; Bob Edwards and Peter Collins for boat access to Breaksea Island; and Carol and Graham Biddulph for logistical support and hospitality. This work was supported by the National Science Foundation, United States, fellowship in the East Asia and Pacific Summer Institutes (EAPSI) Program to MEG. This research was conducted under the approval of the University of Tasmania animal ethics board (permit no. A0015319 and A0012279), the University of California, Santa Cruz Institutional Animal Care and Use Committee (permit no. COSTD1411), and W.A. Department of Biodiversity, Conservation and Attractions (permit nos. SF010339, SF010159, and CE004240). The research presented in this manuscript was conducted as part of MEG's doctoral work at the University of California, Santa Cruz, and partially fulfills the requirements for the doctoral degree.</t>
  </si>
  <si>
    <t>1470-160X</t>
  </si>
  <si>
    <t>1872-7034</t>
  </si>
  <si>
    <t>ECOL INDIC</t>
  </si>
  <si>
    <t>Ecol. Indic.</t>
  </si>
  <si>
    <t>10.1016/j.ecolind.2019.04.016</t>
  </si>
  <si>
    <t>Biodiversity Conservation; Environmental Sciences</t>
  </si>
  <si>
    <t>IC4VO</t>
  </si>
  <si>
    <t>WOS:000470965300023</t>
  </si>
  <si>
    <t>Rahman, S; Islam, AKMS; Saha, P; Tazkia, AR; Krien, Y; Durand, F; Testut, L; Islam, GMT; Bala, SK</t>
  </si>
  <si>
    <t>Rahman, Shazzadur; Islam, A. K. M. Saiful; Saha, Probal; Tazkia, Abdur Rahman; Krien, Yann; Durand, Fabien; Testut, Laurent; Islam, G. M. Tarekul; Bala, Sujit Kumar</t>
  </si>
  <si>
    <t>Projected changes of inundation of cyclonic storms in the Ganges-Brahmaputra-Meghna delta of Bangladesh due to SLR by 2100</t>
  </si>
  <si>
    <t>JOURNAL OF EARTH SYSTEM SCIENCE</t>
  </si>
  <si>
    <t>NORTHERN BAY</t>
  </si>
  <si>
    <t>Almost every year, Bangladesh experiences disasters such as tropical cyclones, storm surges, coastal erosion or floods. Tropical cyclones originate from the North Indian Ocean and often cause devastating flood inundations in Bangladesh. Storm surges of the Bay of Bengal (BOB) are larger compared to other regions of the world for similar cyclones due to amplification by the shallow water depth, huge continental shelf and convergent coastlines. This scenario of inundation for such storm surges in the future when the sea level rise (SLR) occurs due to global warming will be different from the present. The densely populated coastal region of Bangladesh is likely to become more vulnerable in the future due to SLR. Disaster risks can be reduced if storm surges can be predicted well ahead. To assess the possible changes of inundation in the future, a widely used coastal model, Delft3D, has been applied for this BOB region. The model has been validated for the storm surge of three recent devastating cyclones, namely, Sidr, Aila and Roanu in the southern coast of Bangladesh. The validated model has been run to produce inundation maps and statistics for cyclonic storm surges such as Sidr, Aila and Roanu and probable SLR. Three possible SLR boundary conditions are chosen from the business-as-usual climate scenario representative concentration pathway 8.5 with values of 0.5m (lower limit), 1m (upper limit) and 1.5m (extreme case, considering the subsidence and a rapid collapse of the Antarctic ice sheet). It is found that a category 4 cyclone such as cyclone Sidr would inundate 2.6%, 3.67% and 5.84% of the area of the country if the SLR is 0.5, 1 and 1.5m, which will affect the livelihood of nearly 4.1, 7.0 and 9.1 million people of Bangladesh, respectively. It will also inundate up to 21.0%, 42.1% and 65.1% of the Sundarbans mangrove forest, which will undoubtedly affect the ecology of this unique ecosystem.</t>
  </si>
  <si>
    <t>[Rahman, Shazzadur; Islam, A. K. M. Saiful; Saha, Probal; Tazkia, Abdur Rahman; Islam, G. M. Tarekul; Bala, Sujit Kumar] BUET, IWFM, Dhaka 1000, Bangladesh; [Krien, Yann] Univ French West Indies, LARGE, Pointe A Pitre, Guadeloupe, France; [Durand, Fabien; Testut, Laurent] Univ Toulouse, LEGOS, CNES, CNRS,IRD,UPS, Toulouse, France</t>
  </si>
  <si>
    <t>Bangladesh University of Engineering &amp; Technology (BUET); Universite de Toulouse; Universite Toulouse III - Paul Sabatier; Centre National de la Recherche Scientifique (CNRS); Institut de Recherche pour le Developpement (IRD); Laboratoire d'Etudes en Geophysique et oceanographie spatiales</t>
  </si>
  <si>
    <t>Islam, AKMS (corresponding author), BUET, IWFM, Dhaka 1000, Bangladesh.</t>
  </si>
  <si>
    <t>akmsaifulislam@iwfm.buet.ac.bd</t>
  </si>
  <si>
    <t>Saha, Probal/ABD-1040-2020; DURAND, Fabien/G-4229-2016; Krien, Yann/G-6990-2016</t>
  </si>
  <si>
    <t>Saha, Probal/0000-0003-0910-6090; DURAND, Fabien/0000-0001-9660-1422; Krien, Yann/0000-0002-6471-5801; Testut, Laurent/0000-0002-3969-2919; ISLAM, AKM SAIFUL/0000-0002-2435-8280</t>
  </si>
  <si>
    <t>European Union Seventh Frame work Programme FP7/2007 - 2013 [603864]; CNES (TOSCA project BANDINO); CNES (TOSCA project SeaLevelAlk)</t>
  </si>
  <si>
    <t>European Union Seventh Frame work Programme FP7/2007 - 2013; CNES (TOSCA project BANDINO); CNES (TOSCA project SeaLevelAlk)</t>
  </si>
  <si>
    <t>The research leading to these results has received funding from the European Union Seventh Frame work Programme FP7/2007 - 2013 under Grant Agreement No. 603864 (HELIX: High-End cLimate Impacts and eXtremes; http://www.helixclimate.eu).We acknowledge financial support from CNES (through the TOSCA projects BANDINO and SeaLevelAlk) for purchasing and collecting tidal data. We are thankful to Indo-French Cell for Water Sciences (Indian Institute of Science, Bangalore, India) for hosting SR, PS, ART, YK, FD and LT for project meetings during this study.</t>
  </si>
  <si>
    <t>INDIAN ACAD SCIENCES</t>
  </si>
  <si>
    <t>BANGALORE</t>
  </si>
  <si>
    <t>C V RAMAN AVENUE, SADASHIVANAGAR, P B #8005, BANGALORE 560 080, INDIA</t>
  </si>
  <si>
    <t>2347-4327</t>
  </si>
  <si>
    <t>0973-774X</t>
  </si>
  <si>
    <t>J EARTH SYST SCI</t>
  </si>
  <si>
    <t>J. Earth Syst. Sci.</t>
  </si>
  <si>
    <t>10.1007/s12040-019-1184-8</t>
  </si>
  <si>
    <t>Geosciences, Multidisciplinary; Multidisciplinary Sciences</t>
  </si>
  <si>
    <t>Geology; Science &amp; Technology - Other Topics</t>
  </si>
  <si>
    <t>IC0VO</t>
  </si>
  <si>
    <t>WOS:000470678400005</t>
  </si>
  <si>
    <t>Lopes, DD; Schaefer, CEGR; de Souza, JJLL; de Oliveira, FS; Simas, FNB; Daher, M; Gjorup, DF</t>
  </si>
  <si>
    <t>Lopes, Davi do Vale; Schaefer, Carlos Ernesto G. R.; Lelis Leal de Souza, Jose Joao; de Oliveira, Fabio Soares; Bello Simas, Felipe Nogueira; Daher, Mayara; Gjorup, Davi Feital</t>
  </si>
  <si>
    <t>Concretionary horizons, unusual pedogenetic processes and features of sulfate affected soils from Antarctica</t>
  </si>
  <si>
    <t>GEODERMA</t>
  </si>
  <si>
    <t>Phosphatization; Plinthization; Sulfurization; Iron oxides</t>
  </si>
  <si>
    <t>KING-GEORGE ISLAND; SOUTH SHETLAND ISLANDS; MARITIME ANTARCTICA; WEST ANTARCTICA; PENINSULA; CRYOSOLS; GEOCHEMISTRY; PERMAFROST; LANDFORMS; IRON</t>
  </si>
  <si>
    <t>Although acid sulfate soils have been previously reported in Maritime Antarctica, no detailed study about the nature of the sulfide oxidation process and its effect on pedogenesis has been carried out to this day. The present study evaluate the soil genesis from Barton Peninsula along two toposequences developed under sulfides influence, emphasizing active chemical processes in a typical periglacial environment of Maritime Antarctica, and the unusual formation of petroplintite. Seven pedons were selected, described, sampled and classified according to the U.S. Soil Taxonomy and the IUSS Working Group WRB. Soil morphological, physical, chemical, microchemical and mineralogical properties were analyzed. The geochemical composition (total contents of Al, Ca, Co, Cu, Fe, K, Mg, Na, Ni, S, Si, Ti, Th, V and Zn) was determined with X-ray Fluorescence Spectrophotometer. Unlike previous studies that considered chemical weathering as insignificant in Barton Peninsula, this study demonstrates that some areas have active and pronounced chemical weathering processes (sulfurization and phosphatization), which cannot be underestimated. These chemical processes, together or individually, promote strong soil acidification, release exchangeable bases and accelerate mineralogical changes. Precipitation of secondary crystalline iron oxides, plinthization and petroplintite formation occur in these soils, resulting in unusual pedogenic features, unknown to occur in Antarctica to this day. Further studies on Antarctic soils with petroplinthic horizons, with or without ornithogenesis, deserve attention regarding micromorphological attributes and clarification about these new, unusual pedological processes in periglacial environments and their possible use as indicators of environmental change.</t>
  </si>
  <si>
    <t>[Lopes, Davi do Vale; de Oliveira, Fabio Soares] Univ Fed Minas Gerais, Dept Geog, Ave Antonio Carlos 6627, BR-31270901 Belo Horizonte, MG, Brazil; [Schaefer, Carlos Ernesto G. R.; Daher, Mayara; Gjorup, Davi Feital] Univ Fed Vicosa, Dept Solos, Ave Ph Rolfs S-N, BR-36570000 Vicosa, MG, Brazil; [Lelis Leal de Souza, Jose Joao] Univ Fed Rio Grande do Norte, Dept Geog, Rua Joaquim Gregorio S-N, BR-59300000 Caico, RN, Brazil; [Bello Simas, Felipe Nogueira] Univ Fed Vicosa, Dept Educ, Ave Ph Rolfs S-N, BR-36570000 Vicosa, MG, Brazil</t>
  </si>
  <si>
    <t>Universidade Federal de Minas Gerais; Universidade Federal de Vicosa; Universidade Federal do Rio Grande do Norte; Universidade Federal de Vicosa</t>
  </si>
  <si>
    <t>de Oliveira, FS (corresponding author), Univ Fed Minas Gerais, Dept Geog, Ave Antonio Carlos 6627, BR-31270901 Belo Horizonte, MG, Brazil.</t>
  </si>
  <si>
    <t>fabiosolos@gmail.com</t>
  </si>
  <si>
    <t>de Souza, José João Lelis Leal/AAL-7291-2021; Souza, José João Lelis Leal de/G-5960-2018; Oliveira, Fabio/AAJ-7764-2021; Schaefer, Carlos Ernesto/AAY-4977-2020; Daher, Mayara/N-7857-2019</t>
  </si>
  <si>
    <t>de Souza, José João Lelis Leal/0000-0003-4670-6626; Souza, José João Lelis Leal de/0000-0003-4670-6626; Oliveira, Fabio/0000-0002-1450-7609; Daher, Mayara/0000-0003-4937-2289; Lopes, Davi/0000-0003-3336-7397</t>
  </si>
  <si>
    <t>CNPq (Conselho Nacional de Desenvolvimento Cientifico e Tecnologico); CAPES (Coordenacan de Aperfeicoamento de Pessoal de Nivel Superior); FAPEMIG (Fundacan de Amparo Pesquisa do Estado de Minas Gerais); INCT da Criosfera; MARINHA DO BRASIL (PROANTAR PROGRAM); TERRANTAR</t>
  </si>
  <si>
    <t>CNPq (Conselho Nacional de Desenvolvimento Cientifico e Tecnologico)(Conselho Nacional de Desenvolvimento Cientifico e Tecnologico (CNPQ)); CAPES (Coordenacan de Aperfeicoamento de Pessoal de Nivel Superior)(Coordenacao de Aperfeicoamento de Pessoal de Nivel Superior (CAPES)); FAPEMIG (Fundacan de Amparo Pesquisa do Estado de Minas Gerais)(Fundacao de Amparo a Pesquisa do Estado de Minas Gerais (FAPEMIG)); INCT da Criosfera; MARINHA DO BRASIL (PROANTAR PROGRAM); TERRANTAR</t>
  </si>
  <si>
    <t>The authors thank CNPq (Conselho Nacional de Desenvolvimento Cientifico e Tecnologico), CAPES (Coordenacan de Aperfeicoamento de Pessoal de Nivel Superior) and FAPEMIG (Fundacan de Amparo Pesquisa do Estado de Minas Gerais) for financial support. We are grateful to INCT da Criosfera, TERRANTAR and MARINHA DO BRASIL (PROANTAR PROGRAM) for financial support and field assistance.</t>
  </si>
  <si>
    <t>0016-7061</t>
  </si>
  <si>
    <t>1872-6259</t>
  </si>
  <si>
    <t>Geoderma</t>
  </si>
  <si>
    <t>10.1016/j.geoderma.2019.03.024</t>
  </si>
  <si>
    <t>Soil Science</t>
  </si>
  <si>
    <t>Agriculture</t>
  </si>
  <si>
    <t>HZ2YP</t>
  </si>
  <si>
    <t>WOS:000468715000002</t>
  </si>
  <si>
    <t>Zhang, TX; Zang, L; Wan, YC; Wang, W; Zhang, Y</t>
  </si>
  <si>
    <t>Zhang, Taixin; Zang, Lin; Wan, Youchuan; Wang, Wei; Zhang, Yi</t>
  </si>
  <si>
    <t>Ground-level PM2.5 estimation over urban agglomerations in China with high spatiotemporal resolution based on Himawari-8</t>
  </si>
  <si>
    <t>Himawari-8 AOD; Hourly PM2.5; Linear mixed-effects model; Spatiotemporal variation</t>
  </si>
  <si>
    <t>AEROSOL OPTICAL DEPTH; PARTICULATE MATTER PM2.5; AIR-POLLUTION; METEOROLOGICAL FACTORS; VARIABILITY; IMPACTS; MODIS</t>
  </si>
  <si>
    <t>High concentrations of particulate matter with diameter of &lt;2.5 mu m (PM2.5) demonstrate severe effects on human health, especially in the metropolitan agglomerations of China. Estimating PM2.5 based on satellite aerosol optical depth (AOD) is a widely used method. AOD data from Himawari-8, a geostationary satellite, enable improvement of the temporal resolution of PM2.5 estimates to the hourly level, thereby reflecting diurnal variations of pollutants compared with AOD products from polar orbit satellites, which only have one value per day. In this study, PM2.5 concentrations are estimated based on Himawari-8 AOD and other ancillary data by constructing spatiotemporal linear mixed effects model in Central China (CCH), Beijing-Tianjin-Henan (BTH), Yangtze River Delta (YRD) and Pearl River Delta (PRD) regions, respectively. The determination coefficient (R-2) between the measurements and estimates of PM2.5 calculated with the tenfold cross-validation method are 0.82, 0.84, 0.80 and 0.74 in CCH, BTH, YRD and PRD, respectively. The spatial distributions of PM2.5 present large regional variation, which is highly correlated with land-use type. Heavily polluted zones are mainly located in urban or rural areas, which have dense population and high anthropogenic emissions. Comparisons among different seasons show that particle pollution during the cold seasons (autumn and winter) is relatively severe with an average PM2.5 of &gt;60 mu g/m(3) in CCH, BTH and YRD, whereas the level does not greatly change throughout the year in the PRD region. During the daytime, particulate pollution levels are generally high in the morning. (C) 2019 Elsevier B.V. All rights reserved.</t>
  </si>
  <si>
    <t>[Zhang, Taixin; Wan, Youchuan; Zhang, Yi] Wuhan Univ, Sch Remote Sensing &amp; Informat Engn, Wuhan 430079, Hubei, Peoples R China; [Zang, Lin] Wuhan Univ, Chinese Antarctic Ctr Surveying &amp; Mapping, Wuhan 430079, Hubei, Peoples R China; [Wang, Wei] Cent S Univ, Sch Geosci &amp; Infophys, Changsha 410083, Hunan, Peoples R China</t>
  </si>
  <si>
    <t>Wuhan University; Wuhan University; Central South University</t>
  </si>
  <si>
    <t>Wang, W (corresponding author), Cent S Univ, Sch Geosci &amp; Infophys, Changsha 410083, Hunan, Peoples R China.</t>
  </si>
  <si>
    <t>wangweicn@csu.edu.cn</t>
  </si>
  <si>
    <t>wang, wei/GRY-1405-2022</t>
  </si>
  <si>
    <t>wang, wei/0000-0001-7930-9147</t>
  </si>
  <si>
    <t>National Key Research and Development Program of China [2016YFC0200900, 2017YFC0212600]</t>
  </si>
  <si>
    <t>National Key Research and Development Program of China</t>
  </si>
  <si>
    <t>This study is supported by the National Key Research and Development Program of China (2016YFC0200900 and 2017YFC0212600). We are grateful to the Hubei Environmental Monitoring Centre, JAXA, ECMWF, RESDC, US NASA and MEIC team of Tsinghua University for providing the datasets used in this study.</t>
  </si>
  <si>
    <t>10.1016/j.scitotenv.2019.04.299</t>
  </si>
  <si>
    <t>HY5SP</t>
  </si>
  <si>
    <t>WOS:000468188300051</t>
  </si>
  <si>
    <t>Haziot, SV</t>
  </si>
  <si>
    <t>Haziot, Susanna V.</t>
  </si>
  <si>
    <t>STUDY OF AN ELLIPTIC PARTIAL DIFFERENTIAL EQUATION MODELLING THE ANTARCTIC CIRCUMPOLAR CURRENT</t>
  </si>
  <si>
    <t>DISCRETE AND CONTINUOUS DYNAMICAL SYSTEMS</t>
  </si>
  <si>
    <t>Spherical coordinates; elliptic equation; gyres</t>
  </si>
  <si>
    <t>PURELY AZIMUTHAL FLOW; STEADY; PRINCIPLE; WAVES</t>
  </si>
  <si>
    <t>We consider the ocean flow of the Antarctic Circumpolar Current. Using a recently-derived model for gyres in rotating spherical coordinates, and mapping the problem on the sphere onto the plane using the Mercator projection, we obtain a boundary-value problem for a semi-linear elliptic partial differential equation. For constant and linear Oceanic vorticities, we investigate existence, regularity and uniqueness of solutions to this elliptic problem. We also provide some explicit solutions. Moreover, we examine the physical relevance of these results.</t>
  </si>
  <si>
    <t>[Haziot, Susanna V.] Univ Wien, Fak Math, Oskar Morgenstern Pl 1, A-1090 Vienna, Austria</t>
  </si>
  <si>
    <t>University of Vienna</t>
  </si>
  <si>
    <t>Haziot, SV (corresponding author), Univ Wien, Fak Math, Oskar Morgenstern Pl 1, A-1090 Vienna, Austria.</t>
  </si>
  <si>
    <t>susanna.haziot@univie.ac.at</t>
  </si>
  <si>
    <t>Haziot, Susanna/0000-0001-5156-8809</t>
  </si>
  <si>
    <t>AMER INST MATHEMATICAL SCIENCES-AIMS</t>
  </si>
  <si>
    <t>SPRINGFIELD</t>
  </si>
  <si>
    <t>PO BOX 2604, SPRINGFIELD, MO 65801-2604, UNITED STATES</t>
  </si>
  <si>
    <t>1078-0947</t>
  </si>
  <si>
    <t>1553-5231</t>
  </si>
  <si>
    <t>DISCRETE CONT DYN-A</t>
  </si>
  <si>
    <t>Discret. Contin. Dyn. Syst.</t>
  </si>
  <si>
    <t>10.3934/dcds.2019179</t>
  </si>
  <si>
    <t>Mathematics, Applied; Mathematics</t>
  </si>
  <si>
    <t>Mathematics</t>
  </si>
  <si>
    <t>HX6UF</t>
  </si>
  <si>
    <t>WOS:000467538100005</t>
  </si>
  <si>
    <t>Marynets, K</t>
  </si>
  <si>
    <t>Marynets, Kateryna</t>
  </si>
  <si>
    <t>STUDY OF A NONLINEAR BOUNDARY-VALUE PROBLEM OF GEOPHYSICAL RELEVANCE</t>
  </si>
  <si>
    <t>Geophysical flow; nonlinear boundary-value problem; global existence; uniqueness; positive-definite function</t>
  </si>
  <si>
    <t>PURELY AZIMUTHAL FLOW; GLOBAL EXISTENCE; STEADY; WAVES; MODEL</t>
  </si>
  <si>
    <t>We present some results on the existence and uniqueness of solutions of a two-point nonlinear boundary value problem that arises in the modeling of the flow of the Antarctic Circumpolar Current.</t>
  </si>
  <si>
    <t>[Marynets, Kateryna] Univ Vienna, Fac Math, Oskar Morgenstern Pl 1, A-1090 Vienna, Austria</t>
  </si>
  <si>
    <t>Marynets, K (corresponding author), Univ Vienna, Fac Math, Oskar Morgenstern Pl 1, A-1090 Vienna, Austria.</t>
  </si>
  <si>
    <t>kateryna.marynets@univie.ac.at</t>
  </si>
  <si>
    <t>Marynets, Kateryna/0000-0002-0043-6336</t>
  </si>
  <si>
    <t>WWTF grant [MA16-009]</t>
  </si>
  <si>
    <t>WWTF grant</t>
  </si>
  <si>
    <t>The support of the WWTF grant MA16-009 is acknowledged. The author is grateful for contributed comments made by the referees.</t>
  </si>
  <si>
    <t>PO BOX 2604, SPRINGFIELD, MO 65801-2604 USA</t>
  </si>
  <si>
    <t>10.3934/dcds.2019194</t>
  </si>
  <si>
    <t>WOS:000467538100020</t>
  </si>
  <si>
    <t>Stammer, D; Bracco, A; AchutaRao, K; Beal, L; Bindoff, NL; Braconnot, P; Cai, WJ; Chen, DK; Collins, M; Danabasoglu, G; Dewitte, B; Farneti, R; Fox-Kemper, B; Fyfe, J; Griffies, SM; Jayne, SR; Lazar, A; Lengaigne, M; Lin, XP; Marsland, S; Minobe, S; Monteiro, PMS; Robinson, W; Roxy, MK; Rykaczewski, RR; Speich, S; Smith, IJ; Solomon, A; Storto, A; Takahashi, K; Toniazzo, T; Vialard, J</t>
  </si>
  <si>
    <t>Stammer, Detlef; Bracco, Annalisa; AchutaRao, Krishna; Beal, Lisa; Bindoff, Nathaniel L.; Braconnot, Pascale; Cai, Wenju; Chen, Dake; Collins, Matthew; Danabasoglu, Gokhan; Dewitte, Boris; Farneti, Riccardo; Fox-Kemper, Baylor; Fyfe, John; Griffies, Stephen M.; Jayne, Steven R.; Lazar, Alban; Lengaigne, Matthieu; Lin, Xiaopei; Marsland, Simon; Minobe, Shoshiro; Monteiro, Pedro M. S.; Robinson, Walter; Roxy, Mathew Koll; Rykaczewski, Ryan R.; Speich, Sabrina; Smith, Inga J.; Solomon, Amy; Storto, Andrea; Takahashi, Ken; Toniazzo, Thomas; Vialard, Jerome</t>
  </si>
  <si>
    <t>Ocean Climate Observing Requirements in Support of Climate Research and Climate Information</t>
  </si>
  <si>
    <t>ocean observing system; ocean climate; earth observations; in situ measurements; satellite observations; ocean modeling; climate information</t>
  </si>
  <si>
    <t>ANTARCTIC CIRCUMPOLAR CURRENT; NORTH-ATLANTIC OCEAN; MERIDIONAL OVERTURNING CIRCULATION; LIQUID FRESH-WATER; SOUTHERN-OCEAN; SEA-ICE; INDIAN-OCEAN; HEAT-CONTENT; GLOBAL OCEAN; CO2 FLUXES</t>
  </si>
  <si>
    <t>Natural variability and change of the Earth's climate have significant global societal impacts. With its large heat and carbon capacity and relatively slow dynamics, the ocean plays an integral role in climate, and provides an important source of predictability at seasonal and longer timescales. In addition, the ocean provides the slowly evolving lower boundary to the atmosphere, driving, and modifying atmospheric weather. Understanding and monitoring ocean climate variability and change, to constrain and initialize models as well as identify model biases for improved climate hindcasting and prediction, requires a scale-sensitive, and long-term observing system. A climate observing system has requirements that significantly differ from, and sometimes are orthogonal to, those of other applications. In general terms, they can be summarized by the simultaneous need for both large spatial and long temporal coverage, and by the accuracy and stability required for detecting the local climate signals. This paper reviews the requirements of a climate observing system in terms of space and time scales, and revisits the question of which parameters such a system should encompass to meet future strategic goals of the World Climate Research Program (WCRP), with emphasis on ocean and sea-ice covered areas. It considers global as well as regional aspects that should be accounted for in designing observing systems in individual basins. Furthermore, the paper discusses which data-driven products are required to meet WCRP research and modeling needs, and ways to obtain them through data synthesis and assimilation approaches. Finally, it addresses the need for scientific capacity building and international collaboration in support of the collection of high-quality measurements over the large spatial scales and long time-scales required for climate research, bridging the scientific rational to the required resources for implementation.</t>
  </si>
  <si>
    <t>[Stammer, Detlef] Univ Hamburg, Ctr Erdsyst Forsch &amp; Nachhaltigkeit, Hamburg, Germany; [Bracco, Annalisa] Georgia Inst Technol, Sch Earth &amp; Atmospher Sci, Atlanta, GA 30332 USA; [AchutaRao, Krishna] Indian Inst Technol Delhi, Ctr Atmospher Sci, New Delhi, India; [Beal, Lisa] Univ Miami, Rosenstiel Sch Marine &amp; Atmospher Sci, 4600 Rickenbacker Causeway, Miami, FL 33149 USA; [Bindoff, Nathaniel L.] Univ Tasmania, Inst Marine &amp; Antarctic Studies, Hobart, Tas, Australia; [Bindoff, Nathaniel L.] CSIRO Oceans &amp; Atmospheres, Hobart, Tas, Australia; [Braconnot, Pascale] Univ Paris Saclay, Lab Sci Climat &amp; Environm, Unite Mixte CEA CNRS UVSQ, Gif Sur Yvette, France; [Cai, Wenju] CSIRO, Ctr Southern Hemisphere Oceans Res, Aspendale, Vic, Australia; [Chen, Dake] State Ocean Adm, State Key Lab Satellite Ocean Environm Dynam, Inst Oceanog 2, Hangzhou, Zhejiang, Peoples R China; [Collins, Matthew] Univ Exeter, Coll Engn Math &amp; Phys Sci, Exeter, Devon, England; [Danabasoglu, Gokhan] Natl Ctr Atmospher Res, Climate &amp; Global Dynam Lab, POB 3000, Boulder, CO 80307 USA; [Dewitte, Boris] Ctr Estudios Avanzados Zonas Aridas, Coquimbo, Chile; [Dewitte, Boris] Univ Catolica Norte, Fac Ciencias Mar, Dept Biol, Coquimbo, Chile; [Dewitte, Boris] Millennium Nucleus Ecol &amp; Sustainable Management, Coquimbo, Chile; [Dewitte, Boris] Univ Toulouse, LEGOS, IRD, CNES,CNRS,UPS, Toulouse, France; [Farneti, Riccardo] Abdus Salam Int Ctr Theoret Phys, Earth Syst Phys Sect, Trieste, Italy; [Fox-Kemper, Baylor] Brown Univ, Dept Earth Environm &amp; Planetary Sci, Providence, RI 02912 USA; [Fyfe, John] Environm &amp; Climate Change Canada, Canadian Ctr Climate Modelling &amp; Anal, Victroia, BC, Canada; [Griffies, Stephen M.] NOAA, Geophys Fluid Dynam Lab, Princeton, NJ USA; [Jayne, Steven R.] Woods Hole Oceanog Inst, Dept Phys Oceanog, Woods Hole, MA 02543 USA; [Lazar, Alban] Sorbonne Univ, Lab Oceanog &amp; Climat Expt &amp; Approches Numer, CNRS, IRD,MNHN, Paris, France; [Lengaigne, Matthieu] Inst Res Dev, Lab Oceanog &amp; Climate Expt &amp; Numer Approaches, Paris, France; [Lin, Xiaopei] Ocean Univ China, Inst Adv Ocean Studies, Phys Oceanog Lab, Qingdao, Shandong, Peoples R China; [Lin, Xiaopei] Qingdao Natl Lab Marine Sci &amp; Technol, Qingdao, Shandong, Peoples R China; [Marsland, Simon] CSIRO, Climate Sci Ctr, Canberra, ACT, Australia; [Minobe, Shoshiro] Hokkaido Univ, Fac Sci, Dept Earth &amp; Planetary Sci, Sapporo, Hokkaido, Japan; [Monteiro, Pedro M. S.] CSIR, Southern Ocean Carbon Climate Observ, Cape Town, South Africa; [Robinson, Walter] North Carolina State Univ, Dept Marine Earth &amp; Atmospher Sci, Raleigh, NC USA; [Roxy, Mathew Koll] Indian Inst Trop Meteorol, Ctr Climate Change Res, Pune, Maharashtra, India; [Rykaczewski, Ryan R.] Univ South Carolina, Sch Earth Ocean &amp; Environm, Columbia, SC 29208 USA; [Speich, Sabrina] ENS PSL, IPSL, UMR8539, Lab Meteorol Dynam, Paris, France; [Smith, Inga J.] Univ Otago, Dept Phys, Dunedin, New Zealand; [Solomon, Amy] Univ Colorado, NOAA, Cooperat Inst Res Environm Sci, Earth Syst Res Lab, Boulder, CO 80309 USA; [Storto, Andrea] Ctr Maritime Res &amp; Expt, La Spezia, Italy; [Takahashi, Ken] Inst Geofis Peru, Serv Nacl Meteorol &amp; Hidrol Peru, Lima, Peru; [Toniazzo, Thomas] Univ Bergen, Bjerknes Ctr Climate Res, Bergen, Norway; [Vialard, Jerome] Sorbonne Univ, LOCEAN Lab, IRD, IPSL,CNRS,MNHN, Paris, France</t>
  </si>
  <si>
    <t>University of Hamburg; University System of Georgia; Georgia Institute of Technology; Indian Institute of Technology System (IIT System); Indian Institute of Technology (IIT) - Delhi; University of Miami; University of Tasmania; Commonwealth Scientific &amp; Industrial Research Organisation (CSIRO); Universite Paris Saclay; Universite Paris Cite; CEA; Centre National de la Recherche Scientifique (CNRS); Commonwealth Scientific &amp; Industrial Research Organisation (CSIRO); University of Exeter; National Center Atmospheric Research (NCAR) - USA; Universidad Catolica del Norte; Universite de Toulouse; Universite Toulouse III - Paul Sabatier; Centre National de la Recherche Scientifique (CNRS); Institut de Recherche pour le Developpement (IRD); Laboratoire d'Etudes en Geophysique et oceanographie spatiales; Abdus Salam International Centre for Theoretical Physics (ICTP); Brown University; Environment &amp; Climate Change Canada; Canadian Centre for Climate Modelling &amp; Analysis (CCCma); National Oceanic Atmospheric Admin (NOAA) - USA; Woods Hole Oceanographic Institution; Museum National d'Histoire Naturelle (MNHN); Institut de Recherche pour le Developpement (IRD); Sorbonne Universite; Centre National de la Recherche Scientifique (CNRS); Institut de Recherche pour le Developpement (IRD); Ocean University of China; Laoshan Laboratory; Commonwealth Scientific &amp; Industrial Research Organisation (CSIRO); Hokkaido University; Council for Scientific &amp; Industrial Research (CSIR) - South Africa; North Carolina State University; Ministry of Earth Sciences (MoES) - India; Indian Institute of Tropical Meteorology (IITM); Centre for Climate Change Research - India; University of South Carolina System; University of South Carolina Columbia; Centre National de la Recherche Scientifique (CNRS); CNRS - National Institute for Earth Sciences &amp; Astronomy (INSU); Universite Paris Cite; Sorbonne Universite; Universite PSL; Ecole Normale Superieure (ENS); University of Otago; University of Colorado System; University of Colorado Boulder; National Oceanic Atmospheric Admin (NOAA) - USA; Servicio Nacional de Meteorologia Hidrologia del Peru (SENAMHI); Bjerknes Centre for Climate Research; University of Bergen; Museum National d'Histoire Naturelle (MNHN); Universite Paris Cite; Sorbonne Universite; Institut de Recherche pour le Developpement (IRD); Centre National de la Recherche Scientifique (CNRS)</t>
  </si>
  <si>
    <t>Stammer, D (corresponding author), Univ Hamburg, Ctr Erdsyst Forsch &amp; Nachhaltigkeit, Hamburg, Germany.;Bracco, A (corresponding author), Georgia Inst Technol, Sch Earth &amp; Atmospher Sci, Atlanta, GA 30332 USA.</t>
  </si>
  <si>
    <t>detlef.stammer@uni-hamburg.de; abracco@gatech.edu</t>
  </si>
  <si>
    <t>Griffies, Stephen Matthew/N-9144-2019; Robinson, Walter A/I-3782-2012; Bindoff, Nathaniel Lee/IVV-0333-2023; Marsland, Simon J/A-1453-2012; Vialard, Jérôme/Z-5007-2019; Monteiro, Pedro M. S./D-3767-2009; Storto, Andrea/AAH-3823-2019; Dewitte, Boris/S-4909-2019; Lengaigne, Matthieu/K-4345-2013; lazar, alban/B-7290-2013; Koll, Roxy Mathew/B-5863-2008; Vialard, Jérôme/C-2809-2008; Cai, Wenju/C-2864-2012; Fox-Kemper, Baylor/A-1159-2007; Lengaigne, Matthieu/M-8321-2014; Solomon, Amy B/L-8988-2013; Bindoff, Nathaniel Lee/C-8050-2011; Speich, Sabrina/L-3780-2014; Collins, Matthew/F-8473-2011; Minobe, Shoshiro/E-2997-2010; Farneti, Riccardo/B-5183-2011; Dewitte, Boris/F-5132-2015; Takahashi, Ken/G-5321-2010</t>
  </si>
  <si>
    <t>Griffies, Stephen Matthew/0000-0002-3711-236X; Robinson, Walter A/0000-0002-6669-7408; Bindoff, Nathaniel Lee/0000-0001-5662-9519; Marsland, Simon J/0000-0002-5664-5276; Storto, Andrea/0000-0003-3856-8905; Lengaigne, Matthieu/0000-0002-0044-036X; lazar, alban/0000-0002-2079-6400; Koll, Roxy Mathew/0000-0001-9311-5162; Vialard, Jérôme/0000-0001-6876-3766; Cai, Wenju/0000-0001-6520-0829; Fox-Kemper, Baylor/0000-0002-2871-2048; Lengaigne, Matthieu/0000-0002-0044-036X; Bindoff, Nathaniel Lee/0000-0001-5662-9519; Speich, Sabrina/0000-0002-5452-8287; Collins, Matthew/0000-0003-3785-6008; Minobe, Shoshiro/0000-0002-9487-9006; Farneti, Riccardo/0000-0001-7781-6436; Jayne, Steven/0000-0001-7999-0147; Bracco, Annalisa/0000-0002-1619-6103; Beal, Lisa/0000-0003-3678-5367; Dewitte, Boris/0000-0003-3817-8691; Danabasoglu, Gokhan/0000-0003-4676-2732; Takahashi, Ken/0000-0003-3670-2939</t>
  </si>
  <si>
    <t>DFG; National Science Foundation [NSF-1658174]; NOAA [NA16OAR4310173]; Earth Systems and Climate Change Hub of the Australian Government's National Environmental Science Program</t>
  </si>
  <si>
    <t>DFG(German Research Foundation (DFG)); National Science Foundation(National Science Foundation (NSF)); NOAA(National Oceanic Atmospheric Admin (NOAA) - USA); Earth Systems and Climate Change Hub of the Australian Government's National Environmental Science Program</t>
  </si>
  <si>
    <t>This work was partly supported by the DFG funded excellence center CliSAP of the Universituat Hamburg (DS). AB was supported by the National Science Foundation through award NSF-1658174 and by the NOAA through award NA16OAR4310173. SM was supported by the Earth Systems and Climate Change Hub of the Australian Government's National Environmental Science Program.</t>
  </si>
  <si>
    <t>JUL 31</t>
  </si>
  <si>
    <t>10.3389/fmars.2019.00444</t>
  </si>
  <si>
    <t>IM4OF</t>
  </si>
  <si>
    <t>WOS:000477973500001</t>
  </si>
  <si>
    <t>Swart, S; Gille, ST; Delille, B; Josey, S; Mazloff, M; Newman, L; Thompson, AF; Thomson, J; Ward, B; du Plessis, MD; Kent, EC; Girton, J; Gregor, L; Heil, P; Hyder, P; Pezzi, LP; de Souza, RB; Tamsitt, V; Weller, RA; Zappa, CJ</t>
  </si>
  <si>
    <t>Swart, Sebastiaan; Gille, Sarah T.; Delille, Bruno; Josey, Simon; Mazloff, Matthew; Newman, Louise; Thompson, Andrew F.; Thomson, Jim; Ward, Brian; du Plessis, Marcel D.; Kent, Elizabeth C.; Girton, James; Gregor, Luke; Heil, Petra; Hyder, Patrick; Pezzi, Luciano Ponzi; de Souza, Ronald Buss; Tamsitt, Veronica; Weller, Robert A.; Zappa, Christopher J.</t>
  </si>
  <si>
    <t>Constraining Southern Ocean Air-Sea-Ice Fluxes Through Enhanced Observations</t>
  </si>
  <si>
    <t>air-sea/air-sea-ice fluxes; Southern Ocean; ocean-atmosphere interaction; climate; ocean-ice interaction</t>
  </si>
  <si>
    <t>ATMOSPHERIC BOUNDARY-LAYER; SEASONAL RESTRATIFICATION; FLOW DISTORTION; SURFACE FLUXES; HEAT FLUXES; VARIABILITY; SIMULATION; FRONTS; EDDIES; CARBON</t>
  </si>
  <si>
    <t>Air-sea and air-sea-ice fluxes in the Southern Ocean play a critical role in global climate through their impact on the overturning circulation and oceanic heat and carbon uptake. The challenging conditions in the Southern Ocean have led to sparse spatial and temporal coverage of observations. This has led to a knowledge gap that increases uncertainty in atmosphere and ocean dynamics and boundary-layer thermodynamic processes, impeding improvements in weather and climate models. Improvements will require both process-based research to understand the mechanisms governing air-sea exchange and a significant expansion of the observing system. This will improve flux parameterizations and reduce uncertainty associated with bulk formulae and satellite observations. Improved estimates spanning the full Southern Ocean will need to take advantage of ships, surface moorings, and the growing capabilities of autonomous platforms with robust and miniaturized sensors. A key challenge is to identify observing system sampling requirements. This requires models, Observing System Simulation Experiments (OSSEs), and assessments of the specific spatial-temporal accuracy and resolution required for priority science and assessment of observational uncertainties of the mean state and direct flux measurements. Year-round, high-quality, quasi-continuous in situ flux measurements and observations of extreme events are needed to validate, improve and characterize uncertainties in blended reanalysis products and satellite data as well as to improve parameterizations. Building a robust observing system will require community consensus on observational methodologies, observational priorities, and effective strategies for data management and discovery.</t>
  </si>
  <si>
    <t>[Swart, Sebastiaan] Univ Gothenburg, Dept Marine Sci, Gothenburg, Sweden; [Swart, Sebastiaan; du Plessis, Marcel D.] Univ Cape Town, Dept Oceanog, Cape Town, South Africa; [Gille, Sarah T.; Mazloff, Matthew] Univ Calif San Diego, Scripps Inst Oceanog, San Diego, CA 92103 USA; [Delille, Bruno] Univ Liege, Chem Oceanog Unit, Liege, Belgium; [Josey, Simon; Kent, Elizabeth C.] Natl Oceanog Ctr, Southampton, Hants, England; [Newman, Louise] Univ Tasmania, Southern Ocean Observing Syst Int Project Off, Hobart, Tas, Australia; [Thompson, Andrew F.] CALTECH, Dept Environm Sci &amp; Engn, Div Geol &amp; Planetary Sci, Pasadena, CA 91125 USA; [Thomson, Jim; Girton, James] Univ Washington, Appl Phys Lab, Seattle, WA 98105 USA; [Ward, Brian] Natl Univ Ireland Galway, Sch Phys, AirSea Lab, Galway, Ireland; [Ward, Brian] Natl Univ Ireland Galway, Ryan Inst, Galway, Ireland; [du Plessis, Marcel D.; Gregor, Luke] CSIR, Southern Ocean Carbon &amp; Climate Observ, Pretoria, South Africa; [Gregor, Luke] Swiss Fed Inst Technol, Environm Phys Inst Biogeochem &amp; Pollutant Dynam, Zurich, Switzerland; [Heil, Petra] Univ Tasmania, Australian Antarctic Div, Hobart, Tas, Australia; [Heil, Petra] Univ Tasmania, Antarctic Climate &amp; Ecosyst CRC, Hobart, Tas, Australia; [Hyder, Patrick] Met Off Hadley Ctr, Exeter, Devon, England; [Pezzi, Luciano Ponzi] Natl Inst Space Res, Earth Observat Gen Coordinat, Sao Paulo, Brazil; [de Souza, Ronald Buss] Natl Inst Space Res, Ctr Weather Forecasting &amp; Climate Studies, Sao Paulo, Brazil; [Tamsitt, Veronica] Univ New South Wales, Climate Change Res Ctr, Sydney, NSW, Australia; [Tamsitt, Veronica] CSIRO Oceans &amp; Atmosphere, Ctr Southern Hemisphere Oceans Res, Hobart, Tas, Australia; [Weller, Robert A.] Woods Hole Oceanog Inst, Woods Hole, MA 02543 USA; [Zappa, Christopher J.] Columbia Univ, Lamont Doherty Earth Observ, Palisades, NY USA</t>
  </si>
  <si>
    <t>University of Gothenburg; University of Cape Town; University of California System; University of California San Diego; Scripps Institution of Oceanography; University of Liege; NERC National Oceanography Centre; University of Tasmania; California Institute of Technology; University of Washington; University of Washington Seattle; Ollscoil na Gaillimhe-University of Galway; Ollscoil na Gaillimhe-University of Galway; Council for Scientific &amp; Industrial Research (CSIR) - South Africa; Swiss Federal Institutes of Technology Domain; ETH Zurich; Australian Antarctic Division; University of Tasmania; University of Tasmania; Met Office - UK; Hadley Centre; Instituto Nacional de Pesquisas Espaciais (INPE); Instituto Nacional de Pesquisas Espaciais (INPE); University of New South Wales Sydney; Commonwealth Scientific &amp; Industrial Research Organisation (CSIRO); Woods Hole Oceanographic Institution; Columbia University</t>
  </si>
  <si>
    <t>Swart, S (corresponding author), Univ Gothenburg, Dept Marine Sci, Gothenburg, Sweden.;Swart, S (corresponding author), Univ Cape Town, Dept Oceanog, Cape Town, South Africa.</t>
  </si>
  <si>
    <t>sebastiaan.swart@marine.gu.se</t>
  </si>
  <si>
    <t>Gregor, Luke/AAY-5082-2021; Mazloff, Matthew/AAG-6463-2019; Souza, Ronald Buss de/R-5867-2016; de Souza, Ronald Buss/AAP-7586-2021; Kent, Elizabeth/C-1281-2011; Newman, Louise/HNI-7544-2023; Pezzi, Luciano Ponzi/N-7271-2017; Delille, Bruno/C-3486-2008; Swart, Sebastiaan/U-5498-2017</t>
  </si>
  <si>
    <t>Gregor, Luke/0000-0001-6071-1857; Mazloff, Matthew/0000-0002-1650-5850; Souza, Ronald Buss de/0000-0003-3346-3370; de Souza, Ronald Buss/0000-0003-3346-3370; Kent, Elizabeth/0000-0002-6209-4247; Pezzi, Luciano Ponzi/0000-0001-6016-4320; Delille, Bruno/0000-0003-0502-8101; Swart, Sebastiaan/0000-0002-2251-8826; Heil, Petra/0000-0003-2078-0342; Newman, Louise/0000-0001-9523-8713; Zappa, Christopher J/0000-0003-0041-2913</t>
  </si>
  <si>
    <t>Wallenberg Academy Fellowship [WAF 2015.0186]; NERC ORCHESTRA Project [NE/N018095/1]; Advanced Studies in Oceanography of Medium and High Latitudes [CAPES 23038.004304/2014-28]; Research Productivity Program [CNPq 304009/2016-4]; Australian Antarctic Science Projects [4301, 4390]; Australian Government's Cooperative Research Centres Programme through the Antarctic Climate and Ecosystems Cooperative Research Centre; Australian Government's Cooperative Research Centres Programme through International Space Science Institute [406]; National Science Foundation [OCE-1658001, PLR-1425989]; NASA [NNX15AG42G]; NSF [OCE-1756956]; NERC [noc010010] Funding Source: UKRI; NASA [803355, NNX15AG42G] Funding Source: Federal RePORTER</t>
  </si>
  <si>
    <t>Wallenberg Academy Fellowship; NERC ORCHESTRA Project(UK Research &amp; Innovation (UKRI)Natural Environment Research Council (NERC)); Advanced Studies in Oceanography of Medium and High Latitudes; Research Productivity Program; Australian Antarctic Science Projects; Australian Government's Cooperative Research Centres Programme through the Antarctic Climate and Ecosystems Cooperative Research Centre(Australian GovernmentDepartment of Industry, Innovation and ScienceCooperative Research Centres (CRC) Programme); Australian Government's Cooperative Research Centres Programme through International Space Science Institute; National Science Foundation(National Science Foundation (NSF)); NASA(National Aeronautics &amp; Space Administration (NASA)); NSF(National Science Foundation (NSF)); NERC(UK Research &amp; Innovation (UKRI)Natural Environment Research Council (NERC)); NASA(National Aeronautics &amp; Space Administration (NASA))</t>
  </si>
  <si>
    <t>SS was funded by a Wallenberg Academy Fellowship (WAF 2015.0186). EK was funded by the NERC ORCHESTRA Project (NE/N018095/1). LP was funded by the Advanced Studies in Oceanography of Medium and High Latitudes (CAPES 23038.004304/2014-28) and the Research Productivity Program (CNPq 304009/2016-4). BdS was a research associate at the F.R.S-FNRS. PeH was supported by the Australian Antarctic Science Projects 4301 and 4390, and the Australian Government's Cooperative Research Centres Programme through the Antarctic Climate and Ecosystems Cooperative Research Centre and the International Space Science Institute Project 406. SG and MM were funded by National Science Foundation awards OCE-1658001 and PLR-1425989. AT was supported by NASA (NNX15AG42G) and NSF (OCE-1756956).</t>
  </si>
  <si>
    <t>10.3389/fmars.2019.00421</t>
  </si>
  <si>
    <t>IM4OB</t>
  </si>
  <si>
    <t>WOS:000477973100001</t>
  </si>
  <si>
    <t>Rodriguez, ES; Plummer, C; Nation, M; Moy, A; Curran, M; Haddad, PR; Paull, B</t>
  </si>
  <si>
    <t>Rodriguez, Estrella Sanz; Plummer, Christopher; Nation, Meredith; Moy, Andrew; Curran, Mark; Haddad, Paul R.; Paull, Brett</t>
  </si>
  <si>
    <t>Sub-1 mL sample requirement for simultaneous determination of 17 organic and inorganic anions and cations in Antarctic ice core samples by dual capillary ion chromatography</t>
  </si>
  <si>
    <t>ANALYTICA CHIMICA ACTA</t>
  </si>
  <si>
    <t>Ice cores; Anions; Cations; Methanesulfonate; Fluoride; Capillary ion chromatography</t>
  </si>
  <si>
    <t>CONTINUOUS-FLOW ANALYSIS; EPICA-DOME-C; HIGH-RESOLUTION; SEA-ICE; VOLCANIC SYNCHRONIZATION; TRACE-ELEMENT; FLUORIDE; METHANESULFONATE; VARIABILITY; RECORDS</t>
  </si>
  <si>
    <t>The significant advance of delivering high value multi-species data from sub-1 mL ice core sample volumes allows higher temporal resolution in deposition records of inorganic and low molecular weight organic anions and cations. The determination of these species is a fundamental strategic requirement in modern paleoclimate studies. Herein, for the first time, a dual capillary ion chromatography (Cap-IC) based method for the simultaneous separation of 17 organic and inorganic anions and cations in low volume Antarctic ice core samples is presented. The total amount of sample required for direct injection has been reduced to 190 mL, which is 35 times lower than the amount of sample required by standard ion chromatography methods. A dual Cap-IC system configured for the simultaneous determination of cations and anions was used throughout. A range of chromatographic parameters was optimised for both anion and cation systems to obtain baseline separations of all target analytes in a suitable run time and to minimise the amount of sample required. Baseline separation of matrix and trace 'marker' ions were achieved in less than 35 min, after injecting only 40 mL of sample in each IC system. Limits of detection (LODs) for all analytes determined were within a range similar to that achieved by previously published standard bore IC-based methods. Intra-and inter-day repeatability were evaluated, with both parameters being typically below 3% for peak area. In further validation of the method, a comparative analysis of a set of 420 ice core samples from Aurora Basin North site, Antarctica, previously analysed by standard IC, established that the proposed low sample volume technique was applicable as a routine measurement approach in ice core analysis projects. (C) 2019 Elsevier B.V. All rights reserved.</t>
  </si>
  <si>
    <t>[Rodriguez, Estrella Sanz; Haddad, Paul R.; Paull, Brett] Univ Tasmania, Sch Nat Sci, Australian Ctr Res Separat Sci, GPO Box 252-75, Hobart, Tas 7001, Australia; [Plummer, Christopher; Moy, Andrew; Curran, Mark] Univ Tasmania, Antarctic Climate &amp; Ecosyst Cooperat Res Ctr, GPO Box 252-80, Hobart, Tas 7001, Australia; [Nation, Meredith; Moy, Andrew; Curran, Mark] Australian Antarctic Div, 203 Channel Highway, Kingston, Tas 7050, Australia</t>
  </si>
  <si>
    <t>University of Tasmania; Antarctic Climate &amp; Ecosystems Cooperative Research Centre (ACE CRC); University of Tasmania; Australian Antarctic Division</t>
  </si>
  <si>
    <t>Rodriguez, ES (corresponding author), Univ Tasmania, Sch Nat Sci, Australian Ctr Res Separat Sci, GPO Box 252-75, Hobart, Tas 7001, Australia.</t>
  </si>
  <si>
    <t>Estrella.SanzRodriguez@utas.edu.au</t>
  </si>
  <si>
    <t>paull, brett/AAO-8366-2020</t>
  </si>
  <si>
    <t>paull, brett/0000-0001-6373-6582; Sanz Rodriguez, Estrella/0000-0003-3443-6382; Plummer, Christopher/0000-0002-9765-5753; Haddad, Paul/0000-0001-9579-7363</t>
  </si>
  <si>
    <t>Australian Antarctic Division [4405]</t>
  </si>
  <si>
    <t>Australian Antarctic Division</t>
  </si>
  <si>
    <t>Financial support from Australian Antarctic Division, Grant 4405, is gratefully acknowledged.</t>
  </si>
  <si>
    <t>0003-2670</t>
  </si>
  <si>
    <t>1873-4324</t>
  </si>
  <si>
    <t>ANAL CHIM ACTA</t>
  </si>
  <si>
    <t>Anal. Chim. Acta</t>
  </si>
  <si>
    <t>10.1016/j.aca.2019.02.014</t>
  </si>
  <si>
    <t>HS4EW</t>
  </si>
  <si>
    <t>WOS:000463815800019</t>
  </si>
  <si>
    <t>Dalton, MC; Penchaszadeh, PE</t>
  </si>
  <si>
    <t>Cecilia Dalton, Maria; Enrique Penchaszadeh, Pablo</t>
  </si>
  <si>
    <t>Direct development in the intertidal South American shell-less Onchidella marginata (Couthouy in Gould, 1852) (Gastropoda: Heterobranchia: Onchidiidae)</t>
  </si>
  <si>
    <t>MOLLUSCAN RESEARCH</t>
  </si>
  <si>
    <t>Reproduction; Tierra del Fuego; rocky shore; egg mass; hatchlings; ecology</t>
  </si>
  <si>
    <t>This work shows evidence of complete encapsulated development of Onchidella marginata for the first time in South America. Recent common ancestry was suggested for geographically separated New Zealand sub-Antarctic and South American populations of Onchidella. This could be explained as driven by passive rafting mediated by circumpolar ocean currents. In samples from mussel- and algal-beds in intertidal rocky shores from the southern tip of South America (Tierra del Fuego Island, Argentina) we found both adults and egg masses, and crawling hatchlings were observed.</t>
  </si>
  <si>
    <t>[Cecilia Dalton, Maria; Enrique Penchaszadeh, Pablo] Consejo Nacl Invest Cient &amp; Tecn, Lab Ecosistemas Costeros Malacol, Div Ecol Marina, Museo Argentino Ciencias Nat Bernardino Rivadavia, Buenos Aires, DF, Argentina</t>
  </si>
  <si>
    <t>Dalton, MC (corresponding author), Consejo Nacl Invest Cient &amp; Tecn, Lab Ecosistemas Costeros Malacol, Div Ecol Marina, Museo Argentino Ciencias Nat Bernardino Rivadavia, Buenos Aires, DF, Argentina.</t>
  </si>
  <si>
    <t>mariacecilia.dalton@gmail.com</t>
  </si>
  <si>
    <t>Penchaszadeh, Pablo/ABB-8472-2021</t>
  </si>
  <si>
    <t>Penchaszadeh, Pablo/0000-0002-2043-8814</t>
  </si>
  <si>
    <t>CONICET. PhD grant; Scientific and Technological Research subsidy, El Fondo para la Investigacion Cientifica y Tecnologica P. BID PICT 2015</t>
  </si>
  <si>
    <t>We thank CONICET. PhD grant awarded in 2015 to M. C. Dalton, associated with the Scientific and Technological Research subsidy, El Fondo para la Investigacion Cientifica y Tecnologica P. BID PICT 2015 No2468 awarded to M. G. Palomo are thanked for financial support.</t>
  </si>
  <si>
    <t>1323-5818</t>
  </si>
  <si>
    <t>1448-6067</t>
  </si>
  <si>
    <t>MOLLUSCAN RES</t>
  </si>
  <si>
    <t>Molluscan Res.</t>
  </si>
  <si>
    <t>OCT 2</t>
  </si>
  <si>
    <t>10.1080/13235818.2019.1644712</t>
  </si>
  <si>
    <t>JUL 2019</t>
  </si>
  <si>
    <t>JO8QZ</t>
  </si>
  <si>
    <t>WOS:000479726400001</t>
  </si>
  <si>
    <t>Nishitani, N; Ruohoniemi, JM; Lester, M; Baker, JBH; Koustov, AV; Shepherd, SG; Chisham, G; Hori, T; Thomas, EG; Makarevich, RA; Marchaudon, A; Ponomarenko, P; Wild, JA; Milan, SE; Bristow, WA; Devlin, J; Miller, E; Greenwald, RA; Ogawa, T; Kikuchi, T</t>
  </si>
  <si>
    <t>Nishitani, Nozomu; Ruohoniemi, John Michael; Lester, Mark; Baker, Joseph Benjamin Harold; Koustov, Alexandre Vasilyevich; Shepherd, Simon G.; Chisham, Gareth; Hori, Tomoaki; Thomas, Evan G.; Makarevich, Roman A.; Marchaudon, Aurelie; Ponomarenko, Pavlo; Wild, James A.; Milan, Stephen E.; Bristow, William A.; Devlin, John; Miller, Ethan; Greenwald, Raymond A.; Ogawa, Tadahiko; Kikuchi, Takashi</t>
  </si>
  <si>
    <t>Review of the accomplishments of mid-latitude Super Dual Auroral Radar Network (SuperDARN) HF radars (vol 6 , pg 27, 2019)</t>
  </si>
  <si>
    <t>PROGRESS IN EARTH AND PLANETARY SCIENCE</t>
  </si>
  <si>
    <t>After publication of this article (Nishitani et al. 2019), it was brought to our attention that the figure 5 is incorrect, where the positions of DCE and SPS were misplaced. The correct figure 5 is as below, the original publication has been corrected.</t>
  </si>
  <si>
    <t>[Nishitani, Nozomu; Hori, Tomoaki; Kikuchi, Takashi] Nagoya Univ, Inst Space Earth Environm Res, Nagoya, Aichi 4648601, Japan; [Ruohoniemi, John Michael; Baker, Joseph Benjamin Harold; Greenwald, Raymond A.] Virginia Tech, Dept Elect &amp; Comp Engn, Blacksburg, VA USA; [Lester, Mark; Milan, Stephen E.] Univ Leicester, Leicester, Leics, England; [Koustov, Alexandre Vasilyevich; Ponomarenko, Pavlo] Univ Saskatchewan, Saskatoon, SK, Canada; [Shepherd, Simon G.; Thomas, Evan G.] Dartmouth Coll, Thayer Sch Engn, Hanover, NH 03755 USA; [Chisham, Gareth] British Antarctic Survey, Cambridge, England; [Makarevich, Roman A.; Bristow, William A.] Univ Alaska Fairbanks, Fairbanks, AK USA; [Marchaudon, Aurelie] Univ Toulouse, CNRS, Inst Rech Astrophys &amp; Planetol, CNES, Toulouse, France; [Wild, James A.] Univ Lancaster, Lancaster, England; [Devlin, John] La Trobe Univ, Melbourne, Vic, Australia; [Miller, Ethan] Johns Hopkins Univ, Appl Phys Lab, Baltimore, MD 21218 USA; [Ogawa, Tadahiko] Natl Inst Informat &amp; Commun Technol, Tokyo, Japan</t>
  </si>
  <si>
    <t>Nagoya University; Virginia Polytechnic Institute &amp; State University; University of Leicester; University of Saskatchewan; Dartmouth College; UK Research &amp; Innovation (UKRI); Natural Environment Research Council (NERC); NERC British Antarctic Survey; University of Alaska System; University of Alaska Fairbanks; Universite de Toulouse; Universite Toulouse III - Paul Sabatier; Centre National de la Recherche Scientifique (CNRS); Lancaster University; La Trobe University; Johns Hopkins University; Johns Hopkins University Applied Physics Laboratory; National Institute of Information &amp; Communications Technology (NICT) - Japan</t>
  </si>
  <si>
    <t>Nishitani, N (corresponding author), Nagoya Univ, Inst Space Earth Environm Res, Nagoya, Aichi 4648601, Japan.</t>
  </si>
  <si>
    <t>nisitani@isee.nagoya-u.ac.jp</t>
  </si>
  <si>
    <t>Lester, Mark/C-9657-2016; Wild, James Anderson/HKN-7736-2023; Nishitani, Nozomu/R-8831-2019; Thomas, Evan G/B-3921-2017; Ponomarenko, Pasha/IUQ-8133-2023</t>
  </si>
  <si>
    <t>Wild, James Anderson/0000-0001-8025-8869; Nishitani, Nozomu/0000-0001-9842-5119; Ponomarenko, Pasha/0000-0001-8407-0193</t>
  </si>
  <si>
    <t>SPRINGEROPEN</t>
  </si>
  <si>
    <t>CAMPUS, 4 CRINAN ST, LONDON, N1 9XW, ENGLAND</t>
  </si>
  <si>
    <t>2197-4284</t>
  </si>
  <si>
    <t>PROG EARTH PLANET SC</t>
  </si>
  <si>
    <t>Prog. Earth Planet. Sci.</t>
  </si>
  <si>
    <t>JUL 30</t>
  </si>
  <si>
    <t>10.1186/s40645-019-0300-3</t>
  </si>
  <si>
    <t>IM4ZG</t>
  </si>
  <si>
    <t>WOS:000478003400001</t>
  </si>
  <si>
    <t>Yuan, K; Yu, K; Yang, RQ; Zhang, QH; Yang, Y; Chen, EZ; Lin, L; Luan, TG; Chen, W; Chen, BW</t>
  </si>
  <si>
    <t>Yuan, Ke; Yu, Ke; Yang, Ruiqiang; Zhang, Qinghua; Yang, Ying; Chen, Enzhong; Lin, Lan; Luan, Tiangang; Chen, Wen; Chen, Baowei</t>
  </si>
  <si>
    <t>Metagenomic characterization of antibiotic resistance genes in Antarctic soils</t>
  </si>
  <si>
    <t>ECOTOXICOLOGY AND ENVIRONMENTAL SAFETY</t>
  </si>
  <si>
    <t>Antibiotic resistance genes (ARGs); Metagenome; Antarctica; Soils; Resistance level</t>
  </si>
  <si>
    <t>ACTIVATED-SLUDGE; WASTE-WATER; BACTERIA; TETRACYCLINE; INTEGRONS; ARGS; DISSEMINATION; SULFONAMIDE; DISCOVERY; COMMUNITY</t>
  </si>
  <si>
    <t>Antibiotic resistance genes (ARGs) are considered environmental pollutants. Comprehensive characterization of the ARGs in pristine environments is essential towards understanding the evolution of antibiotic resistance. Here, we analyzed ARGs in soil samples collected from relatively pristine Antarctica using metagenomic approaches. We identified 79 subtypes related to 12 antibiotic classes in Antarctic soils, in which ARGs related to multidrug and polypeptide were dominant. The characteristics of ARGs in Antarctic soils were significantly different from those in active sludge, chicken feces and swine feces, in terms of composition, abundance and potential transferability. ARG subtypes (e.g., bacA, ceoB, dfrE, mdtB, amrB, and acrB) were more abundant than others in Antarctic soils. Approximately 60% of the ARGs conferred antibiotic resistance via an efflux mechanism, and a low fraction of ARGs (similar to 16%) might be present on plasmids. Culturable bacterial consortiums isolated from Antarctic soils were consistently susceptible to most of the tested antibiotics frequently used in clinical therapies. The amrB and ceoB carried by culturable species did not express the resistance to aminoglycoside and fluoroquinolone at the levels of clinical concern. Our results suggest that the wide use of antibiotics may have contributed to developing higher antibiotic resistance and mobility.</t>
  </si>
  <si>
    <t>[Yuan, Ke; Yang, Ying; Luan, Tiangang; Chen, Baowei] Sun Yat Sen Univ, Guangdong Prov Key Lab Marine Resources &amp; Coastal, Sch Marine Sci, Guangzhou 510275, Guangdong, Peoples R China; [Yu, Ke] Peking Univ, Sch Environm &amp; Energy, Shenzhen Grad Sch, Shenzhen 518055, Guangdong, Peoples R China; [Chen, Enzhong; Lin, Lan] Southern Med Univ, Zhujiang Hosp, Guangzhou 510282, Guangdong, Peoples R China; [Yang, Ruiqiang; Zhang, Qinghua] Chinese Acad Sci, Res Ctr Ecoenvironm Sci, State Key Lab Environm Chem &amp; Ecotoxicol, Beijing 100085, Peoples R China; [Luan, Tiangang] Sun Yat Sen Univ, Sch Environm Sci &amp; Engn, Guangzhou 510275, Guangdong, Peoples R China; [Chen, Wen] Sun Yat Sen Univ, Sch Publ Hlth, Guangzhou 510275, Guangdong, Peoples R China</t>
  </si>
  <si>
    <t>Sun Yat Sen University; Peking University; Southern Medical University - China; Chinese Academy of Sciences; Research Center for Eco-Environmental Sciences (RCEES); Sun Yat Sen University; Sun Yat Sen University</t>
  </si>
  <si>
    <t>Chen, BW (corresponding author), Sun Yat Sen Univ, Guangdong Prov Key Lab Marine Resources &amp; Coastal, Sch Marine Sci, Guangzhou 510275, Guangdong, Peoples R China.</t>
  </si>
  <si>
    <t>chenbw5@mail.sysu.edu.cn</t>
  </si>
  <si>
    <t>zhang, qinghua/HMP-3611-2023</t>
  </si>
  <si>
    <t>zhang, qinghua/0000-0002-9707-4051</t>
  </si>
  <si>
    <t>National Science Foundation of China [21777198, 21625703, 41676183]; National Key Research and Development Program of China [2018YFD0900604]</t>
  </si>
  <si>
    <t>National Science Foundation of China(National Natural Science Foundation of China (NSFC)); National Key Research and Development Program of China</t>
  </si>
  <si>
    <t>This work was supported by the National Science Foundation of China (21777198, 21625703, and 41676183) and National Key Research and Development Program of China (2018YFD0900604). We also appreciate Dr. Fang Peng from Wuhan University for her assistance of sample collection.</t>
  </si>
  <si>
    <t>ACADEMIC PRESS INC ELSEVIER SCIENCE</t>
  </si>
  <si>
    <t>SAN DIEGO</t>
  </si>
  <si>
    <t>525 B ST, STE 1900, SAN DIEGO, CA 92101-4495 USA</t>
  </si>
  <si>
    <t>0147-6513</t>
  </si>
  <si>
    <t>1090-2414</t>
  </si>
  <si>
    <t>ECOTOX ENVIRON SAFE</t>
  </si>
  <si>
    <t>Ecotox. Environ. Safe.</t>
  </si>
  <si>
    <t>10.1016/j.ecoenv.2019.03.099</t>
  </si>
  <si>
    <t>Environmental Sciences; Toxicology</t>
  </si>
  <si>
    <t>Environmental Sciences &amp; Ecology; Toxicology</t>
  </si>
  <si>
    <t>HV5WW</t>
  </si>
  <si>
    <t>WOS:000466056800036</t>
  </si>
  <si>
    <t>Schwarzkopf, FU; Biastoch, A; Böning, C; Chanut, J; Durgadoo, JV; Getzlaff, K; Harlass, J; Rieck, JK; Roth, C; Scheinert, MM; Schubert, R</t>
  </si>
  <si>
    <t>Schwarzkopf, Franziska U.; Biastoch, Arne; Boening, ClausW.; Chanut, Jerome; Durgadoo, Jonathan V.; Getzlaff, Klaus; Harlass, Jan; Rieck, Jan K.; Roth, Christina; Scheinert, Markus M.; Schubert, Rene</t>
  </si>
  <si>
    <t>The INALT family - a set of high-resolution nests for the Agulhas Current system within global NEMO ocean/sea-ice configurations</t>
  </si>
  <si>
    <t>ANTARCTIC CIRCUMPOLAR CURRENT; VOLUME TRANSPORT; SOUTHERN-OCEAN; NORTH-ATLANTIC; TIME-SERIES; MOZAMBIQUE CHANNEL; ADVECTION SCHEMES; CIRCULATION MODEL; NATAL PULSES; WATER</t>
  </si>
  <si>
    <t>The Agulhas Current, the western boundary current of the South Indian Ocean, has been shown to play an important role in the connectivity between the Indian and Atlantic oceans. The greater Agulhas Current system is highly dominated by mesoscale dynamics. To investigate their influence on the regional and global circulations, a family of high-resolution ocean general circulation model configurations based on the NEMO code has been developed. Horizontal resolution refinement is achieved by embedding nests covering the South Atlantic and the western Indian oceans at 1/10 degrees (INALT10) and 1/20 degrees (INALT20) within global hosts with coarser resolutions. Nests and hosts are connected through two-way interaction, allowing the nests not only to receive boundary conditions from their respective host but also to feed back the impact of regional dynamics onto the global ocean. A double-nested configuration at 1/60 degrees resolution (INALT60) has been developed to gain insights into submesoscale processes within the Agulhas Current system. Large-scale measures such as the Drake Passage transport and the strength of the Atlantic meridional overturning circulation are rather robust among the different configurations, indicating the important role of the hosts in providing a consistent embedment of the regionally refined grids into the global circulation. The dynamics of the Agulhas Current system strongly depend on the representation of mesoscale processes. Both the southward-flowing Agulhas Current and the northward-flowing Agulhas Undercurrent increase in strength with increasing resolution towards more realistic values, which suggests the importance of improving mesoscale dynamics as well as bathymetric slopes along this narrow western boundary current regime. The exploration of numerical choices such as lateral boundary conditions and details of the implementation of surface wind stress forcing demonstrates the range of solutions within any given configuration.</t>
  </si>
  <si>
    <t>[Schwarzkopf, Franziska U.; Biastoch, Arne; Boening, ClausW.; Durgadoo, Jonathan V.; Getzlaff, Klaus; Harlass, Jan; Rieck, Jan K.; Roth, Christina; Scheinert, Markus M.; Schubert, Rene] GEOMAR Helmholtz Ctr Ocean Res Kiel, Dusternbrooker Weg 20, D-24105 Kiel, Germany; [Biastoch, Arne; Boening, ClausW.] Univ Kiel, Christian Albrechts Pl 4, D-24118 Kiel, Germany; [Chanut, Jerome] Mercator Ocean, Parc Technol Canal,8-10 Rue Hermes, F-31520 Ramonville St Agne, France</t>
  </si>
  <si>
    <t>Helmholtz Association; GEOMAR Helmholtz Center for Ocean Research Kiel; University of Kiel</t>
  </si>
  <si>
    <t>Schwarzkopf, FU (corresponding author), GEOMAR Helmholtz Ctr Ocean Res Kiel, Dusternbrooker Weg 20, D-24105 Kiel, Germany.</t>
  </si>
  <si>
    <t>fschwarzkopf@geomar.de</t>
  </si>
  <si>
    <t>Schubert, Rene/ABB-9613-2021; Boening, Claus/AAW-6387-2020; Rieck, Jan Klaus/AAL-5919-2021; Boening, Claus W./B-1686-2012; Schwarzkopf, Franziska/P-7621-2019; Biastoch, Arne/B-5219-2014; Boening, Claus W/HIR-8996-2022; Harlass, Jan/P-4389-2019</t>
  </si>
  <si>
    <t>Schubert, Rene/0000-0003-1118-3968; Boening, Claus/0000-0002-6251-5777; Rieck, Jan Klaus/0000-0002-2296-1772; Boening, Claus W./0000-0002-6251-5777; Schwarzkopf, Franziska/0000-0002-2747-8456; Biastoch, Arne/0000-0003-3946-4390; Boening, Claus W/0000-0002-6251-5777; Harlass, Jan/0000-0002-3993-6960; Getzlaff, Klaus/0000-0002-0347-7838</t>
  </si>
  <si>
    <t>German Federal Ministry of Education and Research [03F0750A, 03F0796A]; Helmholtz-Gemeinschaft; GEOMAR Helmholtz Centre for Ocean Research Kiel [IV014/GH018]</t>
  </si>
  <si>
    <t>German Federal Ministry of Education and Research(Federal Ministry of Education &amp; Research (BMBF)); Helmholtz-Gemeinschaft(Helmholtz Association); GEOMAR Helmholtz Centre for Ocean Research Kiel(Helmholtz Association)</t>
  </si>
  <si>
    <t>This research has been supported by the German Federal Ministry of Education and Research (grant nos. SPACES-AGULHAS (03F0750A) and SPACES-CASISAC (03F0796A)). Jonathan V. Durgadoo acknowledges funding from the Helmholtz-Gemeinschaft and the GEOMAR Helmholtz Centre for Ocean Research Kiel (grant no. IV014/GH018).</t>
  </si>
  <si>
    <t>JUL 29</t>
  </si>
  <si>
    <t>10.5194/gmd-12-3329-2019</t>
  </si>
  <si>
    <t>IM1TI</t>
  </si>
  <si>
    <t>Green Accepted, gold</t>
  </si>
  <si>
    <t>WOS:000477774200001</t>
  </si>
  <si>
    <t>Clark, MS; Nieva, LV; Hoffman, JI; Davies, AJ; Trivedi, UH; Turner, F; Ashton, GV; Peck, LS</t>
  </si>
  <si>
    <t>Clark, Melody S.; Nieva, Leyre Villota; Hoffman, Joseph, I; Davies, Andrew J.; Trivedi, Urmi H.; Turner, Frances; Ashton, Gail, V; Peck, Lloyd S.</t>
  </si>
  <si>
    <t>Lack of long-term acclimation in Antarctic encrusting species suggests vulnerability to warming</t>
  </si>
  <si>
    <t>NORTHERN MARGUERITE BAY; INTERANNUAL VARIABILITY; CLIMATE-CHANGE; GENE ONTOLOGY; CD-HIT; TEMPERATURE; RESPONSES; PENINSULA; PROTEIN; IDENTIFICATION</t>
  </si>
  <si>
    <t>Marine encrusting communities play vital roles in benthic ecosystems and have major economic implications with regards to biofouling. However, their ability to persist under projected warming scenarios remains poorly understood and is difficult to study under realistic conditions. Here, using heated settlement panel technologies, we show that after 18 months Antarctic encrusting communities do not acclimate to either +1 degrees C or +2 degrees C above ambient temperatures. There is significant up-regulation of the cellular stress response in warmed animals, their upper lethal temperatures decline with increasing ambient temperature and population genetic analyses show little evidence of differential survival of genotypes with treatment. By contrast, biofilm bacterial communities show no significant differences in community structure with temperature. Thus, metazoan and bacterial responses differ dramatically, suggesting that ecosystem responses to future climate change are likely to be far more complex than previously anticipated.</t>
  </si>
  <si>
    <t>[Clark, Melody S.; Nieva, Leyre Villota; Peck, Lloyd S.] NERC, British Antarctic Survey, Madingley Rd, Cambridge CB3 0ET, England; [Nieva, Leyre Villota] Bangor Univ, Sch Ocean Sci, Menai Bridge LL59 5AB, Anglesey, Wales; [Hoffman, Joseph, I] Univ Bielefeld, Dept Anim Behav, Postfach 100131, D-33615 Bielefeld, Germany; [Davies, Andrew J.] Univ Rhode Isl, Dept Biol Sci, Woodward Hall,9 East Alumni Ave, Kingston, RI 02881 USA; [Trivedi, Urmi H.; Turner, Frances] Univ Edinburgh, Ashworth Labs, Edinburgh Genom Genome Sci, Charlotte Auerbach Rd,Kings Bldg, Edinburgh EH9 3FL, Midlothian, Scotland; [Ashton, Gail, V] Smithsonian Environm Res Ctr, 647 Contees Wharf Rd, Edgewater, MD 21037 USA</t>
  </si>
  <si>
    <t>UK Research &amp; Innovation (UKRI); Natural Environment Research Council (NERC); NERC British Antarctic Survey; Bangor University; University of Bielefeld; University of Rhode Island; University of Edinburgh; Smithsonian Institution; Smithsonian Environmental Research Center</t>
  </si>
  <si>
    <t>Clark, MS (corresponding author), NERC, British Antarctic Survey, Madingley Rd, Cambridge CB3 0ET, England.</t>
  </si>
  <si>
    <t>mscl@bas.ac.uk</t>
  </si>
  <si>
    <t>Davies, Andrew/A-4222-2008; Clark, Melody/D-7371-2014; Hoffman, Joseph/K-7725-2012</t>
  </si>
  <si>
    <t>Davies, Andrew/0000-0002-2087-0885; Clark, Melody/0000-0002-3442-3824; Hoffman, Joseph/0000-0001-5895-8949; Ashton, Gail/0000-0001-5884-3383</t>
  </si>
  <si>
    <t>Deutsche Forschungsgemeinschaft (DFG) [HO 5122/7-1]; NERC [NE/J007501/1, 10742, 11367, R8/H10/56]; MRC [MR/K001744/1]; BBSRC [BB/J004243/1]; MRC [MR/K001744/1] Funding Source: UKRI; NERC [bas0100036, dml011000, NE/J007501/1] Funding Source: UKRI</t>
  </si>
  <si>
    <t>Deutsche Forschungsgemeinschaft (DFG)(German Research Foundation (DFG)); NERC(UK Research &amp; Innovation (UKRI)Natural Environment Research Council (NERC)); MRC(UK Research &amp; Innovation (UKRI)Medical Research Council UK (MRC)); BBSRC(UK Research &amp; Innovation (UKRI)Biotechnology and Biological Sciences Research Council (BBSRC)); MRC(UK Research &amp; Innovation (UKRI)Medical Research Council UK (MRC)); NERC(UK Research &amp; Innovation (UKRI)Natural Environment Research Council (NERC))</t>
  </si>
  <si>
    <t>The work was funded by NERC standard grant NE/J007501/1 awarded to L.S.P. which included a tied studentship awarded to L.V.N. and access to the Edinburgh facility (project references: 10742 and 11367). This work was also supported by a Deutsche Forschungsgemeinschaft (DFG) grant to J.I.H. under project number HO 5122/7-1. The transcriptome Illumina sequencing and analyses were carried out by Edinburgh Genomics, The University of Edinburgh. Edinburgh Genomics is partly supported through core grants from NERC (R8/H10/56), MRC (MR/K001744/1) and BBSRC (BB/J004243/1). The biofilm amplicon sequencing was performed at the University of Cambridge, Department of Biochemistry Sequencing Facility. The authors would like to thank Mark Preston for his work on the development of the heated panels, the Rothera marine teams from 2013 to 2016 for help with maintenance and photography of the panels, especially Simon Morley and David Barnes and Ben Temperton at the University of Exeter for his advice on the biofilm analyses.</t>
  </si>
  <si>
    <t>10.1038/s41467-019-11348-w</t>
  </si>
  <si>
    <t>IM0UW</t>
  </si>
  <si>
    <t>WOS:000477706100007</t>
  </si>
  <si>
    <t>Cárcamo, JR; Contador, T; Gañán, M; Troncoso, CP; Márquez, AM; Convey, P; Kennedy, J; Rozzi, R</t>
  </si>
  <si>
    <t>Rendoll Carcamo, Javier; Contador, Tamara; Ganan, Melisa; Perez Troncoso, Carolina; Maldonado Marquez, Alan; Convey, Peter; Kennedy, James; Rozzi, Ricardo</t>
  </si>
  <si>
    <t>Altitudinal gradients in Magellanic sub-Antarctic lagoons: the effect of elevation on freshwater macroinvertebrate diversity and distribution</t>
  </si>
  <si>
    <t>PEERJ</t>
  </si>
  <si>
    <t>Elevation gradient; Sub-antarctic; Littoral invertebrates; Lakes; Southern Chile</t>
  </si>
  <si>
    <t>HORN BIOSPHERE RESERVE; GLOBAL CLIMATE-CHANGE; FLUVIAL SYSTEM; RIVER-BASIN; CONSERVATION; ASSEMBLAGES; PATTERNS; INVERTEBRATES; ECOSYSTEMS; PATAGONIA</t>
  </si>
  <si>
    <t>Background. The study of attitudinal gradients provides insights about species diversity, distribution patterns and related drivers. The Magellanic sub-Antarctic ecoregion has a steep elevational gradient, peaking at around 1,000 m a.s.l., and marked changes in temperature and landscape composition can be observed over relatively short distances. Methods. This study assessed freshwater macroinvertebrate diversity associated with lakes and ponds along the altitudinal gradient of a Magellanic sub-Antarctic watershed. Results. A monotonic decline in species richness was observed with increasing elevation, with simpler and more even community composition at higher altitude. This pattern differs from the mid-peak trend found in streams of the same watershed. Functional feeding group structure also diminished with increasing elevation. Discussion. The study provides a descriptive baseline of macroinvertebrate community structure associated with lentic freshwater ecosystems in the Magellanic sub-Antarctic ecoregion, and confirms that elevation has substantial effects on community structure, function and environmental features, even in these relatively low elevation mountain ranges. The harsh environmental conditions of this ecoregion increase freshwater macroinvertebrate development time, as well as decreasing habitat availability and food supply, supporting simple but well adapted communities. In conjunction with previous research, this study provides a watershed-scale platform of information underpinning future long-term research in the region.</t>
  </si>
  <si>
    <t>[Rendoll Carcamo, Javier; Contador, Tamara; Ganan, Melisa; Perez Troncoso, Carolina; Maldonado Marquez, Alan; Kennedy, James] Univ Magallanes, Wankara Subantarctic &amp; Antarctic Freshwater Ecosy, Puerto Williams, Magallanes, Chile; [Rendoll Carcamo, Javier; Contador, Tamara; Perez Troncoso, Carolina; Maldonado Marquez, Alan; Kennedy, James; Rozzi, Ricardo] Univ Magallanes, Subantarct Biocultural Conservat Program, Omora Ethnobot Pk, Puerto Williams, Magallanes, Chile; [Rendoll Carcamo, Javier; Contador, Tamara; Perez Troncoso, Carolina; Maldonado Marquez, Alan; Rozzi, Ricardo] Univ Chile, Inst Ecol &amp; Biodivers, Santiago, Chile; [Contador, Tamara; Perez Troncoso, Carolina; Maldonado Marquez, Alan] Nucl Cientif Milenio, ICM, INVASAL, Nucl Milenio Salmonidos Invasores, Concepcion, Chile; [Convey, Peter] British Antarctic Survey, NERC, Cambridge, England; [Kennedy, James] Univ North Texas, Dept Biol Sci, Denton, TX USA; [Rozzi, Ricardo] Univ North Texas, Dept Philosophy &amp; Relig, Denton, TX USA</t>
  </si>
  <si>
    <t>Universidad de Magallanes; Universidad de Magallanes; Universidad de Chile; UK Research &amp; Innovation (UKRI); Natural Environment Research Council (NERC); NERC British Antarctic Survey; University of North Texas System; University of North Texas Denton; University of North Texas System; University of North Texas Denton</t>
  </si>
  <si>
    <t>Cárcamo, JR (corresponding author), Univ Magallanes, Wankara Subantarctic &amp; Antarctic Freshwater Ecosy, Puerto Williams, Magallanes, Chile.;Cárcamo, JR (corresponding author), Univ Magallanes, Subantarct Biocultural Conservat Program, Omora Ethnobot Pk, Puerto Williams, Magallanes, Chile.;Cárcamo, JR (corresponding author), Univ Chile, Inst Ecol &amp; Biodivers, Santiago, Chile.</t>
  </si>
  <si>
    <t>javier.rendoll@gmail.com</t>
  </si>
  <si>
    <t>Rozzi, Ricardo/G-1047-2012; Convey, Peter/AAV-5728-2020; Contador, Tamara/AAC-2161-2021</t>
  </si>
  <si>
    <t>Rozzi, Ricardo/0000-0001-5265-8726; Convey, Peter/0000-0001-8497-9903; Contador, Tamara/0000-0002-0250-9877; Rendoll, Javier/0000-0003-1928-0914; Perez-Troncoso, Carolina/0000-0002-0185-5874; Ganan Mora, Melisa/0000-0001-6411-9295</t>
  </si>
  <si>
    <t>Institute of Ecology and Biodiversity (IEB); CONICYT [PFB-23]; FONDECYT [11130451]; NERC; INACH [RT 48-16]; Iniciativa Cientifica Milenio Invasive Salmonids INVASAL; ICM [P05-002]; NERC [bas0100036] Funding Source: UKRI</t>
  </si>
  <si>
    <t>Institute of Ecology and Biodiversity (IEB); CONICYT(Comision Nacional de Investigacion Cientifica y Tecnologica (CONICYT)); FONDECYT(Comision Nacional de Investigacion Cientifica y Tecnologica (CONICYT)CONICYT FONDECYT); NERC(UK Research &amp; Innovation (UKRI)Natural Environment Research Council (NERC)); INACH; Iniciativa Cientifica Milenio Invasive Salmonids INVASAL; ICM; NERC(UK Research &amp; Innovation (UKRI)Natural Environment Research Council (NERC))</t>
  </si>
  <si>
    <t>Javier Rendoll C a rcamo was supported by a master's scholarship granted by the Institute of Ecology and Biodiversity (IEB), by ICM, P05-002 and CONICYT PFB-23 projects. Research was funded by FONDECYT Project 11130451, led by Tamara Contador. Peter Convey is supported by NERC core funding to the BAS 'Biodiversity, Evolution and Adaptations' Team. Tamara Contador is supported by INACH grant RT 48-16, and by Iniciativa Cientifica Milenio Invasive Salmonids INVASAL. The funders had no role in study design, data collection and analysis, decision to publish, or preparation of the manuscript.</t>
  </si>
  <si>
    <t>PEERJ INC</t>
  </si>
  <si>
    <t>341-345 OLD ST, THIRD FLR, LONDON, EC1V 9LL, ENGLAND</t>
  </si>
  <si>
    <t>2167-8359</t>
  </si>
  <si>
    <t>PeerJ</t>
  </si>
  <si>
    <t>e7128</t>
  </si>
  <si>
    <t>10.7717/peerj.7128</t>
  </si>
  <si>
    <t>IM0RN</t>
  </si>
  <si>
    <t>Green Accepted, Green Published, gold, Green Submitted</t>
  </si>
  <si>
    <t>WOS:000477696400002</t>
  </si>
  <si>
    <t>Coxon, JC; Shore, RM; Freeman, MP; Fear, RC; Browett, SD; Smith, AW; Whiter, DK; Anderson, BJ</t>
  </si>
  <si>
    <t>Coxon, John C.; Shore, Robert M.; Freeman, Mervyn P.; Fear, Robert C.; Browett, Stephen D.; Smith, Andrew W.; Whiter, Daniel K.; Anderson, Brian J.</t>
  </si>
  <si>
    <t>Timescales of Birkeland Currents Driven by the IMF</t>
  </si>
  <si>
    <t>Birkeland currents; field-aligned currents; timescales; magnetopause; magnetotail; substorms</t>
  </si>
  <si>
    <t>INTERPLANETARY MAGNETIC-FIELD; B-Y COMPONENT; ALIGNED CURRENTS; NORTHWARD IMF; IONOSPHERIC CONVECTION; SOLAR-WIND; MAGNETOSPHERE; MODEL; ELECTRODYNAMICS</t>
  </si>
  <si>
    <t>We obtain current densities from the Active Magnetosphere and Planetary Electrodynamics Response Experiment (AMPERE), alongside B-y and B-z from the Interplanetary Magnetic Field (IMF) for March 2010. For each AMPERE spatial coordinate, we cross-correlate current density with B-y and B-z, finding the maximum correlation for lags up to 360 min. The patterns of maximum correlation contain large-scale structures consistent with the literature. For the correlation with B-y, the lags on the dayside are 10 min at high latitudes but up to 240 min at lower latitudes. Lags on the nightside are 90-150 min. For B-z, the shortest lags on the dayside are 10-20 min; on the equatorward edge of the current oval, 60-90 min; and on the nightside, predominantly 90-150 min. This novel approach enables us to see statistically the timescales on which information is electrodynamically communicated to the ionosphere after magnetic field lines reconnect on the dayside and nightside.</t>
  </si>
  <si>
    <t>[Coxon, John C.; Fear, Robert C.; Browett, Stephen D.; Smith, Andrew W.; Whiter, Daniel K.] Univ Southampton, Sch Phys &amp; Astron, Southampton, Hants, England; [Shore, Robert M.; Freeman, Mervyn P.] British Antarctic Survey, Cambridge, England; [Anderson, Brian J.] Johns Hopkins Univ, Appl Phys Lab, Laurel, MD USA</t>
  </si>
  <si>
    <t>University of Southampton; UK Research &amp; Innovation (UKRI); Natural Environment Research Council (NERC); NERC British Antarctic Survey; Johns Hopkins University; Johns Hopkins University Applied Physics Laboratory</t>
  </si>
  <si>
    <t>Coxon, JC (corresponding author), Univ Southampton, Sch Phys &amp; Astron, Southampton, Hants, England.</t>
  </si>
  <si>
    <t>work@johncoxon.co.uk</t>
  </si>
  <si>
    <t>Smith, Andy/AAT-7849-2020; Anderson, Brian J/I-8615-2012; Whiter, Daniel/P-8601-2019; Coxon, John/AAN-9355-2021; Freeman, Mervyn/E-5687-2019</t>
  </si>
  <si>
    <t>Smith, Andy/0000-0001-7321-4331; Coxon, John/0000-0002-0166-6854; Fear, Robert/0000-0003-0589-7147; Freeman, Mervyn/0000-0002-8653-8279; Whiter, Daniel/0000-0001-7130-232X; Browett, Stephen/0000-0003-0500-6244; Shore, Robert/0000-0002-8386-1425</t>
  </si>
  <si>
    <t>Science and Technology Facilities Council (STFC) [ST/L002809/1, ST/R000719/1]; Natural Environment Research Council (NERC) [NE/N01099X/1]; NERC [NE/J020796/1, NE/N004051/1]; STFC Ernest Rutherford Fellowship [ST/K004298/2]; STFC [ST/M503794/1]; SEPnet PhD studentship; NERC [bas0100031, NE/N004051/1, NE/N01099X/1] Funding Source: UKRI; STFC [ST/R000719/1, ST/K004298/2] Funding Source: UKRI</t>
  </si>
  <si>
    <t>Science and Technology Facilities Council (STFC)(UK Research &amp; Innovation (UKRI)Science &amp; Technology Facilities Council (STFC)Science and Technology Development Fund (STDF)); Natural Environment Research Council (NERC)(UK Research &amp; Innovation (UKRI)Natural Environment Research Council (NERC)); NERC(UK Research &amp; Innovation (UKRI)Natural Environment Research Council (NERC)); STFC Ernest Rutherford Fellowship(UK Research &amp; Innovation (UKRI)Science &amp; Technology Facilities Council (STFC)); STFC(UK Research &amp; Innovation (UKRI)Science &amp; Technology Facilities Council (STFC)); SEPnet PhD studentship; NERC(UK Research &amp; Innovation (UKRI)Natural Environment Research Council (NERC)); STFC(UK Research &amp; Innovation (UKRI)Science &amp; Technology Facilities Council (STFC))</t>
  </si>
  <si>
    <t>J.C.C. and R.C.F. were supported by Science and Technology Facilities Council (STFC) Ernest Rutherford grant ST/L002809/1 and Consolidated grant ST/R000719/1. R.M.S. and M.P.F. were supported by Natural Environment Research Council (NERC) grant NE/N01099X/1 and the SuperMAG EOF model was developed under NERC grant NE/J020796/1. R.C.F. was supported by STFC Ernest Rutherford Fellowship ST/K004298/2; S.D.B. was supported by STFC PhD studentship ST/M503794/1; A.W.S. was supported by a SEPnet PhD studentship; and D.K.W. was supported by NERC grant NE/N004051/1. J.C.C. and R.M.S. would like to thank the organizers and sponsors of the Russian-British Seminar of Young Scientists on Dynamical plasma processes in the heliosphere: from the Sun to the Earth, which hosted discussions useful to this manuscript. The Iridium-derived AMPERE data used in this paper can be obtained from the AMPERE Science Center (at http://ampere.jhuapl.edu/). The OMNI data used in this paper can be obtained from NASA/GSFC's Space Physics Data Facility's CDAweb service (at http://cdaweb.gsfc.nasa.gov/). The authors would like to thank the AMPERE Science Center and NASA/GSFC for providing the data.</t>
  </si>
  <si>
    <t>JUL 28</t>
  </si>
  <si>
    <t>10.1029/2018GL081658</t>
  </si>
  <si>
    <t>IS0DW</t>
  </si>
  <si>
    <t>Green Accepted, Green Published, hybrid</t>
  </si>
  <si>
    <t>WOS:000481818900004</t>
  </si>
  <si>
    <t>Shepherd, A; Gilbert, L; Muir, AS; Konrad, H; McMillan, M; Slater, T; Briggs, KH; Sundal, AV; Hogg, AE; Engdahl, ME</t>
  </si>
  <si>
    <t>Shepherd, Andrew; Gilbert, Lin; Muir, Alan S.; Konrad, Hannes; McMillan, Malcolm; Slater, Thomas; Briggs, Kate H.; Sundal, Aud, V; Hogg, Anna E.; Engdahl, Marcus E.</t>
  </si>
  <si>
    <t>Trends in Antarctic Ice Sheet Elevation and Mass</t>
  </si>
  <si>
    <t>climate; Antarctica; satellite; altimetry; imbalance; sea level</t>
  </si>
  <si>
    <t>AMUNDSEN SEA EMBAYMENT; PINE ISLAND GLACIER; GROUNDING LINE RETREAT; WEST ANTARCTICA; LEVEL RISE; VOLUME-CHANGE; GREENLAND; BALANCE; THWAITES; GRACE</t>
  </si>
  <si>
    <t>Fluctuations in Antarctic Ice Sheet elevation and mass occur over a variety of time scales, owing to changes in snowfall and ice flow. Here we disentangle these signals by combining 25 years of satellite radar altimeter observations and a regional climate model. From these measurements, patterns of change that are strongly associated with glaciological events emerge. While the majority of the ice sheet has remained stable, 24% of West Antarctica is now in a state of dynamical imbalance. Thinning of the Pine Island and Thwaites glacier basins reaches 122 m in places, and their rates of ice loss are now five times greater than at the start of our survey. By partitioning elevation changes into areas of snow and ice variability, we estimate that East and West Antarctica have contributed -1.1 +/- 0.4 and +5.7 +/- 0.8 mm to global sea level between 1992 and 2017.</t>
  </si>
  <si>
    <t>[Shepherd, Andrew; Konrad, Hannes; McMillan, Malcolm; Slater, Thomas; Briggs, Kate H.; Sundal, Aud, V; Hogg, Anna E.] Univ Leeds, Ctr Polar Oservat &amp; Modelling, Sch Earth &amp; Environm, Leeds, W Yorkshire, England; [Gilbert, Lin; Muir, Alan S.] UCL, Dept Space &amp; Climate Phys, Mullard Space Sci Lab, London, England; [Muir, Alan S.] UCL, Ctr Polar Observat &amp; Modelling, Dept Earth Sci, London, England; [Konrad, Hannes] Deutsch Wetterdienst, Offenbach, Germany; [McMillan, Malcolm] Univ Lancaster, Ctr Polar Observat &amp; Modelling, Ctr Excellence Environm Data Sci, Lancaster, England; [Engdahl, Marcus E.] ESA FSREN, Via Galileo Galilei, Frascati, Italy</t>
  </si>
  <si>
    <t>University of Leeds; University of London; University College London; University of London; University College London; Lancaster University</t>
  </si>
  <si>
    <t>Shepherd, A (corresponding author), Univ Leeds, Ctr Polar Oservat &amp; Modelling, Sch Earth &amp; Environm, Leeds, W Yorkshire, England.</t>
  </si>
  <si>
    <t>a.shepherd@leeds.ac.uk</t>
  </si>
  <si>
    <t>McMillan, Malcolm/HLQ-1163-2023; Konrad, Hannes/H-7647-2013; Konrad, Hannes/A-1813-2016</t>
  </si>
  <si>
    <t>Slater, Thomas/0000-0003-2541-7788; Muir, Alan/0000-0001-7754-088X; McMillan, Malcolm/0000-0002-5113-0177; Konrad, Hannes/0000-0002-5058-8637</t>
  </si>
  <si>
    <t>UK Natural Environment Research Council Centre for Polar Observation and Modelling; European Space Agency Climate Change Initiative; NERC [NE/T009470/1, NE/J005681/1, cpom30001, NE/J005657/1, NE/R012407/1] Funding Source: UKRI</t>
  </si>
  <si>
    <t>UK Natural Environment Research Council Centre for Polar Observation and Modelling; European Space Agency Climate Change Initiative; NERC(UK Research &amp; Innovation (UKRI)Natural Environment Research Council (NERC))</t>
  </si>
  <si>
    <t>We thank Michiel van den Broeke and Stefan Ligtenberg for providing regional climate model firn density model output. GRACE data were sourced from https://data 1.geo.tu-dresden. de/ais_gmb on 12 August 2016. IceBridge data were sourced from https://n5eil01u.ecs.nsidc.org/ICEBRIDGE/IDHDT4.001 on 25 May 2017. From the date of publication, the ice sheet elevation and mass changes reported in this study will be available online (http://www.cpom.ucl.ac.uk/csopr/). This work was supported by the UK Natural Environment Research Council Centre for Polar Observation and Modelling and the European Space Agency Climate Change Initiative.</t>
  </si>
  <si>
    <t>10.1029/2019GL082182</t>
  </si>
  <si>
    <t>WOS:000481818900035</t>
  </si>
  <si>
    <t>Foppert, A; Rintoul, SR; England, MH</t>
  </si>
  <si>
    <t>Foppert, Annie; Rintoul, Stephen R.; England, Matthew H.</t>
  </si>
  <si>
    <t>Along-Slope Variability of Cross-Slope Eddy Transport in East Antarctica</t>
  </si>
  <si>
    <t>eddies; cross-slope exchange; overturning circulation; Antarctic processes</t>
  </si>
  <si>
    <t>WATER MASSES; CONTINENTAL-SHELF; CIRCULATION; TEMPERATURE; SALINITY</t>
  </si>
  <si>
    <t>Circumpolar Deep Water (CDW) transport across the Antarctic continental slope regulates the delivery of heat to the shelf and its availability to melt floating ice shelves. The cross-slope density field, calculated from profiles collected by conductivity-temperature-depth-tagged marine mammals on the East Antarctic slope (0-160 degrees E, above 1,000- to 3,000-m isobaths), indicates eddy-driven overturning: onshore transport of CDW and offshore transport of shallower Antarctic Surface Water. Enhanced eddy activity, determined by a spice standard deviation threshold in the CDW layer, is present over about a third of the East Antarctic slope analyzed. Significantly stronger CDW transport in regions of elevated spice variability produces subsurface temperature anomalies of 0.2-0.25 degrees C relative to the East Antarctic average. Estimating eddy diffusivity from the hydrography yields about 0.8 m(2)/s of warm CDW transport to the shelf break in high-variability regions. Variability of eddy-induced CDW transport influences the reservoir of heat available for transport across the shelf break.</t>
  </si>
  <si>
    <t>[Foppert, Annie; Rintoul, Stephen R.] Ctr Southern Hemisphere Oceans Res, Hobart, Tas, Australia; [Foppert, Annie; Rintoul, Stephen R.] CSIRO Oceans &amp; Atmosphere, Hobart, Tas, Australia; [Rintoul, Stephen R.] Antarctic Climate &amp; Ecosyst Cooperat Search Ctr, Hobart, Tas, Australia; [England, Matthew H.] Univ New South Wales, Climate Change Res Ctr, Sydney, NSW, Australia; [England, Matthew H.] Univ New South Wales, ARC Ctr Excellence Climate Extremes, Sydney, NSW, Australia</t>
  </si>
  <si>
    <t>Commonwealth Scientific &amp; Industrial Research Organisation (CSIRO); University of New South Wales Sydney; University of New South Wales Sydney</t>
  </si>
  <si>
    <t>Foppert, A (corresponding author), Ctr Southern Hemisphere Oceans Res, Hobart, Tas, Australia.;Foppert, A (corresponding author), CSIRO Oceans &amp; Atmosphere, Hobart, Tas, Australia.</t>
  </si>
  <si>
    <t>annie.foppert@csiro.au</t>
  </si>
  <si>
    <t>England, Matthew/A-7539-2011</t>
  </si>
  <si>
    <t>England, Matthew/0000-0001-9696-2930; Foppert, Annie/0000-0003-2958-1454</t>
  </si>
  <si>
    <t>Centre for Southern Hemisphere Oceans Research (CSHOR); Australian Antarctic Program; Australia's Integrated Marine Observing System; Australian Government's Cooperative Research Centre program through the Antarctic Climate and Ecosystems Cooperative Research Centre; Australian Government's National Environmental Science Programme; Australian Research Council [DP190100494, CE17010023]</t>
  </si>
  <si>
    <t>Centre for Southern Hemisphere Oceans Research (CSHOR); Australian Antarctic Program; Australia's Integrated Marine Observing System; Australian Government's Cooperative Research Centre program through the Antarctic Climate and Ecosystems Cooperative Research Centre(Australian GovernmentDepartment of Industry, Innovation and ScienceCooperative Research Centres (CRC) Programme); Australian Government's National Environmental Science Programme(Australian Government); Australian Research Council(Australian Research Council)</t>
  </si>
  <si>
    <t>This research was supported by the Centre for Southern Hemisphere Oceans Research (CSHOR), a partnership between the Commonwealth Scientific and Industrial Research Organisation (CSIRO) and the Qingdao National Laboratory for Marine Science, as well as the Australian Antarctic Program and Australia's Integrated Marine Observing System. S. R. R. was supported by the Australian Government's Cooperative Research Centre program through the Antarctic Climate and Ecosystems Cooperative Research Centre and by the Australian Government's National Environmental Science Programme. M. H. E. was supported by the Australian Research Council (Grants DP190100494 and CE17010023). The seal-based hydrography were collected and made freely available by the International MEOP Consortium and the national programs that contribute to it (http://www.meop.net). The ship-based hydrography used in this study are publicly available from the Clivar and Carbon Hydrographic Data Office (CCHDO; http://cchdo.ucsd.edu), with the exception of SR3 occupations in 2013 and 2015, which are available on the Australian Antarctic Data Centre (https://data.aad.gov.au/aadc/) under voyage names ta1302 and au1402, respectively. The authors are grateful to Andy Thompson for his valuable insight; we also thank two anonymous reviewers for constructive comments on the manuscript.</t>
  </si>
  <si>
    <t>10.1029/2019GL082999</t>
  </si>
  <si>
    <t>WOS:000481818900040</t>
  </si>
  <si>
    <t>Walters, WW; Michalski, G; Böhlkes, JK; Alexander, B; Savarino, J; Thiemens, MH</t>
  </si>
  <si>
    <t>Walters, Wendell W.; Michalski, Greg; Bohlkes, J. K.; Alexander, Becky; Savarino, Joel; Thiemens, Mark H.</t>
  </si>
  <si>
    <t>Assessing the Seasonal Dynamics of Nitrate and Sulfate Aerosols at the South Pole Utilizing Stable Isotopes</t>
  </si>
  <si>
    <t>nitrate; sulfate; aerosols; isotopes; South Pole; oxidation chemistry</t>
  </si>
  <si>
    <t>HIGH-PRECISION MEASUREMENTS; NONMETAL REDOX KINETICS; ATMOSPHERIC NITRATE; ICE-CORE; SURFACE OZONE; DOME-C; OXIDATION PATHWAYS; TROPOSPHERIC OZONE; ANOMALY DELTA-O-17; ANTARCTIC PLATEAU</t>
  </si>
  <si>
    <t>Atmospheric nitrate (NO3- = particulate NO3- + gas-phase nitric acid [HNO3]) and sulfate (SO42-) are key molecules that play important roles in numerous atmospheric processes. Here, the seasonal cycles of NO3- and total suspended particulate sulfate (SO4(TSP)2-) were evaluated at the South Pole from aerosol samples collected weekly for approximately 10 months (26 January to 25 October) in 2002 and analyzed for their concentration and isotopic compositions. Aerosol NO3- was largely affected by snowpack emissions in which [NO3-] and delta N-15(NO3-) were highest (49.3 +/- 21.4 ng/m(3), n = 8) and lowest (-47.0 +/- 11.7 parts per thousand, n = 5), respectively, during periods of sunlight in the interior of Antarctica. The seasonal cycle of Delta O-17(NO3-) reflected tropospheric chemistry year-round with lower values observed during sunlight periods and higher values observed during dark periods, reflecting shifts from HOx- to O-3-dominated oxidation chemistry. SO4(TSP)2- concentrations were highest during austral summer and fall (86.7 +/- 73.7 ng/m(3), n = 18) and are indicated to be derived from dimethyl sulfide (DMS) emissions, as delta S-34(SO42-)((TSP)) values (18.5 +/- 1.0 parts per thousand, n = 10) were similar to literature delta S-34(DMS) values. The seasonal cycle of Delta O-17(SO42-)((TSP)) exhibited minima during austral summer (0.9 +/- 0.1 parts per thousand, n = 5) and maxima during austral fall (1.3 +/- 0.3 parts per thousand, n = 6) and austral spring (1.6 +/- 0.1 parts per thousand, n = 5), indicating a shift from HOx- to O-3-dominated chemistry in the atmospheric derived SO42- component. Overall, the budgets of NO3- and SO4(TSP)2- at the South Pole were complex functions of transport, localized chemistry, biological activity, and meteorological conditions, and these results will be important for interpretations of oxyanions in ice core records in the interior of Antarctica.</t>
  </si>
  <si>
    <t>[Walters, Wendell W.] Brown Univ, Dept Earth Environm &amp; Planetary Sci, Providence, RI 02912 USA; [Walters, Wendell W.] Brown Univ, Inst Brown Environm &amp; Soc, Providence, RI 02912 USA; [Michalski, Greg] Purdue Univ, Dept Earth Atmospher &amp; Planetary Sci, W Lafayette, IN 47907 USA; [Michalski, Greg] Purdue Univ, Dept Chem, W Lafayette, IN 47907 USA; [Bohlkes, J. K.] US Geol Survey, 959 Natl Ctr, Reston, VA 22092 USA; [Alexander, Becky] Univ Washington, Dept Atmospher Sci, Seattle, WA 98195 USA; [Savarino, Joel] Univ Grenoble Alpes, CNRS, IRD, Grenoble INP,IGE, Grenoble, France; [Thiemens, Mark H.] Univ Calif San Diego, Dept Chem &amp; Biogeochem, San Diego, CA 92103 USA</t>
  </si>
  <si>
    <t>Brown University; Brown University; Purdue University System; Purdue University; Purdue University System; Purdue University; United States Department of the Interior; United States Geological Survey; University of Washington; University of Washington Seattle; Centre National de la Recherche Scientifique (CNRS); Communaute Universite Grenoble Alpes; Universite Grenoble Alpes (UGA); Institut de Recherche pour le Developpement (IRD); Institut National Polytechnique de Grenoble; University of California System; University of California San Diego</t>
  </si>
  <si>
    <t>Walters, WW (corresponding author), Brown Univ, Dept Earth Environm &amp; Planetary Sci, Providence, RI 02912 USA.;Walters, WW (corresponding author), Brown Univ, Inst Brown Environm &amp; Soc, Providence, RI 02912 USA.;Michalski, G (corresponding author), Purdue Univ, Dept Earth Atmospher &amp; Planetary Sci, W Lafayette, IN 47907 USA.;Michalski, G (corresponding author), Purdue Univ, Dept Chem, W Lafayette, IN 47907 USA.</t>
  </si>
  <si>
    <t>wendell_walters@brown.edu; gmichals@purdue.edu</t>
  </si>
  <si>
    <t>Alexander, Becky/N-7048-2013; savarino, joel/H-9730-2012</t>
  </si>
  <si>
    <t>Alexander, Becky/0000-0001-9915-4621; Michalski, Greg/0000-0003-4032-3931; Walters, Wendell/0000-0001-6346-9840; savarino, joel/0000-0002-6708-9623; Bohlke, John Karl/0000-0001-5693-6455</t>
  </si>
  <si>
    <t>Atmospheric and Geospace Sciences National Science Foundation [1624618]; Purdue Climate Change Research Center; Div Atmospheric &amp; Geospace Sciences; Directorate For Geosciences [1624618] Funding Source: National Science Foundation</t>
  </si>
  <si>
    <t>Atmospheric and Geospace Sciences National Science Foundation; Purdue Climate Change Research Center; Div Atmospheric &amp; Geospace Sciences; Directorate For Geosciences(National Science Foundation (NSF)NSF - Directorate for Geosciences (GEO))</t>
  </si>
  <si>
    <t>W. W. W. acknowledges support from an Atmospheric and Geospace Sciences National Science Foundation Postdoctoral Fellow (Grant 1624618). We acknowledge support from the Purdue Climate Change Research Center. The authors declare no financial conflicts of interest. We thank the South Pole Observatory and the National Oceanic and Atmospheric Administration Earth System Research Laboratory Global Monitoring Division for access to ancillary meteorology and ozone data. The authors thank three anonymous reviewers and Lucy Rose for their helpful suggestions that significantly improved the manuscript. Any use of trade, firm, or product names in this paper is for descriptive purposes only and does not imply endorsement by the U.S. Government. Data presented in this manuscript are available within the text (Tables 2 and 3).</t>
  </si>
  <si>
    <t>2169-897X</t>
  </si>
  <si>
    <t>JUL 27</t>
  </si>
  <si>
    <t>10.1029/2019JD030517</t>
  </si>
  <si>
    <t>IR5AA</t>
  </si>
  <si>
    <t>WOS:000481444200040</t>
  </si>
  <si>
    <t>Mahajan, AS; Tinel, L; Sarkar, A; Chance, R; Carpenter, LJ; Hulswar, S; Mali, P; Prakash, S; Vinayachandran, PN</t>
  </si>
  <si>
    <t>Mahajan, Anoop S.; Tinel, Liselotte; Sarkar, Amit; Chance, Rosie; Carpenter, Lucy J.; Hulswar, Shrivardhan; Mali, Prithviraj; Prakash, Satya; Vinayachandran, P. N.</t>
  </si>
  <si>
    <t>Understanding Iodine Chemistry Over the Northern and Equatorial Indian Ocean</t>
  </si>
  <si>
    <t>halogens; marine boundary layer; ozone; iodine flux</t>
  </si>
  <si>
    <t>ABSORPTION CROSS-SECTIONS; MARINE BOUNDARY-LAYER; SEA-SURFACE; ATMOSPHERIC IODINE; TROPOSPHERIC NO2; RAMAN-SCATTERING; MIXED-LAYER; MONOXIDE; OZONE; EMISSIONS</t>
  </si>
  <si>
    <t>Observations of halogen oxides, ozone, meteorological parameters, and physical and biogeochemical water column measurements were made in the Indian Ocean and its marine boundary layer as a part of the Second International Indian Ocean Expedition (IIOE-2). The expedition took place on board the oceanographic research vessel Sagar Nidhi during 4-22 December 2015 from Goa, India, to Port Louis, Mauritius. Observations of mixed layer depth, averaged temperature, salinity, and nitrate concentrations were used to calculate predicted iodide concentrations in the seawater. The inorganic iodine ocean-atmosphere flux (hypoiodous acid [HOI] and molecular iodine [I-2]) was computed using the predicted iodide concentrations, measured atmospheric ozone, and wind speed. Iodine oxide (IO) mixing ratios peaked at 0.47 +/- 0.29 pptv (parts per trillion by volume) in the remote open ocean environment. The estimated iodide concentrations and HOI and I-2 fluxes peaked at 200/500 nM, 410/680 nmol.m(-2).day(-1), and 20/80 nmol.m(-2).day(-1), respectively, depending on the parameterization used. The calculated fluxes for HOI and I-2 were higher closer to the Indian subcontinent; however, atmospheric IO was only observed above the detection limit in the remote open ocean environment. We use NO2 observations to show that titration of IO by NO2 is the main reason for this result. These observations show that inorganic iodine fluxes and atmospheric IO show similar trends in the Indian Ocean marine boundary layer, but the impact of inorganic iodine emissions on iodine chemistry is buffered in elevated NOx environments, even though the estimated oceanic iodine fluxes are higher.</t>
  </si>
  <si>
    <t>[Mahajan, Anoop S.; Mali, Prithviraj] Indian Inst Trop Meteorol, Ctr Climate Change Res, Pune, Maharashtra, India; [Tinel, Liselotte; Chance, Rosie; Carpenter, Lucy J.] Univ York, Dept Chem, Wolfson Atmospher Chem Labs, York, N Yorkshire, England; [Sarkar, Amit] Natl Ctr Antarctic &amp; Ocean Res, Vasco Da Gama, Goa, India; [Hulswar, Shrivardhan] Goa Univ, Dept Marine Sci, Taleigao, Goa, India; [Prakash, Satya] Indian Natl Ctr Ocean Informat Serv, Hyderabad, India; [Vinayachandran, P. N.] Indian Inst Sci, Bangalore, Karnataka, India</t>
  </si>
  <si>
    <t>Ministry of Earth Sciences (MoES) - India; Indian Institute of Tropical Meteorology (IITM); Centre for Climate Change Research - India; University of York - UK; Ministry of Earth Sciences (MoES) - India; National Centre for Polar and Ocean Research (NCPOR); Goa University; Ministry of Earth Sciences (MoES) - India; Indian National Centre for Ocean Information Services (INCOIS); Indian Institute of Science (IISC) - Bangalore</t>
  </si>
  <si>
    <t>Mahajan, AS (corresponding author), Indian Inst Trop Meteorol, Ctr Climate Change Res, Pune, Maharashtra, India.</t>
  </si>
  <si>
    <t>anoop@tropmet.res.in</t>
  </si>
  <si>
    <t>Prakash, Satya/HNS-9397-2023; Carpenter, Laura/JPY-0437-2023; Tinel, Liselotte/ABE-1893-2021; Hulswar, Shrivardhan/GMW-4749-2022; Carpenter, Lucy J/E-6742-2013; Mahajan, Anoop/D-2714-2012; Tinel, Liselotte/I-8755-2018</t>
  </si>
  <si>
    <t>Hulswar, Shrivardhan/0000-0002-1346-9823; Mali, Prithviraj/0000-0002-6180-450X; Mahajan, Anoop/0000-0002-2909-5432; Carpenter, Lucy/0000-0002-6257-3950; Chance, Rosie/0000-0002-5906-176X; Tinel, Liselotte/0000-0003-1742-2755</t>
  </si>
  <si>
    <t>Ministry of Earth Sciences, Government of India; ESSO-INCOIS; HOOFS program of INCOIS; UK Natural Environment Research Council (NERC) [NE/N009983/1]; NERC [NE/R017026/1] Funding Source: UKRI</t>
  </si>
  <si>
    <t>Ministry of Earth Sciences, Government of India(Ministry of Earth Science (MoES), Government of India); ESSO-INCOIS; HOOFS program of INCOIS; UK Natural Environment Research Council (NERC)(UK Research &amp; Innovation (UKRI)Natural Environment Research Council (NERC)); NERC(UK Research &amp; Innovation (UKRI)Natural Environment Research Council (NERC))</t>
  </si>
  <si>
    <t>IITM and NCAOR are funded by the Ministry of Earth Sciences, Government of India. The first IIOE-2 expedition was supported by ESSO-INCOIS. We thank the Captain, staff, and crew of ORV Sagar Nidhi for their cooperation and support. P. N. V. acknowledges partial support from the HOOFS program of INCOIS. LT, RC and LJC thank the UK Natural Environment Research Council (NERC) for funding (Grant no. NE/N009983/1). All the data used are listed in the references or archived in the ResearchGate repository (https://www.researchgate.net/profile/Anoop_Mahajan/publication/325415099_This_data_is_all_a_part_of_the_a_publication_on_Understanding_iodine_chemistry_during_the_2nd_International_Indian_Ocean_ Expedition_IIOE-2/data/5b0ce1630f7e9b1ed7fbcd51/data.rar).</t>
  </si>
  <si>
    <t>10.1029/2018JD029063</t>
  </si>
  <si>
    <t>WOS:000481444200037</t>
  </si>
  <si>
    <t>Folgueira, A; Simonelli, G; Plano, S; Tortello, C; Cuiuli, JM; Blanchard, A; Patagua, A; Brager, AJ; Capaldi, VF; Aubert, AE; Barbarito, M; Golombek, DA; Vigo, DE</t>
  </si>
  <si>
    <t>Folgueira, Agustin; Simonelli, Guido; Plano, Santiago; Tortello, Camila; Cuiuli, Juan Manuel; Blanchard, Abel; Patagua, Alejandro; Brager, Allison J.; Capaldi, Vincent F.; Aubert, Andre E.; Barbarito, Marta; Golombek, Diego A.; Vigo, Daniel E.</t>
  </si>
  <si>
    <t>Sleep, napping and alertness during an overwintering mission at Belgrano II Argentine Antarctic station</t>
  </si>
  <si>
    <t>SIMULATED MISSION; CIRCADIAN-RHYTHM; PERFORMANCE; LIGHT; ACTIGRAPHY; VALIDITY; NAP</t>
  </si>
  <si>
    <t>During Antarctic isolation personnel are exposed to extreme photoperiods. A frequent observation is a sleep onset phase delay during winter. It is not known if, as a result, daytime sleeping in the form of naps increases. We sought to assess sleep patterns - with focus on daytime sleeping - and alertness in a Latin American crew overwintering in Argentine Antarctic station Belgrano II. Measurements were collected in 13 males during March, May, July, September and November, and included actigraphy and psychomotor vigilance tasks. Sleep duration significantly decreased during winter. A total of eight participants took at least one weekly nap across all measurement points. During winter, the nap onset was delayed, its duration increased and its efficiency improved. We observed a significant effect of seasonality in the association of evening alertness with sleep onset. Our results replicate previous findings regarding sleep during overwintering in Antarctica, adding the description of the role of napping and the report of a possible modulatory effect of seasonality in the relation between sleep and alertness. Napping should be considered as an important factor in the scheduling of activities of multicultural crews that participate in Antarctica.</t>
  </si>
  <si>
    <t>[Folgueira, Agustin; Simonelli, Guido] Argentine Army, Neurol Dept, Cent Mil Hosp, Buenos Aires, DF, Argentina; [Brager, Allison J.; Capaldi, Vincent F.] Walter Reed Army Inst Res, Behav Biol Branch, Silver Spring, MD USA; [Cuiuli, Juan Manuel; Blanchard, Abel; Patagua, Alejandro] Argentine Joint Antarctic Command, Buenos Aires, DF, Argentina; [Plano, Santiago; Tortello, Camila; Golombek, Diego A.] Natl Univ Quilmes UNQ, Chronobiol Lab, Bernal, Buenos Aires, Argentina; [Folgueira, Agustin; Plano, Santiago; Tortello, Camila; Golombek, Diego A.; Vigo, Daniel E.] Natl Sci &amp; Tech Res Council CONICET, Buenos Aires, DF, Argentina; [Barbarito, Marta] Argentine Antarctic Inst, Buenos Aires, DF, Argentina; [Aubert, Andre E.; Vigo, Daniel E.] Katholieke Univ Leuven, Fac Psychol &amp; Educ Sci, Leuven, Belgium; [Folgueira, Agustin; Plano, Santiago; Tortello, Camila; Vigo, Daniel E.] Catholic Univ Argentina UCA, Inst Biomed Res BIOMED, Chronophysiol Lab, Buenos Aires, DF, Argentina</t>
  </si>
  <si>
    <t>University of Buenos Aires; United States Department of Defense; United States Army; Walter Reed Army Institute of Research (WRAIR); Centro Nacional Patagonico (CENPAT); Consejo Nacional de Investigaciones Cientificas y Tecnicas (CONICET); KU Leuven; Pontificia Universidad Catolica Argentina</t>
  </si>
  <si>
    <t>Golombek, DA (corresponding author), Natl Univ Quilmes UNQ, Chronobiol Lab, Bernal, Buenos Aires, Argentina.;Golombek, DA; Vigo, DE (corresponding author), Natl Sci &amp; Tech Res Council CONICET, Buenos Aires, DF, Argentina.;Vigo, DE (corresponding author), Katholieke Univ Leuven, Fac Psychol &amp; Educ Sci, Leuven, Belgium.;Vigo, DE (corresponding author), Catholic Univ Argentina UCA, Inst Biomed Res BIOMED, Chronophysiol Lab, Buenos Aires, DF, Argentina.</t>
  </si>
  <si>
    <t>dgolombek@unq.edu.ar; dvigo@conicet.gov.ar</t>
  </si>
  <si>
    <t>Vigo, Daniel Eduardo/0000-0003-2291-245X; Folgueira, Agustin/0000-0001-6053-6155</t>
  </si>
  <si>
    <t>Ministry of Defense grant PIDEFF 2014-2017 [06]; Agencia Nacional de Promocion Cientifica y Tecnica (ANPCyT) [PICTO 2017-0068]; National Academies of Science, Engineering, and Medicine</t>
  </si>
  <si>
    <t>Ministry of Defense grant PIDEFF 2014-2017; Agencia Nacional de Promocion Cientifica y Tecnica (ANPCyT)(ANPCyT); National Academies of Science, Engineering, and Medicine</t>
  </si>
  <si>
    <t>This work was supported by grants of Ministry of Defense grant PIDEFF 2014-2017 no 06 and Agencia Nacional de Promocion Cientifica y Tecnica (ANPCyT) grant PICTO 2017-0068. This manuscript was written while GS held an NRC fellowship from the National Academies of Science, Engineering, and Medicine. We are grateful for the cooperation of Belgrano II Antarctic station crewmembers. We also thank Javier De Gaudenzi for his help in the artwork.</t>
  </si>
  <si>
    <t>JUL 26</t>
  </si>
  <si>
    <t>10.1038/s41598-019-46900-7</t>
  </si>
  <si>
    <t>IM0SD</t>
  </si>
  <si>
    <t>WOS:000477698600033</t>
  </si>
  <si>
    <t>Edgar, GJ; Ward, TJ; Stuart-Smith, RD</t>
  </si>
  <si>
    <t>Edgar, Graham J.; Ward, Trevor J.; Stuart-Smith, Rick D.</t>
  </si>
  <si>
    <t>Weaknesses in stock assessment modelling and management practices affect fisheries sustainability</t>
  </si>
  <si>
    <t>AQUATIC CONSERVATION-MARINE AND FRESHWATER ECOSYSTEMS</t>
  </si>
  <si>
    <t>fisheries management; fisheries stock assessment; jackass morwong; marine protected area; marine reserve; overfishing; Reef Life Survey; reef monitoring; resilience; stock status</t>
  </si>
  <si>
    <t>MARINE PROTECTED AREAS; CONSERVATION</t>
  </si>
  <si>
    <t>We respond to criticism of our earlier paper where we report Australia-wide declines in fisheries catches that parallel the declining trends in fish populations observed underwater, and we highlight concerns about the low levels of precaution applied when regulating fisheries catches using the avoidance of recruitment failure approach. Most fished species worldwide lack the data needed for accurate stock status assessments, and consequently exploitation of these species should be managed with high precaution. For the relatively few species and stocks with individually modelled assessments, the errors associated with model output are extremely large as a result of the multiplicity of confounding factors (including effects of changing climate, technological advances that increase catch efficiency, fisher behaviour, interactions with other species, and changes in habitat quality), and the compounding of error introduced by subjective assumptions in multiple parameter estimates. The magnitude of this assessment uncertainty appears to be rarely recognized and incorporated into management decisions. Given the difficulties in accurately predicting and managing fishing impacts, including species interactions across space and time, a well-designed set of no-take marine reserves is critically needed. Although not a universal panacea, an effective global network of marine reserves arguably represents the most efficient and publicly acceptable next step - in addition to greenhouse gas reduction - towards solving the unfolding global dilemma confronting fish populations and ocean ecosystems.</t>
  </si>
  <si>
    <t>[Edgar, Graham J.; Stuart-Smith, Rick D.] Univ Tasmania, Inst Marine &amp; Antarctic Studies, Hobart, Tas 7001, Australia; [Ward, Trevor J.] Univ Technol Sydney, Sch Life Sci, Sydney, NSW, Australia</t>
  </si>
  <si>
    <t>University of Tasmania; University of Technology Sydney</t>
  </si>
  <si>
    <t>Edgar, GJ (corresponding author), Univ Tasmania, Inst Marine &amp; Antarctic Studies, Hobart, Tas 7001, Australia.</t>
  </si>
  <si>
    <t>g.edgar@utas.edu.au</t>
  </si>
  <si>
    <t>Edgar, Graham/AAY-3797-2020; Stuart-Smith, Rick/I-5214-2019</t>
  </si>
  <si>
    <t>Edgar, Graham/0000-0003-0833-9001; Stuart-Smith, Rick/0000-0002-8874-0083</t>
  </si>
  <si>
    <t>1052-7613</t>
  </si>
  <si>
    <t>1099-0755</t>
  </si>
  <si>
    <t>AQUAT CONSERV</t>
  </si>
  <si>
    <t>Aquat. Conserv.-Mar. Freshw. Ecosyst.</t>
  </si>
  <si>
    <t>10.1002/aqc.3161</t>
  </si>
  <si>
    <t>Environmental Sciences; Marine &amp; Freshwater Biology; Water Resources</t>
  </si>
  <si>
    <t>Environmental Sciences &amp; Ecology; Marine &amp; Freshwater Biology; Water Resources</t>
  </si>
  <si>
    <t>JN2ZO</t>
  </si>
  <si>
    <t>WOS:000479712300001</t>
  </si>
  <si>
    <t>Gutjahr, O; Putrasahan, D; Lohmann, K; Jungclaus, JH; von Storch, JS; Brüggemann, N; Haak, H; Stössel, A</t>
  </si>
  <si>
    <t>Gutjahr, Oliver; Putrasahan, Dian; Lohmann, Katja; Jungclaus, Johann H.; von Storch, Jin-Song; Brueggemann, Nils; Haak, Helmuth; Stossel, Achim</t>
  </si>
  <si>
    <t>Max Planck Institute Earth System Model (MPI-ESM1.2) for the High-Resolution Model Intercomparison Project (HighResMIP)</t>
  </si>
  <si>
    <t>MERIDIONAL OVERTURNING CIRCULATION; ANTARCTIC CIRCUMPOLAR CURRENT; WESTERN BOUNDARY CURRENTS; SOUTHERN-OCEAN; SEA-ICE; MIXED-LAYER; AGULHAS LEAKAGE; DEEP CONVECTION; NORTH-ATLANTIC; IRMINGER SEA</t>
  </si>
  <si>
    <t>As a contribution towards improving the climate mean state of the atmosphere and the ocean in Earth system models (ESMs), we compare several coupled simulations conducted with the Max Planck Institute for Meteorology Earth System Model (MPI-ESM1.2) following the High-ResMIP protocol. Our simulations allow to analyse the separate effects of increasing the horizontal resolution of the ocean (0.4 to 0.1 degrees) and atmosphere (T127 to T255) submodels, and the effects of substituting the Pacanowski and Philander (PP) vertical ocean mixing scheme with the K-profile parameterization (KPP). The results show clearly distinguishable effects from all three factors. The high resolution in the ocean removes biases in the ocean interior and in the atmosphere. This leads to the important conclusion that a high-resolution ocean has a major impact on the mean state of the ocean and the atmosphere. The T255 atmosphere reduces the surface wind stress and improves ocean mixed layer depths in both hemispheres. The reduced wind forcing, in turn, slows the Antarctic Circumpolar Current (ACC), reducing it to observed values. In the North Atlantic, however, the reduced surface wind causes a weakening of the subpolar gyre and thus a slowing down of the Atlantic meridional overturning circulation (AMOC), when the PP scheme is used. The KPP scheme, on the other hand, causes stronger open-ocean convection which spins up the subpolar gyres, ultimately leading to a stronger and stable AMOC, even when coupled to the T255 atmosphere, thus retaining all the positive effects of a higher-resolved atmosphere.</t>
  </si>
  <si>
    <t>[Gutjahr, Oliver; Putrasahan, Dian; Lohmann, Katja; Jungclaus, Johann H.; von Storch, Jin-Song; Brueggemann, Nils; Haak, Helmuth] Max Planck Inst Meteorol, Ocean Earth Syst, Hamburg, Germany; [Brueggemann, Nils] Univ Hamburg, Inst Meereskunde, Hamburg, Germany; [Stossel, Achim] Texas A&amp;M Univ, Dept Oceanog, College Stn, TX 77843 USA</t>
  </si>
  <si>
    <t>Max Planck Society; University of Hamburg; Texas A&amp;M University System; Texas A&amp;M University College Station</t>
  </si>
  <si>
    <t>Gutjahr, O (corresponding author), Max Planck Inst Meteorol, Ocean Earth Syst, Hamburg, Germany.</t>
  </si>
  <si>
    <t>oliver.gutjahr@mpimet.mpg.de</t>
  </si>
  <si>
    <t>Atmosphere and Ocean, Collaborative Research Center TRR 181- Energy Transfers in/AAY-2721-2020</t>
  </si>
  <si>
    <t>Gutjahr, Oliver/0000-0002-3116-8071; Bruggemann, Nils/0000-0002-9052-6828</t>
  </si>
  <si>
    <t>EU Horizon 2020 (PRIMAVERA) [641727]; Deutsche Forschungsgemeinschaft [274762653 (TRR181)]; Bundesministerium fur Bildung, Wissenschaft, Forschung und Technologie [FKZ 03F0729D]</t>
  </si>
  <si>
    <t>EU Horizon 2020 (PRIMAVERA); Deutsche Forschungsgemeinschaft(German Research Foundation (DFG)); Bundesministerium fur Bildung, Wissenschaft, Forschung und Technologie(Federal Ministry of Education &amp; Research (BMBF))</t>
  </si>
  <si>
    <t>This research has been supported by the EU Horizon 2020 (PRIMAVERA (grant no. 641727)), the Deutsche Forschungsgemeinschaft (project no. 274762653 (TRR181)), and the Bundesministerium fur Bildung, Wissenschaft, Forschung und Technologie (grant no. FKZ 03F0729D).</t>
  </si>
  <si>
    <t>JUL 25</t>
  </si>
  <si>
    <t>10.5194/gmd-12-3241-2019</t>
  </si>
  <si>
    <t>IL1SB</t>
  </si>
  <si>
    <t>WOS:000477081100003</t>
  </si>
  <si>
    <t>Sansón, LZ</t>
  </si>
  <si>
    <t>Zavala Sanson, Luis</t>
  </si>
  <si>
    <t>Nonlinear and time-dependent equivalent-barotropic flows</t>
  </si>
  <si>
    <t>JOURNAL OF FLUID MECHANICS</t>
  </si>
  <si>
    <t>ocean circulation; shallow water flows; vortex dynamics</t>
  </si>
  <si>
    <t>ANTARCTIC CIRCUMPOLAR CURRENT; ROTATING FLOW; VORTICES; EVOLUTION; CIRCULATION</t>
  </si>
  <si>
    <t>Some oceanic and atmospheric flows may be modelled as equivalent-barotropic systems, in which the horizontal fluid velocity varies in magnitude at different vertical levels while keeping the same direction. The governing equations at a specific level are identical to those of a homogeneous flow over an equivalent depth, determined by a pre-defined vertical structure. The idea was proposed by Charney (J. Met., vol. 6 (6), 1949, pp. 371-385) for modelling a barotropic atmosphere. More recently, steady, linear formulations have been used to study oceanic flows. In this paper, the nonlinear, time-dependent model with variable topography is examined. To include nonlinear terms, we assume suitable approximations and evaluate the associated error in the dynamical vorticity equation. The model is solved numerically to investigate the equivalent-barotropic dynamics in comparison with a purely barotropic flow. We consider three problems in which the behaviour of homogeneous flows has been well established either experimentally, analytically or observationally in past studies. First, the nonlinear evolution of cyclonic vortices around a topographic seamount is examined. It is found that the vortex drift induced by the mountain is modified according to the vertical structure of the flow. When the vertical structure is abrupt, the model effectively isolates the surface flow from both inviscid and viscous topographic effects (due to the shape of the bottom and Ekman friction, respectively). Second, the wind-driven flow in a closed basin with variable topography is studied (for a flat bottom this is the well-known Stommel problem). For a zonally uniform, negative wind-stress curl in the homogeneous case, a large-scale, anticyclonic gyre is formed and displaced southward due to topographic effects at the western slope of the basin. The flow reaches a steady state due to the balance between topographic, wind-stress and bottom friction effects. However, in the equivalent-barotropic simulations with abrupt vertical structure, such an equilibrium cannot be reached because the forcing effects at the surface are enhanced, while bottom friction effects are reduced. As a result, the unsteady flow is decomposed as a set of planetary waves. A third problem consists of performing simulations of the wind-driven flow over realistic bottom topography in the Gulf of Mexico. The formation of the so-called Campeche gyre is explored. It is found that such circulation may be consistent with the equivalent-barotropic dynamics.</t>
  </si>
  <si>
    <t>[Zavala Sanson, Luis] CICESE, Dept Oceanog Fis, Carretera Ensenada Tijuana 3918, Ensenada 22860, Baja California, Mexico</t>
  </si>
  <si>
    <t>CICESE - Centro de Investigacion Cientifica y de Educacion Superior de Ensenada</t>
  </si>
  <si>
    <t>Sansón, LZ (corresponding author), CICESE, Dept Oceanog Fis, Carretera Ensenada Tijuana 3918, Ensenada 22860, Baja California, Mexico.</t>
  </si>
  <si>
    <t>lzavala@cicese.mx</t>
  </si>
  <si>
    <t>Zavala Sansón, Luis/AHC-8438-2022</t>
  </si>
  <si>
    <t>Zavala Sansón, Luis/0000-0002-0419-5445</t>
  </si>
  <si>
    <t>0022-1120</t>
  </si>
  <si>
    <t>1469-7645</t>
  </si>
  <si>
    <t>J FLUID MECH</t>
  </si>
  <si>
    <t>J. Fluid Mech.</t>
  </si>
  <si>
    <t>10.1017/jfm.2019.354</t>
  </si>
  <si>
    <t>Mechanics; Physics, Fluids &amp; Plasmas</t>
  </si>
  <si>
    <t>Mechanics; Physics</t>
  </si>
  <si>
    <t>IA3EJ</t>
  </si>
  <si>
    <t>WOS:000469445800001</t>
  </si>
  <si>
    <t>Perry, FA; Atkinson, A; Sailley, SF; Tarling, GA; Hill, SL; Lucas, CH; Mayor, DJ</t>
  </si>
  <si>
    <t>Perry, Frances A.; Atkinson, Angus; Sailley, Sevrine F.; Tarling, Geraint A.; Hill, Simeon L.; Lucas, Cathy H.; Mayor, Daniel J.</t>
  </si>
  <si>
    <t>Habitat partitioning in Antarctic krill: Spawning hotspots and nursery areas</t>
  </si>
  <si>
    <t>EUPHAUSIA-SUPERBA DANA; LARGE-SCALE DISTRIBUTION; SOUTHERN-OCEAN; SCOTIA SEA; BRANSFIELD STRAIT; MARINE ECOSYSTEM; PACK-ICE; ABUNDANCE; WEST; WINTER</t>
  </si>
  <si>
    <t>Antarctic krill, Euphausia superba, have a circumpolar distribution but are concentrated within the south-west Atlantic sector, where they support a unique food web and a commercial fishery. Within this sector, our first goal was to produce quantitative distribution maps of all six ontogenetic life stages of krill (eggs, nauplii plus metanauplii, calyptopes, furcilia, juveniles, and adults), based on a compilation of all available post 1970s data. Using these maps, we then examined firstly whether hotspots of egg production and early stage nursery occurred, and secondly whether the available habitat was partitioned between the successive life stages during the austral summer and autumn, when krill densities can be high. To address these questions, we compiled larval krill density records and extracted data spanning 41 years (1976-2016) from the existing KRILLBASE-abundance and KRILLBASE-length-frequency databases. Although adult males and females of spawning age were widely distributed, the distribution of eggs, nauplii and metanauplii indicates that spawning is most intense over the shelf and shelf slope. This contrasts with the distributions of calyptope and furcilia larvae, which were concentrated further offshore, mainly in the Southern Scotia Sea. Juveniles, however, were strongly concentrated over shelves along the Scotia Arc. Simple environmental analyses based on water depth and mean water temperature suggest that krill associate with different habitats over the course of their life cycle. From the early to late part of the austral season, juvenile distribution moves from ocean to shelf, opposite in direction to that for adults. Such habitat partitioning may reduce intraspecific competition for food, which has been suggested to occur when densities are exceptionally high during years of strong recruitment. It also prevents any potential cannibalism by adults on younger stages. Understanding the location of krill spawning and juvenile development in relation to potentially overlapping fishing activities is needed to protect the health of the south-west Atlantic sector ecosystem.</t>
  </si>
  <si>
    <t>[Perry, Frances A.; Atkinson, Angus; Sailley, Sevrine F.] Plymouth Marine Lab, Prospect Pl, Plymouth, Devon, England; [Tarling, Geraint A.; Hill, Simeon L.] British Antarctic Survey, Cambridge, England; [Lucas, Cathy H.] Univ Southampton, Natl Oceanog Ctr Southampton, Southampton, Hants, England; [Mayor, Daniel J.] Natl Oceanog Ctr Southampton, European Way, Southampton, Hants, England</t>
  </si>
  <si>
    <t>Plymouth Marine Laboratory; UK Research &amp; Innovation (UKRI); Natural Environment Research Council (NERC); NERC British Antarctic Survey; NERC National Oceanography Centre; University of Southampton; NERC National Oceanography Centre; University of Southampton</t>
  </si>
  <si>
    <t>Atkinson, A (corresponding author), Plymouth Marine Lab, Prospect Pl, Plymouth, Devon, England.</t>
  </si>
  <si>
    <t>aat@pml.ac.uk</t>
  </si>
  <si>
    <t>Mayor, Daniel/HDN-8520-2022; Atkinson, Angus/HOH-3417-2023; Simeon, Hill L/B-2307-2008</t>
  </si>
  <si>
    <t>Mayor, Daniel/0000-0002-1295-0041; Perry, Frances/0000-0003-1560-1506; Hill, Simeon/0000-0003-1441-8769</t>
  </si>
  <si>
    <t>Natural Environment Research Council (NERC) [NE/L002531/1]; World Wildlife Fund; NERC National Capability in Modelling Programme [NE/L003066/1]; NERC Marine Ecosystems Research Project [NE/L003066/1]; NERC [NE/M020835/1, NE/P0063513/1]; Ecosystems Programme at the British Antarctic Survey; NERC [NE/L003279/1, NE/R015953/1, bas0100035, pml010010, noc010009, pml010006, pml010004] Funding Source: UKRI</t>
  </si>
  <si>
    <t>Natural Environment Research Council (NERC)(UK Research &amp; Innovation (UKRI)Natural Environment Research Council (NERC)); World Wildlife Fund; NERC National Capability in Modelling Programme; NERC Marine Ecosystems Research Project; NERC(UK Research &amp; Innovation (UKRI)Natural Environment Research Council (NERC)); Ecosystems Programme at the British Antarctic Survey; NERC(UK Research &amp; Innovation (UKRI)Natural Environment Research Council (NERC))</t>
  </si>
  <si>
    <t>This work was supported by the Natural Environment Research Council (NERC) (grant number NE/L002531/1) to FAP. The World Wildlife Fund supported the compilation of the larval database and the input of AA and SLH to this study. Funding from NERC National Capability in Modelling Programme and the Marine Ecosystems Research Project (NE/L003066/1) supported input from SFS. NERC programmes COMICS (NE/M020835/1) and DIAPOD (NE/P0063513/1) and NERC National Capability funding supported input from DJM. GAT was funded by the Ecosystems Programme at the British Antarctic Survey.</t>
  </si>
  <si>
    <t>JUL 24</t>
  </si>
  <si>
    <t>e0219325</t>
  </si>
  <si>
    <t>10.1371/journal.pone.0219325</t>
  </si>
  <si>
    <t>IS7NE</t>
  </si>
  <si>
    <t>WOS:000482335700023</t>
  </si>
  <si>
    <t>Kan, GF; Ju, Y; Zhou, Y; Shi, CJ; Qiao, YP; Yang, Y; Wang, RQ; Wang, XF</t>
  </si>
  <si>
    <t>Kan, Guangfeng; Ju, Yun; Zhou, Ying; Shi, Cuijuan; Qiao, Yongping; Yang, Yu; Wang, Ruiqi; Wang, Xiaofei</t>
  </si>
  <si>
    <t>Cloning and functional characterization of a novel metallothionein gene in Antarctic sea-ice yeast (Rhodotorula mucilaginosa)</t>
  </si>
  <si>
    <t>functional analysis; heavy metal; metallothionein; polar yeast</t>
  </si>
  <si>
    <t>HETEROLOGOUS EXPRESSION; MOLECULAR-CLONING; OXIDATIVE STRESS; METAL TOLERANCE; HEAVY-METALS; COPPER; ANTIOXIDANT; FAMILY; MECHANISMS; RESPONSES</t>
  </si>
  <si>
    <t>Metallothionein (MT) is a low-molecular-weight protein with a high metal binding capacity and plays a key role in organism adaptation to heavy metals. In this study, a metallothionein gene was successfully cloned and sequenced from Antarctic sea-ice yeast Rhodotorula mucilaginosa AN5. Nucleotide sequencing and analysis revealed that the gene had four exons interrupted by three introns. MTs complementary DNA (named as RmMT) had an open reading frame of 321 bp encoding a 106 amino acid protein with a predicted molecular weight of 10.3 kDa and pI of 8.49. The number of amino acids and distribution of cysteine residues indicated that RmMT was a novel family of fungal MTs. Quantitative real-time polymerase chain reaction analysis showed that RmMT expression was elevated under copper-induced stress. The RmMT gene was transferred into E. coli and the RmMT expressing bacteria showed improved tolerance to copper ion and increased accumulation of heavy metals, such as Cu2+, Pb2+, Zn2+, Cd2+, and Ag+. Moreover, in vitro studies, purified recombinant RmMT demonstrated that it could be used as a good scavenger of superoxide anion, hydroxyl, and 1,1-Diphenyl-2-picrylhydrazyl (DPPH) radicals. In summary, these results demonstrate that RmMT plays a key role in the tolerance and bioaccumulation of heavy metals.</t>
  </si>
  <si>
    <t>[Kan, Guangfeng; Ju, Yun; Zhou, Ying; Shi, Cuijuan; Yang, Yu; Wang, Ruiqi; Wang, Xiaofei] Harbin Inst Technol Weihai, Sch Marine Sci &amp; Technol, Weihai 264209, Peoples R China; [Qiao, Yongping] Wendeng Osteopath Hosp, Dept Traumatol, Wendeng, Peoples R China</t>
  </si>
  <si>
    <t>Harbin Institute of Technology</t>
  </si>
  <si>
    <t>Wang, XF (corresponding author), Harbin Inst Technol Weihai, Sch Marine Sci &amp; Technol, Weihai 264209, Peoples R China.</t>
  </si>
  <si>
    <t>14B925018@hit.edu.cn</t>
  </si>
  <si>
    <t>kan, Guangfeng/0000-0002-5357-7204</t>
  </si>
  <si>
    <t>Science and Technology Project of Weihai [WH20140209]; Key Technologies R &amp; D Program of Shandong [2016ZDJQ0206]; Natural Scientific Research Innovation Foundation in Harbin Institute of Technology [HIT.IBRSEM.2013037, HIT.NSRIF.2016085]</t>
  </si>
  <si>
    <t>Science and Technology Project of Weihai; Key Technologies R &amp; D Program of Shandong; Natural Scientific Research Innovation Foundation in Harbin Institute of Technology(Harbin Institute of Technology)</t>
  </si>
  <si>
    <t>Science and Technology Project of Weihai, Grant/Award Number: WH20140209; Key Technologies R &amp; D Program of Shandong, Grant/Award Number: 2016ZDJQ0206; Natural Scientific Research Innovation Foundation in Harbin Institute of Technology, Grant/Award Numbers: HIT.IBRSEM.2013037, HIT.NSRIF.2016085</t>
  </si>
  <si>
    <t>10.1002/jobm.201900240</t>
  </si>
  <si>
    <t>IU8AQ</t>
  </si>
  <si>
    <t>WOS:000479645000001</t>
  </si>
  <si>
    <t>Orte, PF; Wolfram, E; Salyador, J; Mizuno, A; Bègue, N; Bencherif, H; Bali, JL; D'Elia, R; Pazmiño, A; Godin-Beekmann, S; Ohyama, H; Quiroga, J</t>
  </si>
  <si>
    <t>Orte, Pablo Facundo; Wolfram, Elian; Salyador, Jacobo; Mizuno, Akira; Begue, Nelson; Bencherif, Hassan; Lucas Bali, Juan; D'Elia, Raul; Pazmino, Andrea; Godin-Beekmann, Sophie; Ohyama, Hirofumi; Quiroga, Jonathan</t>
  </si>
  <si>
    <t>Analysis of a southern sub-polar short-term ozone variation event using a millimetre-wave radiometer</t>
  </si>
  <si>
    <t>ANNALES GEOPHYSICAE</t>
  </si>
  <si>
    <t>VERTICAL-DISTRIBUTION; STRATOSPHERIC AEROSOLS; SIS RECEIVER; PUNTA ARENAS; HOLE; TRENDS; TRANSPORT; 43.92-DEGREES-N; MESOSPHERE; SIMULATION</t>
  </si>
  <si>
    <t>Subpolar regions in the Southern Hemisphere are influenced by the Antarctic polar vortex during austral spring, which induces high and short-term ozone variability at different altitudes, mainly into the stratosphere. This variation may affect considerably the total ozone column changing the harmful UV radiation that reaches the surface. With the aim of studying ozone with a high time resolution at different altitudes in subpolar regions, a millimetre-wave radiometer (MWR) was installed at the Observatorio Atmosferico de la Patagonia Austral (OAPA), Rio Gallegos, Argentina (51.6 degrees S, 69.3 degrees W), in 2011. This instrument provides ozone profiles with a time resolution of similar to 1 h, which enables studies of short-term ozone mixing ratio variability from 25 to similar to 70 km in altitude. This work presents the MWR ozone observations between October 2014 and 2015, focusing on an atypical event of the polar vortex and Antarctic ozone hole influence over Rio Gallegos detected from the MWR measurements at 27 and 37 km during November of 2014. During the event, the MWR observations at both altitudes show a decrease in ozone followed by a local peak of ozone amount of the order of hours. This local recovery is observed thanks to the high time resolution of the MWR mentioned. The advected potential vorticity (APV) calculated from the MIMOSA high-resolution advection model (Modelisation Isentrope du transport Meso-echelle de l'Ozone Stratospherique par Advection) was also analysed at two isentropic levels (levels of constant potential temperature) of 675 and 950K (similar to 27 and similar to 37 km of altitude, respectively) to understand and explain the dynamics at both altitudes and correlate the ozone rapid recovery with the passage of a tongue with low PV values over Rio Gallegos. In addition, the MWR dataset was compared for the first time with measurements obtained from the Microwave Limb Sounder (MLS) at individual altitude levels (27, 37 and 65 km) and with the differential absorption lidar (DIAL) installed in the OAPA to analyse the correspondence between the MWR and independent instruments. The MWR-MLS comparison presents a reasonable correlation with mean bias errors of + 5 %, - 11% and - 7% at 27, 37 and 65 km, respectively. The MWR-DIAL comparison at 27 km also presents good agreement, with a mean bias error of - 1 %.</t>
  </si>
  <si>
    <t>[Orte, Pablo Facundo; Wolfram, Elian; Salyador, Jacobo; Lucas Bali, Juan; D'Elia, Raul; Quiroga, Jonathan] UNIDEF CITEDEF CONICET, UMI IFAECI CNRS 3351, Ctr Invest Laseres &amp; Aplicac, Buenos Aires, DF, Argentina; [Wolfram, Elian; Salyador, Jacobo; Lucas Bali, Juan; D'Elia, Raul] Univ Tecnolog Nacl, Fac Reg Buenos Aires, Buenos Aires, DF, Argentina; [Wolfram, Elian] Consejo Nacl Invest Cient &amp; Tecn, Buenos Aires, DF, Argentina; [Mizuno, Akira] Nagoya Univ, Inst Space Earth Environm Res, Chikusa Ku, Furo Cho, Nagoya, Aichi 4648601, Japan; [Begue, Nelson; Bencherif, Hassan] Univ La Reunion, UMR CNRS Univ Meteo 8105, Lab Atmosphere &amp; Cyclones, BP 7151, F-97715 St Denis, Reunion, France; [Pazmino, Andrea; Godin-Beekmann, Sophie] Univ Paris 06, Lab Atmosphere Milieux Observ Spatiales LATMOS, Univ Versailles St Quentin Yvelines, Inst Pierre Simon Laplace,CNRS, Paris, France; [Ohyama, Hirofumi] NIES, Tsukuba, Ibaraki, Japan; [Bencherif, Hassan] Univ KwaZulu Natal, Sch Chem &amp; Phys, Durban, South Africa</t>
  </si>
  <si>
    <t>Consejo Nacional de Investigaciones Cientificas y Tecnicas (CONICET); Nagoya University; University of La Reunion; Universite Paris Saclay; Sorbonne Universite; Universite Paris Cite; Centre National de la Recherche Scientifique (CNRS); CNRS - National Institute for Earth Sciences &amp; Astronomy (INSU); National Institute for Environmental Studies - Japan; University of Kwazulu Natal</t>
  </si>
  <si>
    <t>Orte, PF (corresponding author), UNIDEF CITEDEF CONICET, UMI IFAECI CNRS 3351, Ctr Invest Laseres &amp; Aplicac, Buenos Aires, DF, Argentina.</t>
  </si>
  <si>
    <t>porte@citedef.gob.ar</t>
  </si>
  <si>
    <t>Ohyama, Hirofumi/H-7333-2018; Matsumoto, Akira/HIR-9389-2022</t>
  </si>
  <si>
    <t>Ohyama, Hirofumi/0000-0003-2109-9874; Wolfram, Elian/0000-0001-6297-4327; Orte, Pablo Facundo/0000-0003-1826-3741; , Raul/0000-0002-8154-6114</t>
  </si>
  <si>
    <t>JICA; JST; French-Argentine ECOS-Sud [A16U01]; JSPS KAKENHI [JP 18KK0289]</t>
  </si>
  <si>
    <t>JICA; JST(Japan Science &amp; Technology Agency (JST)); French-Argentine ECOS-Sud; JSPS KAKENHI(Ministry of Education, Culture, Sports, Science and Technology, Japan (MEXT)Japan Society for the Promotion of ScienceGrants-in-Aid for Scientific Research (KAKENHI))</t>
  </si>
  <si>
    <t>This research has been supported by JICA and JST, the French-Argentine ECOS-Sud (A16U01 project), and JSPS KAKENHI (grant no. JP 18KK0289).</t>
  </si>
  <si>
    <t>0992-7689</t>
  </si>
  <si>
    <t>1432-0576</t>
  </si>
  <si>
    <t>ANN GEOPHYS-GERMANY</t>
  </si>
  <si>
    <t>Ann. Geophys.</t>
  </si>
  <si>
    <t>10.5194/angeo-37-613-2019</t>
  </si>
  <si>
    <t>Astronomy &amp; Astrophysics; Geosciences, Multidisciplinary; Meteorology &amp; Atmospheric Sciences</t>
  </si>
  <si>
    <t>Astronomy &amp; Astrophysics; Geology; Meteorology &amp; Atmospheric Sciences</t>
  </si>
  <si>
    <t>IK9CD</t>
  </si>
  <si>
    <t>Green Submitted, gold, Green Published</t>
  </si>
  <si>
    <t>WOS:000476891300001</t>
  </si>
  <si>
    <t>Lezcano, MA; Moreno-Paz, M; Carrizo, D; Prieto-Ballesteros, O; Fernández-Martínez, MA; Sánchez-García, L; Blanco, Y; Puente-Sánchez, F; de Diego-Castilla, G; García-Villadangos, M; Fairén, AG; Parro, V</t>
  </si>
  <si>
    <t>Angeles Lezcano, Maria; Moreno-Paz, Mercedes; Carrizo, Daniel; Prieto-Ballesteros, Olga; Angel Fernandez-Martinez, Miguel; Sanchez-Garcia, Laura; Blanco, Yolanda; Puente-Sanchez, Fernando; de Diego-Castilla, Graciela; Garcia-Villadangos, Miriam; Fairen, Alberto G.; Parro, Victor</t>
  </si>
  <si>
    <t>Biomarker Profiling of Microbial Mats in the Geothermal Band of Cerro Caliente, Deception Island (Antarctica): Life at the Edge of Heat and cold</t>
  </si>
  <si>
    <t>Deception Island; Cerro Caliente; Geothermal; Microbial mat structure; Microbial metabolism; Biomarker</t>
  </si>
  <si>
    <t>AUTOTROPHIC CARBON FIXATION; VOLCANO-ICE INTERACTIONS; SP-NOV.; GEN. NOV.; CO2 FIXATION; MARS; DIVERSITY; COMMUNITIES; TERRESTRIAL; TEMPERATURE</t>
  </si>
  <si>
    <t>Substrate-atmosphere interfaces in Antarctic geothermal environments are hot-cold regions that constitute thin habitable niches for microorganisms with possible counterparts in ancient Mars. Cerro Caliente hill in Deception Island (active volcano in the South Shetland Islands) is affected by ascending hydrothermal fluids that form a band of warm substrates buffered by low air temperatures. We investigated the influence of temperature on the community structure and metabolism of three microbial mats collected along the geothermal band of Cerro Caliente registering 88 degrees C, 8 degrees C, and 2 degrees C at the time of collection. High-throughput sequencing of small subunit ribosomal ribonucleic acid (SSU rRNA) genes and Life Detector Chip (LDChip) microarray immunoassays revealed different bacterial, archaeal, and eukaryotic composition in the three mats. The mat at 88 degrees C showed the less diverse microbial community and a higher proportion of thermophiles (e.g., Thermales). In contrast, microbial communities in the mats at 2 degrees C and 8 degrees C showed relatively higher diversity and higher proportion of psychrophiles (e.g., Flavobacteriales). Despite this overall association, similar microbial structures at the phylum level (particularly the presence of Cyanobacteria) and certain hot- and cold-tolerant microorganisms were identified in the three mats. Daily thermal oscillations recorded in the substrate over the year (4.5-76 degrees C) may explain the coexistence of microbial fingerprints with different thermal tolerances. Stable isotope composition also revealed metabolic differences among the microbial mats. Carbon isotopic ratios suggested the Calvin-Benson-Bassham cycle as the major pathway for carbon dioxide fixation in the mats at 2 degrees C and 8 degrees C, and the reductive tricarboxylic acid cycle and/or the 3-hydroxypropionate bicycle for the mat at 88 degrees C, indicating different metabolisms as a function of the prevailing temperature of each mat. The comprehensive biomarker profile on the three microbial mats from Cerro Caliente contributes to unravel the diversity, composition, and metabolism in geothermal polar sites and highlights the relevance of geothermal-cold environments to create habitable niches with interest in other planetary environments.</t>
  </si>
  <si>
    <t>[Angeles Lezcano, Maria; Moreno-Paz, Mercedes; Angel Fernandez-Martinez, Miguel; Sanchez-Garcia, Laura; Blanco, Yolanda; de Diego-Castilla, Graciela; Garcia-Villadangos, Miriam; Parro, Victor] Ctr Astrobiol CSIC INTA, Dept Mol Evolut, Madrid 28850, Spain; [Carrizo, Daniel; Prieto-Ballesteros, Olga; Fairen, Alberto G.] Ctr Astrobiol CSIC INTA, Dept Planetol &amp; Habitabil, Madrid, Spain; [Puente-Sanchez, Fernando] CSIC, Ctr Nacl Biotecnol, Dept Syst Biol, Madrid, Spain; [Fairen, Alberto G.] Cornell Univ, Dept Astron, Ithaca, NY 14853 USA</t>
  </si>
  <si>
    <t>Consejo Superior de Investigaciones Cientificas (CSIC); CSIC - Centro de Astrobiologia (INTA); Consejo Superior de Investigaciones Cientificas (CSIC); CSIC - Centro de Astrobiologia (INTA); Consejo Superior de Investigaciones Cientificas (CSIC); CSIC - Centro Nacional de Biotecnologia (CNB); Cornell University</t>
  </si>
  <si>
    <t>Lezcano, MA (corresponding author), Ctr Astrobiol CSIC INTA, Dept Mol Evolut, Madrid 28850, Spain.</t>
  </si>
  <si>
    <t>mangeles.lezcano@gmail.com</t>
  </si>
  <si>
    <t>Puente-Sánchez, Fernando/K-7973-2018; Paz, Mercedes Moreno/F-3517-2015; Parro, Victor/K-3788-2014; Prieto-Ballesteros, Olga/J-8510-2012; Sanchez-Garcia, Laura/N-1172-2013; Lezcano, María Ángeles/Y-7291-2018; Fairen, Alberto/T-9374-2017</t>
  </si>
  <si>
    <t>Puente-Sánchez, Fernando/0000-0002-6341-3692; Prieto-Ballesteros, Olga/0000-0002-2278-1210; Sanchez-Garcia, Laura/0000-0002-7444-1242; Lezcano, María Ángeles/0000-0001-8173-4388; Fairen, Alberto/0000-0002-2938-6010; de Diego Castilla, Graciela/0000-0001-6255-4189; Parro, Victor/0000-0003-3738-0724; Fernandez-Martinez, Miguel Angel/0000-0003-1694-7832; Moreno-Paz, Mercedes/0000-0003-1245-3253; , Miriam/0000-0002-3928-3592</t>
  </si>
  <si>
    <t>Spanish Research Agency (AEI) from the Ministry of Science Innovation and Universities; European FEDER [ESP2015-69540-R, RYC-2014-19446, CGL2015-74254-JIN]; AEI Project Unidad de Excelencia Maria de Maeztu [MDM-2017-0737]; European Research Council Starting Grant (ERC StG) [307496]; Youth Employment Initiative from the European Union</t>
  </si>
  <si>
    <t>Spanish Research Agency (AEI) from the Ministry of Science Innovation and Universities; European FEDER(European Union (EU)); AEI Project Unidad de Excelencia Maria de Maeztu; European Research Council Starting Grant (ERC StG)(European Research Council (ERC)); Youth Employment Initiative from the European Union</t>
  </si>
  <si>
    <t>We thank Maria Teresa Fernandez Sampedro for technical assistance in X-ray diffraction analysis. We also thank the personnel of the Spanish Antarctic Base Gabriel de Castilla, headed by Commandant Antonio Casals Abraham, for their assistance in field and logistics. This study has been funded by the Spanish Research Agency (AEI) from the Ministry of Science Innovation and Universities and the European FEDER Grants Nos. ESP2015-69540-R, RYC-2014-19446, and CGL2015-74254-JIN; the AEI Project No. MDM-2017-0737 Unidad de Excelencia Maria de Maeztu, and the European Research Council Starting Grant (ERC StG) No. 307496. M.a. Lezcano and M.a. Fernandez-Martinez were supported by a postdoctoral fellowship by the Youth Employment Initiative from the European Union and implanted in Comunidad de Madrid. We recognize the work of the two anonymous reviewers to improve the article.</t>
  </si>
  <si>
    <t>DEC 1</t>
  </si>
  <si>
    <t>10.1089/ast.2018.2004</t>
  </si>
  <si>
    <t>JT3BL</t>
  </si>
  <si>
    <t>hybrid, Green Published, Green Submitted</t>
  </si>
  <si>
    <t>WOS:000478684100001</t>
  </si>
  <si>
    <t>Cronin, TM; Clevenger, MK; Tibert, NE; Prescott, T; Toomey, M; Hubeny, JB; Abbott, MB; Seidenstein, J; Whitworth, H; Fisher, S; Wondolowski, N; Ruefer, A</t>
  </si>
  <si>
    <t>Cronin, Thomas M.; Clevenger, Megan K.; Tibert, Neil E.; Prescott, Tammy; Toomey, Michael; Hubeny, J. Bradford; Abbott, Mark B.; Seidenstein, Julia; Whitworth, Hannah; Fisher, Sam; Wondolowski, Nick; Ruefer, Anna</t>
  </si>
  <si>
    <t>Holocene sea-level variability from Chesapeake Bay Tidal Marshes, USA</t>
  </si>
  <si>
    <t>HOLOCENE</t>
  </si>
  <si>
    <t>Chesapeake Bay; foraminifera; Holocene; sea level; tidal marsh; US East Coast</t>
  </si>
  <si>
    <t>NORTH-CAROLINA; CLIMATE-CHANGE; ICE-AGE; ATLANTIC COAST; OUTER BANKS; EAST-COAST; NEW-JERSEY; RISE; FORAMINIFERA; SUBMERGENCE</t>
  </si>
  <si>
    <t>We reconstructed the last 10,000 years of Holocene relative sea-level rise (RSLR) from sediment core records near Chesapeake Bay, eastern United States, including new marsh records from the Potomac and Rappahannock Rivers, Virginia. Results show mean RSLR rates of 2.6 mm yr(-1) from 10 to 8 kilo-annum (ka) due to combined final ice-sheet melting during deglaciation and glacio-isostatic adjustment (GIA subsidence). Mean RSLR rates from similar to 6 ka to present were 1.4 mm yr(-1) due mainly to GIA, consistent with other East Coast marsh records and geophysical models. However, a progressively slower mean rate (&lt;1.0 mm yr(-1)) characterized the last 1000 years when a multi-century-long period of tidal marsh development occurred during the 'Medieval Climate Anomaly' (MCA) and 'Little Ice Age' (LIA) in the Chesapeake Bay region and other East Coast marshes. This decrease was most likely due to climatic and glaciological processes and, correcting for GIA, represents a fall in global mean sea level (GMSL) near the end of Holocene Neoglacial cooling. These pre-historical climate- and GIA-driven Chesapeake Bay sea-level changes contrast sharply with those based on Chesapeake Bay tide-gauge rates (3.1-4.5 mm yr(-1)) (back to 1903). After subtracting the GIA subsidence component, these rates can be attributed to long-term (millennial) global factors of accelerated ocean thermal expansion (similar to 1.0 mm yr(-1)) and mass loss from alpine glaciers and Greenland and Antarctic Ice Sheets (1.5-2.0 mm yr(-1)).</t>
  </si>
  <si>
    <t>[Cronin, Thomas M.; Toomey, Michael; Seidenstein, Julia; Whitworth, Hannah; Ruefer, Anna] US Geol Survey, Florence Bascom Geosci Ctr, Reston, VA 20192 USA; [Clevenger, Megan K.; Tibert, Neil E.; Prescott, Tammy] Univ Mary Washington, Fredericksburg, VA USA; [Hubeny, J. Bradford] Salem State Univ, Salem, MA USA; [Abbott, Mark B.; Fisher, Sam; Wondolowski, Nick] Univ Pittsburgh, Pittsburgh, PA USA; [Seidenstein, Julia] Univ Massachusetts, Dept Geosci, Amherst, MA 01003 USA</t>
  </si>
  <si>
    <t>United States Department of the Interior; United States Geological Survey; Massachusetts System of Public Higher Education; Salem State University; Pennsylvania Commonwealth System of Higher Education (PCSHE); University of Pittsburgh; University of Massachusetts System; University of Massachusetts Amherst</t>
  </si>
  <si>
    <t>Cronin, TM (corresponding author), US Geol Survey, Florence Bascom Geosci Ctr, Reston, VA 20192 USA.</t>
  </si>
  <si>
    <t>tcronin@usgs.gov</t>
  </si>
  <si>
    <t>University of Mary Washington; US Geological Survey Climate R&amp;D Program (2014-2016)</t>
  </si>
  <si>
    <t>The author(s) disclosed receipt of the following financial support for the research, authorship, and/or publication of this article: This study was funded by the University of Mary Washington faculty and undergraduate grants (2008-2014) and US Geological Survey Climate R&amp;D Program (2014-2016).</t>
  </si>
  <si>
    <t>SAGE PUBLICATIONS LTD</t>
  </si>
  <si>
    <t>1 OLIVERS YARD, 55 CITY ROAD, LONDON EC1Y 1SP, ENGLAND</t>
  </si>
  <si>
    <t>0959-6836</t>
  </si>
  <si>
    <t>1477-0911</t>
  </si>
  <si>
    <t>Holocene</t>
  </si>
  <si>
    <t>10.1177/0959683619862028</t>
  </si>
  <si>
    <t>IY6ID</t>
  </si>
  <si>
    <t>WOS:000478271400001</t>
  </si>
  <si>
    <t>Day, RD; McCauley, RD; Fitzgibbon, QP; Hartman, K; Semmens, JM</t>
  </si>
  <si>
    <t>Day, Ryan D.; McCauley, Robert D.; Fitzgibbon, Quinn P.; Hartman, Klaas; Semmens, Jayson M.</t>
  </si>
  <si>
    <t>Seismic air guns damage rock lobster mechanosensory organs and impair righting reflex</t>
  </si>
  <si>
    <t>PROCEEDINGS OF THE ROYAL SOCIETY B-BIOLOGICAL SCIENCES</t>
  </si>
  <si>
    <t>jasus edwardsii; spiny lobster; seismic survey; acoustic trauma; anthropogenic aquatic noise; sound pollution</t>
  </si>
  <si>
    <t>SPINY LOBSTER; JASUS-EDWARDSII; NORWAY LOBSTER; RESPONSES; EXPOSURE; STATOCYST; NOISE; CRUSTACEAN; FISH; RECEPTORS</t>
  </si>
  <si>
    <t>The effects of anthropogenic aquatic noise on marine invertebrates are poorly understood. We investigated the impact of seismic surveys on the righting reflex and statocyst morphology of the palinurid rock lobster, Jasus edzvardsii, using field-based exposure to air gun signals. Following exposure equivalent to a full-scale commercial assay passing within 100-500 m, lobsters showed impaired righting and significant damage to the sensory hairs of the statocyst. Reflex impairment and statocyst damage persisted over the course of the experiments-up to 365 days post-exposure and did not improved following moulting. These results indicate that exposure to air gun signals caused morphological damage to the statocyst of rock lobsters, which can in turn impair complex reflexes. This damage and impairment adds further evidence that anthropogenic aquatic noise has the potential to harm invertebrates, necessitating a better understanding of possible ecological and economic impacts.</t>
  </si>
  <si>
    <t>[Day, Ryan D.; Fitzgibbon, Quinn P.; Hartman, Klaas; Semmens, Jayson M.] Univ Tasmania, Fisheries &amp; Aquaculture Ctr, Inst Marine &amp; Antarctic Studies, Private Bag 49, Hobart, Tas 7001, Australia; [McCauley, Robert D.] Curtin Univ, Ctr Marine Sci &amp; Technol, GPO Box U 1987, Perth, WA 6845, Australia</t>
  </si>
  <si>
    <t>University of Tasmania; Curtin University</t>
  </si>
  <si>
    <t>Day, RD (corresponding author), Univ Tasmania, Fisheries &amp; Aquaculture Ctr, Inst Marine &amp; Antarctic Studies, Private Bag 49, Hobart, Tas 7001, Australia.</t>
  </si>
  <si>
    <t>ryan.day@utas.edu.au</t>
  </si>
  <si>
    <t>Day, Ryan D/J-7715-2014</t>
  </si>
  <si>
    <t>Semmens, Jayson/0000-0003-1742-6692; Day, Ryan/0000-0002-1834-6945; Fitzgibbon, Quinn/0000-0002-1104-3052</t>
  </si>
  <si>
    <t>Australian Government through the Fisheries Research and Development Corporation [FRDC 2012-008]; Origin Energy; Department of Economic Development, Jobs, Transport and Resources, Victoria; CarbonNet Project</t>
  </si>
  <si>
    <t>Australian Government through the Fisheries Research and Development Corporation(Fisheries R&amp;D Corp); Origin Energy; Department of Economic Development, Jobs, Transport and Resources, Victoria; CarbonNet Project</t>
  </si>
  <si>
    <t>Funding for this project was provided by the Australian Government through the Fisheries Research and Development Corporation (project FRDC 2012-008), Origin Energy, the CarbonNet Project and the Department of Economic Development, Jobs, Transport and Resources, Victoria.</t>
  </si>
  <si>
    <t>0962-8452</t>
  </si>
  <si>
    <t>1471-2954</t>
  </si>
  <si>
    <t>P ROY SOC B-BIOL SCI</t>
  </si>
  <si>
    <t>Proc. R. Soc. B-Biol. Sci.</t>
  </si>
  <si>
    <t>10.1098/rspb.2019.1424</t>
  </si>
  <si>
    <t>Biology; Ecology; Evolutionary Biology</t>
  </si>
  <si>
    <t>Life Sciences &amp; Biomedicine - Other Topics; Environmental Sciences &amp; Ecology; Evolutionary Biology</t>
  </si>
  <si>
    <t>IM4GU</t>
  </si>
  <si>
    <t>WOS:000477953500027</t>
  </si>
  <si>
    <t>Goni, GJ; Sprintall, J; Bringas, F; Cheng, LJ; Cirano, M; Dong, SF; Domingues, R; Goes, M; Lopez, H; Morrow, R; Rivero, U; Rossby, T; Todd, RE; Trinanes, J; Zilberman, N; Baringer, M; Boyer, T; Cowley, R; Domingues, CM; Hutchinson, K; Kramp, M; Mata, MM; Reseghetti, F; Sun, C; Bhaskar, U; Volko, D</t>
  </si>
  <si>
    <t>Goni, Gustavo J.; Sprintall, Janet; Bringas, Francis; Cheng, Lijing; Cirano, Mauro; Dong, Shenfu; Domingues, Ricardo; Goes, Marlos; Lopez, Hosmay; Morrow, Rosemary; Rivero, Ulises; Rossby, Thomas; Todd, Robert E.; Trinanes, Joaquin; Zilberman, Nathalie; Baringer, Molly; Boyer, Tim; Cowley, Rebecca; Domingues, Catia M.; Hutchinson, Katherine; Kramp, Martin; Mata, Mauricio M.; Reseghetti, Franco; Sun, Charles; Bhaskar, Udaya; Volko, Denis</t>
  </si>
  <si>
    <t>More Than 50 Years of Successful Continuous Temperature Section Measurements by the Global Expendable Bathythermograph Network, Its Integrability, Societal Benefits, and Future</t>
  </si>
  <si>
    <t>expendable bathythermographs; surface currents; subsurface currents; meridional heat transport; ocean heat content; sea level; extreme weather</t>
  </si>
  <si>
    <t>OCEAN HEAT-CONTENT; ANTARCTIC CIRCUMPOLAR CURRENT; MERIDIONAL OVERTURNING CIRCULATION; EAST AUSTRALIAN CURRENT; PACIFIC SUBTROPICAL GYRE; SEA-SURFACE TEMPERATURE; SOUTHERN-OCEAN; GULF-STREAM; NORTH-ATLANTIC; MIXED-LAYER</t>
  </si>
  <si>
    <t>The first eXpendable BathyThermographs (XBTs) were deployed in the 1960s in the North Atlantic Ocean. In 1967 XBTs were deployed in operational mode to provide a continuous record of temperature profile data along repeated transects, now known as the Global XBT Network. The current network is designed to monitor ocean circulation and boundary current variability, basin-wide and trans-basin ocean heat transport, and global and regional heat content. The ability of the XBT Network to systematically map the upper ocean thermal field in multiple basins with repeated trans-basin sections at eddy-resolving scales remains unmatched today and cannot be reproduced at present by any other observing platform. Some repeated XBT transects have now been continuously occupied for more than 30 years, providing an unprecedented long-term climate record of temperature, and geostrophic velocity profiles that are used to understand variability in ocean heat content (OHC), sea level change, and meridional ocean heat transport. Here, we present key scientific advances in understanding the changing ocean and climate system supported by XBT observations. Improvement in XBT data quality and its impact on computations, particularly of OHC, are presented. Technology development for probes, launchers, and transmission techniques are also discussed. Finally, we offer new perspectives for the future of the Global XBT Network.</t>
  </si>
  <si>
    <t>[Goni, Gustavo J.; Bringas, Francis; Dong, Shenfu; Domingues, Ricardo; Goes, Marlos; Lopez, Hosmay; Rivero, Ulises; Trinanes, Joaquin; Baringer, Molly; Volko, Denis] NOAA, Atlantic Oceanog &amp; Meteorol Lab, Miami, FL 33149 USA; [Sprintall, Janet; Zilberman, Nathalie] Univ Calif San Diego, Scripps Inst Oceanog, La Jolla, CA 92093 USA; [Cheng, Lijing] Chinese Acad Sci, Int Ctr Climate &amp; Environm Sci, Inst Atmospher Phys, Beijing, Peoples R China; [Cirano, Mauro] Univ Fed Rio de Janeiro, Inst Geosci, Dept Meteorol, Rio De Janeiro, Brazil; [Domingues, Ricardo; Goes, Marlos; Lopez, Hosmay; Trinanes, Joaquin; Volko, Denis] Univ Miami, Cooperat Inst Marine &amp; Atmospher Studies, Miami, FL USA; [Morrow, Rosemary] Lab Etud Geophis &amp; Oceanog Spatiales, Toulouse, France; [Rossby, Thomas] Univ Rhode Isl, Grad Sch Oceanog, Narragansett, RI 02882 USA; [Todd, Robert E.] Woods Hole Oceanog Inst, Woods Hole, MA 02543 USA; [Trinanes, Joaquin] Univ Santiago de Compostela, Technol Res Inst, Santiago De Compostela, Spain; [Boyer, Tim; Sun, Charles] NOAA, Natl Ctr Environm Informat, Silver Spring, MD USA; [Cowley, Rebecca] CSIRO, Oceans &amp; Atmosphere, Hobart, Tas, Australia; [Domingues, Catia M.] Univ Tasmania, ACE CRC, CLEX, Hobart, Tas, Australia; [Domingues, Catia M.] Univ Tasmania, Inst Marine &amp; Antarctic Studies, Hobart, Tas, Australia; [Hutchinson, Katherine] Univ Cape Town, Oceanog Dept, Cape Town, South Africa; [Hutchinson, Katherine] UPMC Univ Paris 06, Sorbonne Univ, Lab LOCEAN IPSL, CNRS IRD MNHN, Paris, France; [Kramp, Martin] JCOMM Situ Observat Programme Support Ctr, Plouzane, France; [Mata, Mauricio M.] Fundacao Univ Fed Rio Grande, Inst Oceanog, Rio Grande, RS, Brazil; [Reseghetti, Franco] Italian Natl Agcy New Technol Energy &amp; Sustainabl, ENEA, Santa Teresa Res Ctr, Lerici, Italy; [Bhaskar, Udaya] Indian Natl Ctr Ocean Informat Serv, Minist Earth Sci, Hyderabad, India</t>
  </si>
  <si>
    <t>National Oceanic Atmospheric Admin (NOAA) - USA; Atlantic Oceanographic &amp; Meteorological Laboratory (AOML); University of California System; University of California San Diego; Scripps Institution of Oceanography; Chinese Academy of Sciences; Institute of Atmospheric Physics, CAS; Universidade Federal do Rio de Janeiro; University of Miami; University of Rhode Island; Woods Hole Oceanographic Institution; Universidade de Santiago de Compostela; National Oceanic Atmospheric Admin (NOAA) - USA; Commonwealth Scientific &amp; Industrial Research Organisation (CSIRO); University of Tasmania; University of Tasmania; University of Cape Town; Institut de Recherche pour le Developpement (IRD); Sorbonne Universite; Museum National d'Histoire Naturelle (MNHN); Universidade Federal do Rio Grande; Italian National Agency New Technical Energy &amp; Sustainable Economics Development; Ministry of Earth Sciences (MoES) - India; Indian National Centre for Ocean Information Services (INCOIS)</t>
  </si>
  <si>
    <t>Goni, GJ (corresponding author), NOAA, Atlantic Oceanog &amp; Meteorol Lab, Miami, FL 33149 USA.</t>
  </si>
  <si>
    <t>Gustavo.Goni@noaa.gov</t>
  </si>
  <si>
    <t>Lopez, Hosmay/M-3278-2015; Goni, Gustavo J/D-2017-2012; Cowley, Rebecca/ABB-7811-2021; Volkov, Denis/A-6079-2011; cheng, lijing/W-2261-2017; Goes, Marlos/B-4273-2011; Cowley, Rebecca/E-4258-2013; Domingues, Ricardo M/A-9842-2017; Todd, Robert E/T-3536-2018; Baringer, Molly O/D-2277-2012; Domingues, Catia M./A-2901-2015; Dong, Shenfu/I-4435-2013; Cirano, Mauro/AAT-7082-2020; Todd, Robert/GWM-4486-2022; Mata, Mauricio/H-4605-2011; Trinanes, Joaquin/B-3881-2015</t>
  </si>
  <si>
    <t>Lopez, Hosmay/0000-0002-8422-8699; Cowley, Rebecca/0000-0001-8541-3573; Volkov, Denis/0000-0002-9290-0502; cheng, lijing/0000-0002-9854-0392; Goes, Marlos/0000-0001-5874-8079; Cowley, Rebecca/0000-0001-8541-3573; Todd, Robert E/0000-0002-6854-7729; Domingues, Catia M./0000-0001-5100-4595; Dong, Shenfu/0000-0001-8247-8072; Cirano, Mauro/0000-0002-0789-1120; Mata, Mauricio/0000-0002-9028-8284; Hutchinson, Katherine/0000-0002-3472-8273; reseghetti, franco/0000-0002-7569-8541; Trinanes, Joaquin/0000-0003-1529-3371</t>
  </si>
  <si>
    <t>NOAA/Ocean Observing and Monitoring Division (OOMD); NOAA's Atlantic Oceanographic and Meteorological Laboratory (AOML); NOAA's Global Ocean Monitoring and Observing Program [NA15OAR4320071]; NSF [1542902]; Australian Research Council [FT130101532, DP160103130]; Scientific Committee on Oceanic Research (SCOR) Working Group 148 - national SCOR committees; U.S. National Science Foundation [OCE-1546580]; Intergovernmental Oceanographic Commission of UNESCO/International Oceanographic Data and Information Exchange (IOC/IODE) IQuOD Steering Group; [2016YFC1401800]; Office of Polar Programs (OPP); Directorate For Geosciences [1542902] Funding Source: National Science Foundation; Australian Research Council [FT130101532] Funding Source: Australian Research Council</t>
  </si>
  <si>
    <t>NOAA/Ocean Observing and Monitoring Division (OOMD); NOAA's Atlantic Oceanographic and Meteorological Laboratory (AOML)(National Oceanic Atmospheric Admin (NOAA) - USA); NOAA's Global Ocean Monitoring and Observing Program; NSF(National Science Foundation (NSF)); Australian Research Council(Australian Research Council); Scientific Committee on Oceanic Research (SCOR) Working Group 148 - national SCOR committees; U.S. National Science Foundation(National Science Foundation (NSF)); Intergovernmental Oceanographic Commission of UNESCO/International Oceanographic Data and Information Exchange (IOC/IODE) IQuOD Steering Group; ; Office of Polar Programs (OPP); Directorate For Geosciences(National Science Foundation (NSF)NSF - Directorate for Geosciences (GEO)); Australian Research Council(Australian Research Council)</t>
  </si>
  <si>
    <t>GG, FB, SD, UR, MB, RD, and DV were supported by a grant from the NOAA/Ocean Observing and Monitoring Division (OOMD) and by NOAA's Atlantic Oceanographic and Meteorological Laboratory (AOML). The participation of JS and NZ in this study was supported by NOAA's Global Ocean Monitoring and Observing Program through Award NA15OAR4320071 and NSF Award 1542902. CD was funded by the Australian Research Council (FT130101532 and DP160103130); the Scientific Committee on Oceanic Research (SCOR) Working Group 148, funded by national SCOR committees and a grant to SCOR from the U.S. National Science Foundation (Grant OCE-1546580); and the Intergovernmental Oceanographic Commission of UNESCO/International Oceanographic Data and Information Exchange (IOC/IODE) IQuOD Steering Group. LC was supported by 2016YFC1401800.</t>
  </si>
  <si>
    <t>10.3389/fmars.2019.00452</t>
  </si>
  <si>
    <t>IK9UR</t>
  </si>
  <si>
    <t>gold, Green Published, Green Accepted</t>
  </si>
  <si>
    <t>WOS:000476942600001</t>
  </si>
  <si>
    <t>Szuts, ZB; Bower, AS; Donohue, KA; Girton, JB; Hummon, JM; Katsumata, K; Lumpkin, R; Ortner, PB; Phillips, HE; Rossby, HT; Shay, LK; Sun, C; Todd, RE</t>
  </si>
  <si>
    <t>Szuts, Zoltan B.; Bower, Amy S.; Donohue, Kathleen A.; Girton, James B.; Hummon, Julia M.; Katsumata, Katsuro; Lumpkin, Rick; Ortner, Peter B.; Phillips, Helen E.; Rossby, H. Thomas; Shay, Lynn Keith; Sun, Charles; Todd, Robert E.</t>
  </si>
  <si>
    <t>The Scientific and Societal Uses of Global Measurements of Subsurface Velocity</t>
  </si>
  <si>
    <t>velocity; ocean measurements; subsurface; database; sampling network; ADCP; autonomous vehicle; floats</t>
  </si>
  <si>
    <t>OCEAN; FLORIDA; UNCERTAINTIES; KINEMATICS; TRANSPORT; SVERDRUP; CURRENTS; DRIFT</t>
  </si>
  <si>
    <t>Ocean velocity defines ocean circulation, yet the available observations of subsurface velocity are under-utilized by society. The first step to address these concerns is to improve visibility of and access to existing measurements, which include acoustic sampling from ships, subsurface float drifts, and measurements from autonomous vehicles. While multiple programs provide data publicly, the present difficulty in finding, understanding, and using these data hinder broader use by managers, the public, and other scientists. Creating links from centralized national archives to project specific websites is an easy but important way to improve data discoverability and access. A further step is to archive data in centralized databases, which increases usage by providing a common framework for disparate measurements. This requires consistent data standards and processing protocols for all types of velocity measurements. Central dissemination will also simplify the creation of derived products tailored to end user goals. Eventually, this common framework will aid managers and scientists in identifying regions that need more sampling and in identifying methods to fulfill those demands. Existing technologies are capable of improving spatial and temporal sampling, such as using ships of opportunity or from autonomous platforms like gliders, profiling floats, or Lagrangian floats. Future technological advances are needed to fill sampling gaps and increase data coverage.</t>
  </si>
  <si>
    <t>[Szuts, Zoltan B.; Girton, James B.] Univ Washington, Appl Phys Lab, Seattle, WA 98105 USA; [Bower, Amy S.; Todd, Robert E.] Woods Hole Oceanog Inst, Woods Hole, MA 02543 USA; [Donohue, Kathleen A.; Rossby, H. Thomas] Univ Rhode Isl, Grad Sch Oceanog, Narragansett, RI 02882 USA; [Hummon, Julia M.] Univ Hawaii Manoa, Sch Ocean &amp; Earth Sci &amp; Technol, Honolulu, HI 96822 USA; [Katsumata, Katsuro] Japan Agcy Marine Earth Sci &amp; Technol, Res &amp; Dev Ctr Global Change, Yokosuka, Kanagawa, Japan; [Lumpkin, Rick] NOAA, Atlantic Oceanog &amp; Meteorol Lab, Miami, FL 33149 USA; [Ortner, Peter B.; Shay, Lynn Keith] Univ Miami, Rosenstiel Sch Marine &amp; Atmospher Sci, 4600 Rickenbacker Causeway, Miami, FL 33149 USA; [Phillips, Helen E.] Univ Tasmania Hobart, Inst Marine &amp; Antarctic Studies, Hobart, Tas, Australia; [Sun, Charles] NOAA, Natl Ctr Environm Informat, Asheville, NC USA</t>
  </si>
  <si>
    <t>University of Washington; University of Washington Seattle; Woods Hole Oceanographic Institution; University of Rhode Island; University of Hawaii System; University of Hawaii Manoa; Japan Agency for Marine-Earth Science &amp; Technology (JAMSTEC); National Oceanic Atmospheric Admin (NOAA) - USA; Atlantic Oceanographic &amp; Meteorological Laboratory (AOML); University of Miami; University of Tasmania; National Oceanic Atmospheric Admin (NOAA) - USA</t>
  </si>
  <si>
    <t>Szuts, ZB (corresponding author), Univ Washington, Appl Phys Lab, Seattle, WA 98105 USA.</t>
  </si>
  <si>
    <t>zszuts@apl.washington.edu</t>
  </si>
  <si>
    <t>Lumpkin, Rick/C-9615-2009; Katsumata, Katsuro/AAR-5034-2020; Todd, Robert E/T-3536-2018; Phillips, Helen/I-3761-2013; Todd, Robert/GWM-4486-2022</t>
  </si>
  <si>
    <t>Lumpkin, Rick/0000-0002-6690-1704; Katsumata, Katsuro/0000-0002-4683-7610; Todd, Robert E/0000-0002-6854-7729; Phillips, Helen/0000-0002-2941-7577;</t>
  </si>
  <si>
    <t>National Science Foundation, United States [1356383, OCE 1756361, 1536851]; National Oceanographic and Atmospheric Administration, United States; Royal Caribbean Cruise Ltd.; Australian Government Department of the Environment and Energy National Environmental Science Programme; Australian Research Council Centre of Excellence for Climate Extremes; Gulf of Mexico Research Initiative [V-487]; Ocean Observations and Monitoring Division and Atlantic Oceanographic and Meteorological Laboratory; Directorate For Geosciences; Division Of Ocean Sciences [1536851] Funding Source: National Science Foundation; Division Of Ocean Sciences; Directorate For Geosciences [1356383] Funding Source: National Science Foundation</t>
  </si>
  <si>
    <t>National Science Foundation, United States(National Science Foundation (NSF)); National Oceanographic and Atmospheric Administration, United States; Royal Caribbean Cruise Ltd.; Australian Government Department of the Environment and Energy National Environmental Science Programme; Australian Research Council Centre of Excellence for Climate Extremes(Australian Research Council); Gulf of Mexico Research Initiative; Ocean Observations and Monitoring Division and Atlantic Oceanographic and Meteorological Laboratory; Directorate For Geosciences; Division Of Ocean Sciences(National Science Foundation (NSF)NSF - Directorate for Geosciences (GEO)); Division Of Ocean Sciences; Directorate For Geosciences(National Science Foundation (NSF)NSF - Directorate for Geosciences (GEO))</t>
  </si>
  <si>
    <t>This work was supported by the National Science Foundation, United States, Grant Numbers 1356383 to ZBS, OCE 1756361 to ASB at the Woods Hole Oceanographic Institution, and 1536851 to KAD and HTR; the National Oceanographic and Atmospheric Administration, United States, Ocean Observations and Monitoring Division and Atlantic Oceanographic and Meteorological Laboratory to RL; Royal Caribbean Cruise Ltd., to PBO; the Australian Government Department of the Environment and Energy National Environmental Science Programme and Australian Research Council Centre of Excellence for Climate Extremes to HEP; and the Gulf of Mexico Research Initiative Grant V-487 to LS.</t>
  </si>
  <si>
    <t>10.3389/fmars.2019.00358</t>
  </si>
  <si>
    <t>IK9UI</t>
  </si>
  <si>
    <t>WOS:000476941700001</t>
  </si>
  <si>
    <t>Lakhan, N; Singh, AK; Singh, BP; Sen, K; Singh, MR; Khogenkumar, S; Singhal, S; Oinam, G</t>
  </si>
  <si>
    <t>Lakhan, Nongmaithem; Singh, Athokpam Krishnakanta; Singh, Birendra Pratap; Sen, Koushik; Singh, Mutum Rajanikanta; Khogenkumar, Shoraisam; Singhal, Saurabh; Oinam, Govind</t>
  </si>
  <si>
    <t>Zircon U-Pb geochronology, mineral and whole-rock geochemistry of the Khardung volcanics, Ladakh Himalaya, India: Implications for Late Cretaceous to Palaeogene continental arc magmatism</t>
  </si>
  <si>
    <t>GEOLOGICAL JOURNAL</t>
  </si>
  <si>
    <t>arc magmatism; Khardung volcanics; Ladakh batholith; subduction; zircon U-Pb ages</t>
  </si>
  <si>
    <t>SHYOK-SUTURE ZONE; TRACE-ELEMENT EVIDENCE; ASIA COLLISION; TECTONIC EVOLUTION; CHEMICAL CHARACTERISTICS; NORTHWEST HIMALAYA; EURASIA COLLISION; NORTHERN LADAKH; EASTERN LADAKH; NW HIMALAYA</t>
  </si>
  <si>
    <t>In this study, we present new mineral and whole-rock geochemical data with zircon U-Pb ages of the Khardung volcanics (KV) from the western Himalaya and discuss their tectono-magmatic evolution. These volcanics are sandwiched between the Ladakh batholith and Karakoram batholith and classified as intermediate volcanics (basaltic andesite-andesite) and felsic volcanics (dacite-rhyolite). The intermediate volcanics are marked by low SiO2 (52.80-61.31 wt.%), enriched LREEs, and depleted HFSEs (Nb, Ti, Zr), whereas more evolved felsic volcanics exhibit quartz, K-feldspar, and plagioclase as dominant mineral phases and felsic compositions are characterized by high SiO2 (64.52-79.19 wt.%) content with pronounced negative Eu anomalies, enriched LREEs, and depleted HREEs and HFSEs (Nb, Ti). New zircon U-Pb ages of intermediate volcanics (andesite) yield 69.71 Ma, whereas felsic volcanics (rhyolites) range between 62.49 and 66.55 Ma, indicating that the Khardung magmatism overlaps with the last phase of the Ladakh batholith magmatism. Geochemical characteristics indicate that the KV were generated from a same parental magma source through fractional crystallization along with crustal assimilation from an older crust, and they show genetic affinity with the adjacent Ladakh batholith. Therefore, the KV and Ladakh batholith could be considered as a product of the mature stage arc magmatism generated during subduction of the Neo-Tethyan oceanic crust prior to the main collision between the Indian and Eurasian continents.</t>
  </si>
  <si>
    <t>[Lakhan, Nongmaithem; Singh, Athokpam Krishnakanta; Sen, Koushik; Singh, Mutum Rajanikanta; Singhal, Saurabh; Oinam, Govind] Wadia Inst Himalayan Geol, Petrol &amp; Geochem, Dehra Dun, India; [Lakhan, Nongmaithem; Singh, Birendra Pratap; Oinam, Govind] Banaras Hindu Univ, Dept Geol, Varanasi, Uttar Pradesh, India; [Khogenkumar, Shoraisam] Natl Ctr Antarctic &amp; Ocean Res, Geosci Div, Vasco Da Gama, India</t>
  </si>
  <si>
    <t>Department of Science &amp; Technology (India); Wadia Institute of Himalayan Geology (WIHG); Banaras Hindu University (BHU); Ministry of Earth Sciences (MoES) - India; National Centre for Polar and Ocean Research (NCPOR)</t>
  </si>
  <si>
    <t>Singh, AK (corresponding author), Wadia Inst Himalayan Geol, 33 GMS Rd, Dehra Dun 248001, India.</t>
  </si>
  <si>
    <t>aksingh_wihg@rediffmail.com</t>
  </si>
  <si>
    <t>sen, koushik/0000-0002-5679-9603; Oinam, Govind/0000-0001-9147-2414; singhal, saurabh/0000-0001-8808-1519; , Dr. Nongmaithem Lakhan Singh/0009-0001-3299-3268; Singh, Athokpam K/0000-0003-1530-195X; Khogenkumar, Shoraisam/0000-0003-4536-3158</t>
  </si>
  <si>
    <t>0072-1050</t>
  </si>
  <si>
    <t>1099-1034</t>
  </si>
  <si>
    <t>GEOL J</t>
  </si>
  <si>
    <t>Geol. J.</t>
  </si>
  <si>
    <t>MAY</t>
  </si>
  <si>
    <t>10.1002/gj.3594</t>
  </si>
  <si>
    <t>LJ1BE</t>
  </si>
  <si>
    <t>WOS:000477290300001</t>
  </si>
  <si>
    <t>Lee, HJ; Seo, KH</t>
  </si>
  <si>
    <t>Lee, Hyun-Ju; Seo, Kyong-Hwan</t>
  </si>
  <si>
    <t>Impact of the Madden-Julian oscillation on Antarctic sea ice and its dynamical mechanism</t>
  </si>
  <si>
    <t>ROSSBY-WAVE PROPAGATION; TEMPERATURE; OCEAN; CONVECTION; ATMOSPHERE; RAINFALL; MJO</t>
  </si>
  <si>
    <t>The influence of the Madden-Julian oscillation (MJO) on Antarctic sea ice extent has not been extensively explored. This study investigates intraseasonal variability of the sea ice extent induced by the MJO and its physical mechanism. During austral winter, the sea ice extent anomaly exhibits considerable melting and freezing as the MJO evolves. Numerical experiments and the Rossby wave theory show that the high-latitude circulation anomalies in response to the MJO are responsible for the sea ice change. The MJO-induced Rossby waves propagate into the Southern Hemisphere through the northerly ducts over the western Indian Ocean-central Africa and the Maritime Continent. The MJO-induced circulation anomalies reach high latitudes and lead to anomalous meridional temperature advection, causing changes in the sea ice extent. The time difference between the meridional wind and sea ice anomalies is similar to 5 days. As the MJO moves, the sea ice extent anomaly also exhibits eastward-migrating behavior. Strong sea ice melting in the total anomaly is synchronous to the evolution of the MJO, suggesting the practical usefulness of the location of the MJO for the prediction of the sea ice decrease.</t>
  </si>
  <si>
    <t>[Lee, Hyun-Ju; Seo, Kyong-Hwan] Pusan Natl Univ, Div Earth Environm Syst, Dept Atmospher Sci, Pusan, South Korea; [Seo, Kyong-Hwan] Pusan Natl Univ, Res Ctr Climate Sci, Pusan, South Korea</t>
  </si>
  <si>
    <t>Pusan National University; Pusan National University</t>
  </si>
  <si>
    <t>Seo, KH (corresponding author), Pusan Natl Univ, Div Earth Environm Syst, Dept Atmospher Sci, Pusan, South Korea.;Seo, KH (corresponding author), Pusan Natl Univ, Res Ctr Climate Sci, Pusan, South Korea.</t>
  </si>
  <si>
    <t>khseo@pusan.ac.kr</t>
  </si>
  <si>
    <t>Seo, Kyong-Hwan/GSD-2629-2022</t>
  </si>
  <si>
    <t>Seo, Kyong-Hwan/0000-0001-6305-5488</t>
  </si>
  <si>
    <t>National Research Foundation of Korea (NRF) - Korea government (MSIP) [NRF-2018R1A2A2A05018426]; KMA Research and Development Program [KMI 2018-01012]</t>
  </si>
  <si>
    <t>National Research Foundation of Korea (NRF) - Korea government (MSIP)(National Research Foundation of KoreaMinistry of Science, ICT &amp; Future Planning, Republic of Korea); KMA Research and Development Program</t>
  </si>
  <si>
    <t>This work was supported by the National Research Foundation of Korea (NRF) grant funded by the Korea government (MSIP) (No. NRF-2018R1A2A2A05018426) and the KMA Research and Development Program under Grant KMI 2018-01012. The authors are grateful to the three reviewers for their valuable comments and suggestions, which improved the paper.</t>
  </si>
  <si>
    <t>10.1038/s41598-019-47150-3</t>
  </si>
  <si>
    <t>IK8VT</t>
  </si>
  <si>
    <t>WOS:000476874600059</t>
  </si>
  <si>
    <t>Baggenstos, D; Häberli, M; Schmitt, J; Shackleton, SA; Birner, B; Severinghaus, JP; Kellerhals, T; Fischer, H</t>
  </si>
  <si>
    <t>Baggenstos, Daniel; Haberli, Marcel; Schmitt, Jochen; Shackleton, Sarah A.; Birner, Benjamin; Severinghaus, Jeffrey P.; Kellerhals, Thomas; Fischer, Hubertus</t>
  </si>
  <si>
    <t>Earth's radiative imbalance from the Last Glacial Maximum to the present</t>
  </si>
  <si>
    <t>PROCEEDINGS OF THE NATIONAL ACADEMY OF SCIENCES OF THE UNITED STATES OF AMERICA</t>
  </si>
  <si>
    <t>paleoclimate; deglaciation; noble gases; energy budget; ice cores</t>
  </si>
  <si>
    <t>ABRUPT CLIMATE-CHANGE; OVERTURNING CIRCULATION; OCEAN TEMPERATURE; ENERGY IMBALANCE; NOBLE-GASES; ICE VOLUME; SEA-LEVEL; CONSTRAINTS; SENSITIVITY; DELTA-O-18</t>
  </si>
  <si>
    <t>The energy imbalance at the top of the atmosphere determines the temporal evolution of the global climate, and vice versa changes in the climate system can alter the planetary energy fluxes. This interplay is fundamental to our understanding of Earth's heat budget and the climate system. However, even today, the direct measurement of global radiative fluxes is difficult, such that most assessments are based on changes in the total energy content of the climate system. We apply the same approach to estimate the long-term evolution of Earth's radiative imbalance in the past. New measurements of noble gas-derived mean ocean temperature from the European Project for Ice Coring in Antarctica Dome C ice core covering the last 40,000 y, combined with recent results from the West Antarctic Ice Sheet Divide ice core and the sea-level record, allow us to quantitatively reconstruct the history of the climate system energy budget. The temporal derivative of this quantity must be equal to the planetary radiative imbalance. During the deglaciation, a positive imbalance of typically +0.2 W.m(-2) is maintained for similar to 10,000 y, however, with two distinct peaks that reach up to 0.4 Wm(-2) during times of substantially reduced Atlantic Meridional Overturning Circulation. We conclude that these peaks are related to net changes in ocean heat uptake, likely due to rapid changes in North Atlantic deep-water formation and their impact on the global radiative balance, while changes in cloud coverage, albeit uncertain, may also factor into the picture.</t>
  </si>
  <si>
    <t>[Baggenstos, Daniel; Haberli, Marcel; Schmitt, Jochen; Kellerhals, Thomas; Fischer, Hubertus] Univ Bern, Inst Phys, Climate &amp; Environm Phys, CH-3012 Bern, Switzerland; [Baggenstos, Daniel; Haberli, Marcel; Schmitt, Jochen; Kellerhals, Thomas; Fischer, Hubertus] Univ Bern, Oeschger Ctr Climate Change Res, CH-3012 Bern, Switzerland; [Shackleton, Sarah A.; Birner, Benjamin; Severinghaus, Jeffrey P.] Univ Calif San Diego, Scripps Inst Oceanog, La Jolla, CA 92093 USA</t>
  </si>
  <si>
    <t>University of Bern; University of Bern; University of California System; University of California San Diego; Scripps Institution of Oceanography</t>
  </si>
  <si>
    <t>Baggenstos, D (corresponding author), Univ Bern, Inst Phys, Climate &amp; Environm Phys, CH-3012 Bern, Switzerland.;Baggenstos, D (corresponding author), Univ Bern, Oeschger Ctr Climate Change Res, CH-3012 Bern, Switzerland.</t>
  </si>
  <si>
    <t>baggenstos@climate.unibe.ch</t>
  </si>
  <si>
    <t>Baggenstos, Daniel/AAK-5751-2021; Schmitt, Jochen/B-7893-2009; Fischer, Hubertus/A-1211-2014</t>
  </si>
  <si>
    <t>Baggenstos, Daniel/0000-0001-9756-6884; Schmitt, Jochen/0000-0003-4695-3029; Fischer, Hubertus/0000-0002-2787-4221; Shackleton, Sarah/0000-0001-5927-1954; Severinghaus, Jeffrey/0000-0001-8883-3119</t>
  </si>
  <si>
    <t>European Research Council (ERC) under the European Union [226172]; Swiss National Science Foundation; European Union; European Research Council (ERC) [226172] Funding Source: European Research Council (ERC)</t>
  </si>
  <si>
    <t>European Research Council (ERC) under the European Union(European Research Council (ERC)); Swiss National Science Foundation(Swiss National Science Foundation (SNSF)); European Union(European Union (EU)); European Research Council (ERC)(European Research Council (ERC)Spanish Government)</t>
  </si>
  <si>
    <t>We thank Jakob Schwander for EDC firn temperature data; Eric Galbraith and Joel Pedro for helpful discussions on the oceanic heat budget; Christoph Nehrbass-Ahles, Olivier Eicher, and Gregory Teste for sample cutting and transport; and two anonymous reviewers for helpful comments. The research leading to these results was supported by the European Research Council (ERC) under the European Union's Seventh Framework Program FP7/2007-2013 ERC Grant 226172 (ERC Advanced Grant Modern Approaches to Temperature Reconstructions in Polar Ice Cores) and the Swiss National Science Foundation. This work is a contribution to EPICA, a joint European Science Foundation/European Commission scientific program funded by the European Union and national contributions from Belgium, Denmark, France, Germany, Italy, the Netherlands, Norway, Sweden, Switzerland, and the United Kingdom. The main logistic support was provided by Institut Polaire Franc comma ais-Paule Emile Victor and Programma Nazionale di Ricerche in Antartide at Dome C. This is EPICA publication no. 311.</t>
  </si>
  <si>
    <t>NATL ACAD SCIENCES</t>
  </si>
  <si>
    <t>2101 CONSTITUTION AVE NW, WASHINGTON, DC 20418 USA</t>
  </si>
  <si>
    <t>0027-8424</t>
  </si>
  <si>
    <t>1091-6490</t>
  </si>
  <si>
    <t>P NATL ACAD SCI USA</t>
  </si>
  <si>
    <t>Proc. Natl. Acad. Sci. U. S. A.</t>
  </si>
  <si>
    <t>10.1073/pnas.1905447116</t>
  </si>
  <si>
    <t>IK6RH</t>
  </si>
  <si>
    <t>WOS:000476715500022</t>
  </si>
  <si>
    <t>Bannister, J; Sievers, M; Bush, F; Bloecher, N</t>
  </si>
  <si>
    <t>Bannister, Jana; Sievers, Michael; Bush, Flora; Bloecher, Nina</t>
  </si>
  <si>
    <t>Biofouling in marine aquaculture: a review of recent research and developments</t>
  </si>
  <si>
    <t>BIOFOULING</t>
  </si>
  <si>
    <t>Antifouling; fish; bivalve; seaweed; epiphyte; net</t>
  </si>
  <si>
    <t>GRACILARIA-CHILENSIS RHODOPHYTA; FLUKE CARDICOLA-OPISTHORCHIS; ASCIDIAN DIDEMNUM-VEXILLUM; HYDROID ECTOPLEURA-LARYNX; CYCLOPTERUS-LUMPUS L.; MYTILUS-GALLOPROVINCIALIS; KAPPAPHYCUS-ALVAREZII; ASCOPHYLLUM-NODOSUM; CULTIVATED KELP; SHELLFISH AQUACULTURE</t>
  </si>
  <si>
    <t>Biofouling in marine aquaculture is one of the main barriers to efficient and sustainable production. Owing to the growth of aquaculture globally, it is pertinent to update previous reviews to inform management and guide future research. Here, the authors highlight recent research and developments on the impacts, prevention and control of biofouling in shellfish, finfish and seaweed aquaculture, and the significant gaps that still exist in aquaculturalists' capacity to manage it. Antifouling methods are being explored and developed; these are centred on harnessing naturally occurring antifouling properties, culturing fouling-resistant genotypes, and improving farming strategies by adopting more sensitive and informative monitoring and modelling capabilities together with novel cleaning equipment. While no simple, quick-fix solutions to biofouling management in existing aquaculture industry situations have been developed, the expectation is that effective methods are likely to evolve as aquaculture develops into emerging culture scenarios, which will undoubtedly influence the path for future solutions.</t>
  </si>
  <si>
    <t>[Bannister, Jana; Bush, Flora] Univ Tasmania, Inst Marine &amp; Antarctic Studies, Hobart, Tas, Australia; [Sievers, Michael] Griffith Univ, Australian Rivers Inst, Coast &amp; Estuaries, Gold Coast, Qld, Australia; [Bloecher, Nina] SINTEF Ocean, Trondheim, Norway</t>
  </si>
  <si>
    <t>University of Tasmania; Griffith University; Griffith University - Gold Coast Campus; SINTEF</t>
  </si>
  <si>
    <t>Bannister, J (corresponding author), Univ Tasmania, Inst Marine &amp; Antarctic Studies, Hobart, Tas, Australia.</t>
  </si>
  <si>
    <t>jana.bannister@utas.edu.au</t>
  </si>
  <si>
    <t>Bannister, Jana/ABE-3695-2020; Sievers, Michael/ABA-5513-2020</t>
  </si>
  <si>
    <t>Bannister, Jana/0000-0002-5281-7800; Sievers, Michael/0000-0001-7162-1830; Bloecher, Nina/0000-0002-8009-331X; Bush, Flora/0000-0003-0596-0601</t>
  </si>
  <si>
    <t>Institute of Marine and Antarctic Studies; Global Wetlands Project [private charitable trust]; Research Council of Norway [244444/E40]</t>
  </si>
  <si>
    <t>Institute of Marine and Antarctic Studies; Global Wetlands Project [private charitable trust]; Research Council of Norway(Research Council of Norway)</t>
  </si>
  <si>
    <t>This work was supported by internal funds from the Institute of Marine and Antarctic Studies, The Global Wetlands Project [private charitable trust], and the Research Council of Norway [postdoctoral grant number 244444/E40].</t>
  </si>
  <si>
    <t>0892-7014</t>
  </si>
  <si>
    <t>1029-2454</t>
  </si>
  <si>
    <t>Biofouling</t>
  </si>
  <si>
    <t>10.1080/08927014.2019.1640214</t>
  </si>
  <si>
    <t>JE2OV</t>
  </si>
  <si>
    <t>Green Published, hybrid, Green Accepted</t>
  </si>
  <si>
    <t>WOS:000480842900001</t>
  </si>
  <si>
    <t>Canonico, G; Buttigieg, PL; Montes, E; Muller-Karger, FE; Stepien, C; Wright, D; Benson, A; Helmuth, B; Costello, M; Sousa-Pinto, I; Saeedi, H; Newton, J; Appeltans, W; Bednarsek, N; Bedrossy, L; Best, BD; Brandt, A; Goodwin, KD; Iken, K; Marques, AC; Miloslavich, P; Ostrowski, M; Turner, W; Achterberg, EP; Barry, T; Defeo, O; Bigatti, G; Henry, LA; Ramiro-Sánchez, B; Durán, P; Morato, T; Roberts, JM; García-Alegre, A; Cuadrado, MS; Murton, B</t>
  </si>
  <si>
    <t>Canonico, Gabrielle; Buttigieg, Pier Luigi; Montes, Enrique; Muller-Karger, Frank E.; Stepien, Carol; Wright, Dawn; Benson, Abigail; Helmuth, Brian; Costello, Mark; Sousa-Pinto, Isabel; Saeedi, Hanieh; Newton, Jan; Appeltans, Ward; Bednarsek, Nina; Bedrossy, Lev; Best, Benjamin D.; Brandt, Angelika; Goodwin, Kelly D.; Iken, Katrin; Marques, Antonio C.; Miloslavich, Patricia; Ostrowski, Martin; Turner, Woody; Achterberg, Eric P.; Barry, Tom; Defeo, Omar; Bigatti, Gregorio; Henry, Lea-Anne; Ramiro-Sanchez, Berta; Duran, Pablo; Morato, Telmo; Roberts, J. Murray; Garcia-Alegre, Ana; Sacau Cuadrado, Mar; Murton, Bramley</t>
  </si>
  <si>
    <t>Global Observational Needs and Resources for Marine Biodiversity</t>
  </si>
  <si>
    <t>biodiversity; ecosystem health; habitat suitability indices; indicators; thresholds; essential ocean variables; essential biodiversity variables; omics</t>
  </si>
  <si>
    <t>TIME-SERIES; CORAL-REEFS; IN-SITU; OCEAN; MICROBIOME; CLIMATE; COASTAL; TRENDS; ENVIRONMENTS; DYNAMICS</t>
  </si>
  <si>
    <t>The diversity of life in the sea is critical to the health of ocean ecosystems that support living resources and therefore essential to the economic, nutritional, recreational, and health needs of billions of people. Yet there is evidence that the biodiversity of many marine habitats is being altered in response to a changing climate and human activity. Understanding this change, and forecasting where changes are likely to occur, requires monitoring of organism diversity, distribution, abundance, and health. It requires a minimum of measurements including productivity and ecosystem function, species composition, allelic diversity, and genetic expression. These observations need to be complemented with metrics of environmental change and socio-economic drivers. However, existing global ocean observing infrastructure and programs often do not explicitly consider observations of marine biodiversity and associated processes. Much effort has focused on physical, chemical and some biogeochemical measurements. Broad partnerships, shared approaches, and best practices are now being organized to implement an integrated observing system that serves information to resource managers and decision-makers, scientists and educators, from local to global scales. This integrated observing system of ocean life is now possible due to recent developments among satellite, airborne, and in situ sensors in conjunction with increases in information system capability and capacity, along with an improved understanding of marine processes represented in new physical, biogeochemical, and biological models.</t>
  </si>
  <si>
    <t>[Canonico, Gabrielle] NOAA, US Integrated Ocean Observing Syst, Silver Spring, MD 20910 USA; [Buttigieg, Pier Luigi] Helmholtz Zentrum Polar &amp; Meeresforsch, Alfred Wegener Inst, Bremerhaven, Germany; [Montes, Enrique; Muller-Karger, Frank E.] Univ S Florida, Coll Marine Sci, Inst Marine Remote Sensing, St Petersburg, FL USA; [Stepien, Carol] NOAA, Pacific Marine Environm Lab, 7600 Sand Point Way Ne, Seattle, WA 98115 USA; [Wright, Dawn] Environm Syst Res Inst, Redlands, CA USA; [Wright, Dawn] Oregon State Univ, Coll Earth Ocean &amp; Atmospher Sci, Corvallis, OR 97331 USA; [Benson, Abigail] US Geol Survey, Lakewood, CO 80225 USA; [Helmuth, Brian] Northeastern Univ, Dept Marine &amp; Environm Sci, Nahant, MA USA; [Costello, Mark] Univ Auckland, Inst Merine Sci, Auckland, New Zealand; [Sousa-Pinto, Isabel] Univ Porto, Fac Sci, CIIMAR CIMAR, Porto, Portugal; [Sousa-Pinto, Isabel] Univ Porto, Fac Sci, Dept Biol, Porto, Portugal; [Saeedi, Hanieh; Brandt, Angelika] Goethe Univ Frankfurt, Senckenberg Res Inst, Frankfurt, Germany; [Saeedi, Hanieh; Brandt, Angelika] Goethe Univ Frankfurt, Nat Hist Museum, Frankfurt, Germany; [Saeedi, Hanieh; Brandt, Angelika] Goethe Univ Frankfurt, Inst Ecol Evolut &amp; Divers, Frankfurt, Germany; [Newton, Jan] Northwest Assoc Networked Ocean Observing Syst, Seattle, WA USA; [Appeltans, Ward] UNESCO, IOC Project Off LODE, Intergovt Oceanog Commiss, Oostende, Belgium; [Bednarsek, Nina] Southern Calif Coastal Water Res Project, Costa Mesa, CA USA; [Bedrossy, Lev] CSIRO, Canberra, ACT, Australia; [Best, Benjamin D.] EcoQuants, Santa Barbara, CA USA; [Goodwin, Kelly D.] NOAA, Atlantic Oceanog &amp; Meteorol Lab, La Jolla, CA USA; [Iken, Katrin] Univ Alaska, Coll Fisheries &amp; Ocean Sci, Fairbanks, AK 99701 USA; [Marques, Antonio C.] Univ Sao Paulo, Dept Zool, Inst Biociencias, Sao Paulo, Brazil; [Miloslavich, Patricia] Univ Tasmania, Inst Marine &amp; Antarctic Studies, Hobart, Tas, Australia; [Miloslavich, Patricia] Univ Simon Boliver, Dept Environm Studies, Caracas, Venezuela; [Ostrowski, Martin] Macquarie Univ, Marine Res Ctr, Sydney, NSW, Australia; [Turner, Woody] NASA, Washington, DC 20546 USA; [Achterberg, Eric P.] GEOMAR Helmholtz Ctr Ocean Res Kiel, Kiel, Germany; [Barry, Tom] CAFF, Akureyri, Iceland; [Defeo, Omar] Fac Sci, Marine Sci Lab UNDECIMAR, Montevideo, Uruguay; [Bigatti, Gregorio] Univ Especialidades Espiritu Santo, Guayaquil, Ecuador; [Bigatti, Gregorio] Consejo Nacl Invest Cient &amp; Tecn, Inst Biol Organismos Merinos IBIOMAR, Puerto Madryn, Argentina; [Henry, Lea-Anne; Ramiro-Sanchez, Berta; Roberts, J. Murray] Univ Edinburgh, Edinburgh, Midlothian, Scotland; [Duran, Pablo; Garcia-Alegre, Ana; Sacau Cuadrado, Mar] Inst Espaol Oceanog, Ctr Oceanog Vigo, Vigo, Spain; [Morato, Telmo] Univ Acores, Inst Mar IMAR, Horta, Portugal; [Morato, Telmo] Univ Acores, Okeanos Res Unit, Horta, Portugal; [Murton, Bramley] Natl Oceanog Ctr, Southampton, Hants, England</t>
  </si>
  <si>
    <t>National Oceanic Atmospheric Admin (NOAA) - USA; Helmholtz Association; Alfred Wegener Institute, Helmholtz Centre for Polar &amp; Marine Research; State University System of Florida; University of South Florida; National Oceanic Atmospheric Admin (NOAA) - USA; Oregon State University; United States Department of the Interior; United States Geological Survey; Northeastern University; University of Auckland; Universidade do Porto; Universidade do Porto; Senckenberg Gesellschaft fur Naturforschung (SGN); Goethe University Frankfurt; Goethe University Frankfurt; Goethe University Frankfurt; Southern California Coastal Water Research Project; Commonwealth Scientific &amp; Industrial Research Organisation (CSIRO); National Oceanic Atmospheric Admin (NOAA) - USA; Atlantic Oceanographic &amp; Meteorological Laboratory (AOML); University of Alaska System; University of Alaska Fairbanks; Universidade de Sao Paulo; University of Tasmania; Macquarie University; National Aeronautics &amp; Space Administration (NASA); Helmholtz Association; GEOMAR Helmholtz Center for Ocean Research Kiel; Consejo Nacional de Investigaciones Cientificas y Tecnicas (CONICET); University of Edinburgh; Spanish Institute of Oceanography; Universidade dos Acores; Universidade dos Acores; NERC National Oceanography Centre</t>
  </si>
  <si>
    <t>Canonico, G (corresponding author), NOAA, US Integrated Ocean Observing Syst, Silver Spring, MD 20910 USA.</t>
  </si>
  <si>
    <t>gabrielle.canonico@noaa.gov</t>
  </si>
  <si>
    <t>Stepien, Carol Ann/GWU-8631-2022; Marques, Antonio/E-8049-2011; bednarsek, nina/AAM-7748-2021; Goodwin, Kelly D./B-4985-2014; Saeedi, Hanieh/AAD-9374-2020; gidley, maribeth L/B-8335-2014; A.Stepien, Carol/AAW-5270-2020; Pinto, Isabel Sousa/W-1591-2019; Achterberg, Eric P/C-5820-2009; Roberts, Murray/D-8299-2013; Sacau, Mar/AAD-4137-2020; Helmuth, Brian/AAD-2664-2019; Ostrowski, Martin/A-7118-2010; Barry, Tom/AAI-7111-2021; Bodrossy, Levente/B-8054-2009; Morato, Telmo/A-4548-2009</t>
  </si>
  <si>
    <t>Marques, Antonio/0000-0002-2884-0541; bednarsek, nina/0000-0002-9177-6626; Goodwin, Kelly D./0000-0001-9583-8073; Pinto, Isabel Sousa/0000-0002-9231-0553; Sacau, Mar/0000-0002-6529-3110; Helmuth, Brian/0000-0003-0180-3414; Ostrowski, Martin/0000-0002-4357-3023; Barry, Tom/0000-0002-0633-3602; BIGATTI, GREGORIO/0000-0001-7053-6802; Duran Munoz, Pablo/0000-0002-9618-4224; Henry, Lea-Anne/0000-0001-5134-1102; Buttigieg, Pier Luigi/0000-0002-4366-3088; Bodrossy, Levente/0000-0001-6940-452X; Miloslavich, Patricia/0000-0001-5409-1401; Benson, Abigail/0000-0002-4391-107X; Morato, Telmo/0000-0003-2393-4773; Montes, Enrique/0000-0002-3103-4479</t>
  </si>
  <si>
    <t>NASA [NNX14AP62A, 80NSSC18K0318, NOPP RFP NOAA-NOS-IOOS-2014-2003803]; European Union [678760]; HGF Infrastructure Programme FRAM of the Alfred-WegenerInstitut, Helmholtz-Zentrum fur Polar-und Meeresforschung; NERC [noc010011, NE/R000123/1] Funding Source: UKRI</t>
  </si>
  <si>
    <t>NASA(National Aeronautics &amp; Space Administration (NASA)); European Union(European Union (EU)); HGF Infrastructure Programme FRAM of the Alfred-WegenerInstitut, Helmholtz-Zentrum fur Polar-und Meeresforschung; NERC(UK Research &amp; Innovation (UKRI)Natural Environment Research Council (NERC))</t>
  </si>
  <si>
    <t>Contributions to this white manuscript were supported by: NASA grant NNX14AP62A National Marine Sanctuaries as Sentinel Sites for a Demonstration Marine Biodiversity Observation Network (MBON) funded under the National Ocean Partnership Program (NOPP RFP NOAA-NOS-IOOS-2014-2003803 in partnership between NOAA, BOEM, and NASA), and the U.S. Integrated Ocean Observing System (IOOS) Program Office; and NASA grant 80NSSC18K0318 Laying the Foundations of the Pole-to-Pole Marine Biodiversity Observation Network (MBON) of the Americas, under the A. 50 Group on Earth Observations Work Programme. This is also contribution #4988 from NOAA Pacific Marine Environmental Laboratory. Some authors received funding from the European Union's Horizon 2020 Research and Innovation Program under grant agreement no. 678760 (ATLAS); this output reflects only the authors' views and the European Union cannot be held responsible for any use that may be made of the information contained therein. Any use of trade, firm, or product names is for descriptive purposes only and does not imply endorsement by the United States Government. PB was supported by the HGF Infrastructure Programme FRAM of the Alfred-WegenerInstitut, Helmholtz-Zentrum fur Polar-und Meeresforschung.</t>
  </si>
  <si>
    <t>10.3389/fmars.2019.00367</t>
  </si>
  <si>
    <t>IK9TV</t>
  </si>
  <si>
    <t>WOS:000476940200001</t>
  </si>
  <si>
    <t>Needle, DB; Wise, AG; Gregory, CR; Maes, RK; Sidor, IF; Ritchie, BW; Agnew, D</t>
  </si>
  <si>
    <t>Needle, David B.; Wise, Annabel G.; Gregory, Christopher R.; Maes, Roger K.; Sidor, Inga F.; Ritchie, Branson W.; Agnew, Dalen</t>
  </si>
  <si>
    <t>Necrotizing Ventriculitis in Fledgling Chimney Swifts (Chaetura Pelagica) Associated With a Novel Adenovirus, Chimney Swift Adenovirus-1 (CsAdV-1)</t>
  </si>
  <si>
    <t>VETERINARY PATHOLOGY</t>
  </si>
  <si>
    <t>adenovirus; chaetura pelagica; chimney swift; in situ hybridization; polymerase chain reaction; ultrastructure; ventriculitis</t>
  </si>
  <si>
    <t>AVIAN POLYOMAVIRUS; FOWL ADENOVIRUS; PSITTACINE BEAK; GENOME ANALYSIS; INFECTION; DISEASE; ATADENOVIRUS; HEPATITIS; DIAGNOSIS; PROVIDES</t>
  </si>
  <si>
    <t>Five chimney swift fledglings died following a progressive loss of appetite and condition while being cared for by an experienced wildlife rehabilitator. All animals had severe necrotizing and heterophilic ventriculitis, with myriad epithelial cells characterized by karyomegaly with intranuclear inclusion bodies. Transmission electron microscopy showed distention of epithelial cell nuclei and chromatin peripheralization by nonenveloped, icosahedral, 75- to 85-nm-diameter virions. Degenerate nested PCR for a highly conserved region of the adenovirus DNA polymerase gene was positive. BLAST analysis of the amplicon sequence indicated the presence of a novel adenovirus, with 74% homology to Antarctic penguin adenoviruses and 72% homology to a bat adenovirus, at low query coverages of only 65% and 63%, respectively. BLAST analysis of the predicted amino acid sequence generated the highest scores for squamate adenoviruses at 100% query coverage. Based on phylogenetic analysis of the partial amino acid sequence of the DNA polymerase, the chimney swift virus was a novel adenovirus most closely related to the Atadenovirus genus. Using a probe based on the novel viral sequence, DNA in situ hybridization identified viral nucleic acid in the nucleus. While the tentatively named chimney swift adenovirus-1 (CsAdV-1) is so far classified with the Atadenoviruses, it is relatively divergent from other members of that genus and may represent the first identified member of a new genus of Adenoviruses.</t>
  </si>
  <si>
    <t>[Needle, David B.; Sidor, Inga F.] Univ New Hampshire, Coll Life Sci &amp; Agr, New Hampshire Vet Diagnost Lab, 21 Bot Ln, Durham, NH 03824 USA; [Wise, Annabel G.; Maes, Roger K.; Agnew, Dalen] Michigan State Univ, Vet Diagnost Lab, E Lansing, MI 48824 USA; [Gregory, Christopher R.; Ritchie, Branson W.] Univ Georgia, Emerging Dis Res Grp, Athens, GA 30602 USA; [Gregory, Christopher R.; Ritchie, Branson W.] Univ Georgia, Infect Dis Lab, Athens, GA 30602 USA</t>
  </si>
  <si>
    <t>University System Of New Hampshire; University of New Hampshire; Michigan State University; University System of Georgia; University of Georgia; University System of Georgia; University of Georgia</t>
  </si>
  <si>
    <t>Needle, DB (corresponding author), Univ New Hampshire, Coll Life Sci &amp; Agr, New Hampshire Vet Diagnost Lab, 21 Bot Ln, Durham, NH 03824 USA.</t>
  </si>
  <si>
    <t>David.Needle@unh.edu</t>
  </si>
  <si>
    <t>Needle, David/U-5235-2019</t>
  </si>
  <si>
    <t>Sidor, Inga/0000-0001-5169-6704; Needle, David/0000-0002-7215-5306</t>
  </si>
  <si>
    <t>SAGE PUBLICATIONS INC</t>
  </si>
  <si>
    <t>THOUSAND OAKS</t>
  </si>
  <si>
    <t>2455 TELLER RD, THOUSAND OAKS, CA 91320 USA</t>
  </si>
  <si>
    <t>0300-9858</t>
  </si>
  <si>
    <t>1544-2217</t>
  </si>
  <si>
    <t>VET PATHOL</t>
  </si>
  <si>
    <t>Vet. Pathol.</t>
  </si>
  <si>
    <t>10.1177/0300985819861717</t>
  </si>
  <si>
    <t>Pathology; Veterinary Sciences</t>
  </si>
  <si>
    <t>JE3CQ</t>
  </si>
  <si>
    <t>WOS:000477339700001</t>
  </si>
  <si>
    <t>Dobrica, E; Ogliore, RC; Engrand, C; Nagashima, K; Brearley, AJ</t>
  </si>
  <si>
    <t>Dobrica, Elena; Ogliore, Ryan C.; Engrand, Cecile; Nagashima, Kazuhide; Brearley, Adrian J.</t>
  </si>
  <si>
    <t>Mineralogy and oxygen isotope systematics of magnetite grains and a magnetite-dolomite assemblage in hydrated fine-grained Antarctic micrometeorites</t>
  </si>
  <si>
    <t>INTERPLANETARY DUST PARTICLES; TRANSMISSION ELECTRON-MICROSCOPY; TAGISH LAKE; AQUEOUS ALTERATION; CARBONACEOUS CHONDRITES; RICH MICROMETEORITES; ORGANIC-MATTER; CI; TEMPERATURES; ORIGIN</t>
  </si>
  <si>
    <t>We report the mineralogy and texture of magnetite grains, a magnetite-dolomite assemblage, and the adjacent mineral phases in five hydrated fine-grained Antarctic micrometeorites (H-FgMMs). Additionally, we measured the oxygen isotopic composition of magnetite grains and a magnetite-dolomite assemblage in these samples. Our mineralogical study shows that the secondary phases identified in H-FgMMs have similar textures and chemical compositions to those described previously in other primitive solar system materials, such as carbonaceous chondrites. However, the oxygen isotopic compositions of magnetite in H-FgMMs span a range of increment O-17 values from +1.3 parts per thousand to +4.2 parts per thousand, which is intermediate between magnetites measured in carbonaceous and ordinary chondrites (CCs and OCs). The delta O-18 values of magnetites in one H-FgMM have a similar to 27 parts per thousand mass-dependent spread in a single 100 x 200 mu m particle, indicating that there was a localized control of the fluid composition, probably due to a low water-to-rock mass ratio. The increment O-17 values of magnetite indicate that H-FgMMs sampled a different aqueous fluid than ordinary and carbonaceous chondrites, implying that the source of H-FgMMs is probably distinct from the asteroidal source of CCs and OCs. Additionally, we analyzed the oxygen isotopic composition of a magnetite-dolomite assemblage in one of the H-FgMMs (sample 03-36-46) to investigate the temperature at which these minerals coprecipitated. We have used the oxygen isotope fractionation between the coexisting magnetite and dolomite to infer a precipitation temperature between 160 and 280 degrees C for this sample. This alteration temperature is similar to 100-200 degrees C warmer than that determined from a calcite-magnetite assemblage from the CR2 chondrite Al Rais, but similar to the estimated temperature of aqueous alteration for unequilibrated OCs, CIs, and CMs. This suggests that the sample 03-36-46 could come from a parent body that was large enough to attain temperatures as high as the OCs, CIs, and CMs, which implies an asteroidal origin for this particular H-FgMM.</t>
  </si>
  <si>
    <t>[Dobrica, Elena; Brearley, Adrian J.] Univ New Mexico, Dept Earth &amp; Planetary Sci, MSC03-2040, Albuquerque, NM 87131 USA; [Ogliore, Ryan C.] Washington Univ, Dept Phys, St Louis, MO 63117 USA; [Engrand, Cecile] Univ Paris Saclay, Univ Paris Sud, Ctr Sci Nucl &amp; Sci Mat, Orsay Campus, F-91405 St Aubin, France; [Nagashima, Kazuhide] Univ Hawaii Manoa, Hawaii Inst Geophys &amp; Planetol, Honolulu, HI 96822 USA</t>
  </si>
  <si>
    <t>University of New Mexico; Washington University (WUSTL); Universite Paris Saclay; Universite Paris Cite; University of Hawaii System; University of Hawaii Manoa</t>
  </si>
  <si>
    <t>Dobrica, E (corresponding author), Univ New Mexico, Dept Earth &amp; Planetary Sci, MSC03-2040, Albuquerque, NM 87131 USA.</t>
  </si>
  <si>
    <t>edobrica@unm.edu</t>
  </si>
  <si>
    <t>Dobrica, Elena/0000-0002-7653-3431; Nagashima, Kazuhide/0000-0002-9322-3187; Brearley, Adrian/0000-0002-7364-8815</t>
  </si>
  <si>
    <t>NASA [NNH16ZDA001N]; CNRS; CNES; PNP</t>
  </si>
  <si>
    <t>NASA(National Aeronautics &amp; Space Administration (NASA)); CNRS(Centre National de la Recherche Scientifique (CNRS)); CNES(Centre National D'etudes Spatiales); PNP</t>
  </si>
  <si>
    <t>We thank T. Noguchi, an anonymous reviewer, and the associate editor, M. Zolensky for their insightful and constructive comments that helped to significantly improve this manuscript. This work was funded by NASA grant NNH16ZDA001N to E. Dobrica (PI). Sample preparation (focused ion beam) and transmission electron microscopy analysis were carried out in the Electron Microbeam Analysis Facility in the Department of Earth and Planetary Sciences and Institute of Meteoritics, University of New Mexico and at Washington University in St. Louis. Secondary ion mass spectrometer (SIMS) analyses were carried out in the W. M. Keck Cosmochemistry Laboratory, the University of Hawai'i at Manoa. The Micrometeorite collection at Dome C benefits from the logistical help from IPEV and PNRA. We thank CNRS, CNES, and PNP for funding micrometeorite studies.</t>
  </si>
  <si>
    <t>10.1111/maps.13366</t>
  </si>
  <si>
    <t>IY2CF</t>
  </si>
  <si>
    <t>WOS:000477403600001</t>
  </si>
  <si>
    <t>Zhao, C; Lodders, K; Bloom, H; Chen, H; Tian, Z; Koefoed, P; Peto, MK; Wang, K</t>
  </si>
  <si>
    <t>Zhao, Chen; Lodders, Katharina; Bloom, Hannah; Chen, Heng; Tian, Zhen; Koefoed, Piers; Peto, Maria K.; Wang, Kun</t>
  </si>
  <si>
    <t>Potassium isotopic compositions of enstatite meteorites</t>
  </si>
  <si>
    <t>MC-ICP-MS; CUMBERLAND FALLS; TERRESTRIAL AGES; EXPOSURE AGES; NOBLE-GASES; ORIGIN; EARTH; CHONDRITES; HETEROGENEITY; EVOLUTION</t>
  </si>
  <si>
    <t>Enstatite chondrites and aubrites are meteorites that show the closest similarities to the Earth in many isotope systems that undergo mass-independent and mass-dependent isotopic fractionations. Due to the analytical challenges to obtain high-precision K isotopic compositions in the past, potential differences in K isotopic compositions between enstatite meteorites and the Earth remained uncertain. We report the first high-precision K isotopic compositions of eight enstatite chondrites and four aubrites and find that there is a significant variation of K isotopic compositions among enstatite meteorites (from -2.34 parts per thousand to -0.18 parts per thousand). However, K isotopic compositions of nearly all enstatite meteorites scatter around the bulk silicate earth (BSE) value. The average K isotopic composition of the eight enstatite chondrites (-0.47 +/- 0.57 parts per thousand) is indistinguishable from the BSE value (-0.48 +/- 0.03 parts per thousand), thus further corroborating the isotopic similarity between Earth's building blocks and enstatite meteorite precursors. We found no correlation of K isotopic compositions with the chemical groups, petrological types, shock degrees, and terrestrial weathering conditions; however, the variation of K isotopes among enstatite meteorite can be attributed to the parent-body processing. Our sample of the main-group aubrite MIL 13004 is exceptional and has an extremely light K isotopic composition (delta K-41 = -2.34 +/- 0.12 parts per thousand). We attribute this unique K isotopic feature to the presence of abundant djerfisherite inclusions in our sample because this K-bearing sulfide mineral is predicted to be enriched in K-39 during equilibrium exchange with silicates.</t>
  </si>
  <si>
    <t>[Zhao, Chen; Lodders, Katharina; Bloom, Hannah; Chen, Heng; Tian, Zhen; Koefoed, Piers; Wang, Kun] Washington Univ, Dept Earth &amp; Planetary Sci, Campus Box 1169,One Brookings Dr, St Louis, MO 63130 USA; [Zhao, Chen; Lodders, Katharina; Bloom, Hannah; Chen, Heng; Tian, Zhen; Koefoed, Piers; Wang, Kun] Washington Univ, McDonnell Ctr Space Sci, Campus Box 1169,One Brookings Dr, St Louis, MO 63130 USA; [Zhao, Chen] China Univ Geosci, Fac Earth Sci, Wuhan 430074, Hubei, Peoples R China; [Peto, Maria K.] Hungarian Acad Sci, Res Ctr Astron &amp; Earth Sci, Konkoly Observ, H-1121 Budapest, Hungary</t>
  </si>
  <si>
    <t>Washington University (WUSTL); Washington University (WUSTL); China University of Geosciences; Hungarian Research Network; Hungarian Academy of Sciences; HUN-REN Research Centre for Astronomy &amp; Earth Sciences</t>
  </si>
  <si>
    <t>Wang, K (corresponding author), Washington Univ, Dept Earth &amp; Planetary Sci, Campus Box 1169,One Brookings Dr, St Louis, MO 63130 USA.;Wang, K (corresponding author), Washington Univ, McDonnell Ctr Space Sci, Campus Box 1169,One Brookings Dr, St Louis, MO 63130 USA.</t>
  </si>
  <si>
    <t>wangkun@wustl.edu</t>
  </si>
  <si>
    <t>Tian, Zhen/AAG-6420-2021; Wang, Kun/AAH-2172-2020</t>
  </si>
  <si>
    <t>Tian, Zhen/0000-0003-1758-3559; Zhao, Chen/0009-0001-0125-4489; Koefoed, Piers/0000-0002-4036-6088; Wang, Kun/0000-0003-0691-7058; Lodders, Katharina/0000-0001-7531-626X</t>
  </si>
  <si>
    <t>McDonnell Center for the Space Sciences; NSF [AST 1517541]; NASA; [MSCA IPUSS-753276]</t>
  </si>
  <si>
    <t>McDonnell Center for the Space Sciences; NSF(National Science Foundation (NSF)); NASA(National Aeronautics &amp; Space Administration (NASA));</t>
  </si>
  <si>
    <t>We dedicate this manuscript to the memory of Dr. Christine Floss, who studied enstatite meteorites during her PhD years at Washington University in St. Louis. We thank the Associate Editor Dr. Larry Nittler for prompt handling and thorough editing of this manuscript. We also thank reviewers Dr. Yogita Kadlag and Dr. Myriam Telus as well as one anonymous reviewer for their constructive comments. This work was supported by the McDonnell Center for the Space Sciences. Work by K.L. is supported in part by NSF AST 1517541. Work by M.K.P. is supported by grant MSCA IPUSS-753276. We thank ANSMET, Dr. Kevin Righter, and Meteorite Working Group at NASA's Johnson Space Center for collecting and curating Antarctic meteorites.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</si>
  <si>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JUN</t>
  </si>
  <si>
    <t>10.1111/maps.13358</t>
  </si>
  <si>
    <t>NA4ZX</t>
  </si>
  <si>
    <t>WOS:000477402700001</t>
  </si>
  <si>
    <t>Meyerink, SW; Boyd, PW; Maher, WA; Milne, A; Strzepek, R; Ellwood, MJ</t>
  </si>
  <si>
    <t>Meyerink, Scott W.; Boyd, Philip W.; Maher, William A.; Milne, Angela; Strzepek, Robert; Ellwood, Michael J.</t>
  </si>
  <si>
    <t>Putting the silicon cycle in a bag: Field and mesocosm observations of silicon isotope fractionation in subtropical waters east of New Zealand</t>
  </si>
  <si>
    <t>MARINE CHEMISTRY</t>
  </si>
  <si>
    <t>SUB-ANTARCTIC WATERS; SOUTHERN-OCEAN; INTERMEDIATE WATER; IRON; MARINE; ACID; SI; PHYTOPLANKTON; DIATOM; DYNAMICS</t>
  </si>
  <si>
    <t>A mesocosm experiment was used to investigate the fractionation of silicon (Si) isotopes in subtropical surface waters east of New Zealand. Surface waters in this region were characterised by relatively low concentrations of silicic acid (Si(OH)(4)) (similar to 2 mu mol L-1) and higher nitrate (similar to 5 mu mol L-1) and dissolved iron (Fe) concentrations (similar to 0.4 nmol L-1) prior to development of the annual springtime phytoplankton bloom. To simulate initiation of the bloom, a large (similar to 700 L) mesocosm experiment was undertaken whereby surface seawater containing the natural plankton community was incubated for a 168-h period. During the mesocosm experiment the concentrations of Si(OH)(4), nitrate, phosphate and dissolved iron all decreased while the concentration of biogenic silica (BSi) increased 12-fold. Coupled with the increase in BSi was a change in the Si-isotope composition of BSi (delta Si-30(Bsi)) which increased from 1.49 parts per thousand to 2.64 parts per thousand after 168 h. Complementary observations to those made for the mesocosm experiment were made for corresponding surface waters. For these waters, we observed a small decline in the concentrations of nitrate, phosphate and dissolved Fe, but little change in the concentrations of Si(OH)(4) and BSi. In contrast to the mesocosm experiment, surface water delta Si-30(Bsi) values became lighter during bloom initiation, suggestive of Si(OH)(4) being replenished into surface waters. These differences in the drawdown and utilisation of nutrients and dissolved Fe between the mesocosm and surface waters during bloom initiation likely result from favourable Fe and light supply conditions within the mesocosm. In contrast, water column stability (i.e. vertical mixing), and the supply of dissolved Fe are likely to influence bloom initiation and its longevity. The fractionation of Si-isotopes in the mesocosm experiment followed closed-system Rayleigh fractionation kinetics, and an enrichment factor (epsilon) of -1.13 parts per thousand was calculated for the exponential phase of growth for the diatom community, which was marked by the presence of the diatoms Asterionelopsis glacilis and Mellosira moniliformis. The isotope enrichment factor agreed well with previous observations of Si isotope fraction in diatoms from field communities, and appeared to be independent of variations in the ambient Si(OH)(4) concentration, and phytoplankton species composition.</t>
  </si>
  <si>
    <t>[Meyerink, Scott W.; Ellwood, Michael J.] Australian Natl Univ, Res Sch Earth Sci, Canberra, ACT, Australia; [Boyd, Philip W.; Strzepek, Robert] Univ Otago, Res Ctr Oceanog, NIWA, Dept Chem, Dunedin, New Zealand; [Maher, William A.] Univ Canberra, Inst Appl Ecol, Ecochem Lab, Bruce, Australia; [Milne, Angela] Univ Plymouth, Sch Geog Earth &amp; Environm Sci, Plymouth PL4 8AA, Devon, England; [Boyd, Philip W.; Strzepek, Robert] Univ Tasmania, Inst Marine &amp; Antarctic Studies, Hobart, Tas, Australia; [Boyd, Philip W.; Strzepek, Robert] Univ Tasmania, Antarctic Climate &amp; Ecosyst Cooperat Res Ctr, Hobart, Tas, Australia</t>
  </si>
  <si>
    <t>Australian National University; University of Otago; University of Canberra; University of Plymouth; University of Tasmania; Antarctic Climate &amp; Ecosystems Cooperative Research Centre (ACE CRC); University of Tasmania</t>
  </si>
  <si>
    <t>Meyerink, SW; Ellwood, MJ (corresponding author), Australian Natl Univ, Res Sch Earth Sci, Canberra, ACT, Australia.</t>
  </si>
  <si>
    <t>scott.meyerink@anu.edu.au; michael.ellwood@anu.edu.au</t>
  </si>
  <si>
    <t>Ellwood, Michael J/G-7390-2011; Strzepek, Robert Francis/GQH-8703-2022; Boyd, Philip/J-7624-2014; Milne, Angela/O-2786-2016</t>
  </si>
  <si>
    <t>Strzepek, Robert Francis/0000-0002-6442-7121; Boyd, Philip/0000-0001-7850-1911; Milne, Angela/0000-0002-3304-8962; Ellwood, Michael/0000-0003-4288-8530</t>
  </si>
  <si>
    <t>New Zealand Government; Australian Research Council [DP110100108, DP0770820, DP130100679]; Natural Environmental Research Council [NERC NE/H004475/1]; Australian Research Council [DP0770820] Funding Source: Australian Research Council</t>
  </si>
  <si>
    <t>New Zealand Government; Australian Research Council(Australian Research Council); Natural Environmental Research Council(UK Research &amp; Innovation (UKRI)Natural Environment Research Council (NERC)); Australian Research Council(Australian Research Council)</t>
  </si>
  <si>
    <t>This work was funded by the New Zealand Government through a grant to NIWA. We acknowledge the Australian Research Council for financial support (DP110100108, DP0770820, and DP130100679) and the Natural Environmental Research Council (NERC NE/H004475/1 awarded to Maeve Lohan to support AM). Thank Gregory de Souza and an anonymous reviewer for helpful comments that helped to improve the manuscript.</t>
  </si>
  <si>
    <t>0304-4203</t>
  </si>
  <si>
    <t>1872-7581</t>
  </si>
  <si>
    <t>MAR CHEM</t>
  </si>
  <si>
    <t>Mar. Chem.</t>
  </si>
  <si>
    <t>JUL 20</t>
  </si>
  <si>
    <t>10.1016/j.marchem.2019.04.008</t>
  </si>
  <si>
    <t>Chemistry, Multidisciplinary; Oceanography</t>
  </si>
  <si>
    <t>Chemistry; Oceanography</t>
  </si>
  <si>
    <t>IE9JQ</t>
  </si>
  <si>
    <t>WOS:000472691100001</t>
  </si>
  <si>
    <t>Chen, ML; Jung, JY; Lee, YK; Kim, TW; Hur, J</t>
  </si>
  <si>
    <t>Chen, Meilian; Jung, Jinyoung; Lee, Yun Kyung; Kim, Tae-Wan; Hur, Jin</t>
  </si>
  <si>
    <t>Production of tyrosine-like fluorescence and labile chromophoric dissolved organic matter (DOM) and low surface accumulation of low molecular weight-dominated DOM in a productive Antarctic sea</t>
  </si>
  <si>
    <t>Dissolved organic matter (DOM); Chromophoric DOM production; Net DOC production ratio,EEM-PARAFAC; SEC-OCD; Amundsen sea</t>
  </si>
  <si>
    <t>RESOLUTION MASS DATA; AMUNDSEN SEA; PHYTOPLANKTON BLOOMS; ROSS SEA; CARBON; POLYNYA; COASTAL; NUTRIENTS; ECOSYSTEMS; EMBAYMENT</t>
  </si>
  <si>
    <t>The Antarctic seas play critical roles in global carbon cycling. Yet, little is known about the dissolved organic matter (DOM) characteristics and the dynamics there. Here, we conducted an extensive study on the seawater DOM in the Amundsen Sea in the Pacific sector of the Southern Ocean. We found that low molecular weight fractions quantitatively dominated the DOM composition at the surface of the highly productive Amundsen Sea Polynya with the relative abundance reaching up to similar to 89%. Moreover, CDOM and tyrosine-like fluorescence generation were observed, with the average values of similar to 2.4-2.6 m(-1) (a(254)) and similar to 0.3 RU, respectively. While there is a net positive accumulation of dissolved organic carbon (DOC) at the ocean's surface, the net accumulation was negative for the chromophoric DOM (CDOM), which suggests a labile nature for the freshly produced CDOM. The estimated net DOC production ratio was only similar to 9 +/- 6%, which was less than the global level (similar to 17%). This finding signified a low surface accumulation of DOM in the austral summer, which is potentially explained by its nonlimiting nutrients, photo- and/or bio-labile nature of produced DOM, and long water residence time.</t>
  </si>
  <si>
    <t>[Chen, Meilian; Lee, Yun Kyung; Hur, Jin] Sejong Univ, Dept Environm &amp; Energy, Seoul 05006, South Korea; [Chen, Meilian] Guangdong Technion Israel Inst Technol, Environm Program, Shantou 515063, Peoples R China; [Jung, Jinyoung; Kim, Tae-Wan] Korea Polar Res Inst, Div Polar Ocean Environm, Incheon 21990, South Korea</t>
  </si>
  <si>
    <t>Sejong University; Guangdong Technion Israel Institute of Technology; Korea Polar Research Institute (KOPRI)</t>
  </si>
  <si>
    <t>Hur, J (corresponding author), Sejong Univ, Dept Environm &amp; Energy, Seoul 05006, South Korea.</t>
  </si>
  <si>
    <t>jinhur@sejong.ac.kr</t>
  </si>
  <si>
    <t>Chen, Meilian/Z-3581-2019; Kim, Tae-Wan/JGM-9981-2023</t>
  </si>
  <si>
    <t>Chen, Meilian/0000-0002-7876-353X; Kim, Tae-Wan/0000-0001-5257-7256; Lee, Yun Kyung/0000-0002-1876-4987</t>
  </si>
  <si>
    <t>National Research Foundation of Korea (NRF) - Korea Government (MSIP) [2017R1A4A1015393]; Korea Polar Research Institute project [PE18060]</t>
  </si>
  <si>
    <t>National Research Foundation of Korea (NRF) - Korea Government (MSIP)(National Research Foundation of KoreaMinistry of Science, ICT &amp; Future Planning, Republic of Korea); Korea Polar Research Institute project(Korea Polar Research Institute of Marine Research Placement (KOPRI))</t>
  </si>
  <si>
    <t>This work was supported by the National Research Foundation of Korea (NRF) grant funded by the Korea Government (MSIP) (No. 2017R1A4A1015393) and the Korea Polar Research Institute project (PE18060). The authors thank the captain and crew of the R/V Araon for help with sampling during the Antarctic Amundsen Sea expedition. Thanks go to Dr. Youhei Yamashita for helpful discussion. The authors also thank Dr. Ronald Benner for his insightful comments. Special thanks go to Dr. Boris Peter Koch for his comments and help with the FT-ICR-MS data re-calibration.</t>
  </si>
  <si>
    <t>10.1016/j.marchem.2019.04.009</t>
  </si>
  <si>
    <t>WOS:000472691100005</t>
  </si>
  <si>
    <t>Day, JMD; Harvey, RP; Hilton, DR</t>
  </si>
  <si>
    <t>Day, James M. D.; Harvey, Ralph P.; Hilton, David R.</t>
  </si>
  <si>
    <t>Melt-modified lithosphere beneath Ross Island and its role in the tectono-magmatic evolution of the West Antarctic Rift System</t>
  </si>
  <si>
    <t>CHEMICAL GEOLOGY</t>
  </si>
  <si>
    <t>Mesozoic; Mantle lithosphere; Melt-rock reaction; West Antarctic Rift System; Ross Island; Highly siderophile elements; Helium</t>
  </si>
  <si>
    <t>MARIE-BYRD-LAND; NORTHERN VICTORIA-LAND; HIGHLY SIDEROPHILE ELEMENTS; SOUTHERN NEW-ZEALAND; UPPER-MANTLE; CONTINENTAL LITHOSPHERE; ISOTOPE CONSTRAINTS; ALKALINE MAGMAS; FLEXURAL UPLIFT; EREBUS VOLCANO</t>
  </si>
  <si>
    <t>Mantle lithosphere influences rift system tectonic evolution, yet the age and composition of rifted lithosphere is typically difficult to constrain due to limited sampling. In the West Antarctic Rift System (WARS), Cenozoic to recent alkaline volcanic rocks yield a variety of peridotite and pyroxenite xenoliths that allow sampling of lithosphere. We report osmium and helium isotope data, elemental abundances, and petrology, for a suite of xenoliths and lavas from the Hut Point Peninsula of Ross Island. Recently (&lt; 1.3 Ma) erupted basanites yield fresh dunite and harzburgite (olivine forsterite [Fo] 90.1-88.2), lherzolite (Fo(90.6-87.4)), and pyroxenite xenoliths (Fo(89.3-87.3)). The basanite lavas contain abundant large olivine xenocrysts (Fo(89.7-88.0)), with more ferroan matrix olivine grains (Fo(83.7-81.2)) and have HIMU-like incompatible trace-element signatures. The He-3/He-4 ratios (6.8 +/- 0.3R(A); 2SD) defined by co-existing He-rich xenoliths indicate a mantle source distinct from high-He-3/He-4 plume mantle. Pyroxenite and lherzolite xenoliths have similar relative abundances of incompatible trace elements to host lavas, whereas dunite xenoliths have refractory compositions. Melt-rock reaction occurring in the xenoliths is demonstrated by replacement by amphibole or clinopyroxene to form pyroxenite and lherzolite lithologies, or as amphibole-impregnated dunites. The Re-187-Os-187 systematics of the lavas, pyroxenites and lherzolites define an apparent isochron, with an initial Os-187/Os-188 ratio of 0.1286 +/- 0.0001. The initial Os-187/Os-188 ratio is within uncertainty of dunite and harzburgite xenolith Os isotope compositions (0.1279-0.1303). Pervasive evidence for melt-rock interaction indicates that the straight-line relationship in Re-187/Os-188-Os-187/Os-188 space is a mixing line between high Re/Os lavas with radiogenic Os-187/Os-188, and dunite and harzburgite. Petrological and geochemical evidence indicates that dunite and harzburgite xenoliths represent young lithosphere, with rhenium depletion ages up to similar to 250 Ma. The timing of formation and composition of the Hut Point Peninsula xenoliths are consistent with both destruction and creation of mantle lithosphere during or after subduction along the Gondwana margin, prior to WARS formation. Modification of mantle lithosphere by subduction is also consistent with generation of HIMU-like metasomatized mantle reservoirs that fed Cenozoic to recent alkali volcanism of Mount Erebus and the WARS. The presence of young lithosphere within the WARS has collateral implications for rift dynamics and melting processes, especially beneath Mount Erebus, contrasting with older lithospheric mantle beneath the Trans-Antarctic Mountains and Marie Byrd Land.</t>
  </si>
  <si>
    <t>[Day, James M. D.; Hilton, David R.] Univ Calif San Diego, Scripps Inst Oceanog, La Jolla, CA 92093 USA; [Harvey, Ralph P.] Case Western Reserve Univ, Dept Geol Sci, Cleveland, OH 44106 USA</t>
  </si>
  <si>
    <t>University of California System; University of California San Diego; Scripps Institution of Oceanography; University System of Ohio; Case Western Reserve University</t>
  </si>
  <si>
    <t>Day, JMD (corresponding author), Univ Calif San Diego, Scripps Inst Oceanog, La Jolla, CA 92093 USA.</t>
  </si>
  <si>
    <t>jmdday@ucsd.edu</t>
  </si>
  <si>
    <t>Hilton, David R/B-7611-2008; Day, James/A-5099-2010</t>
  </si>
  <si>
    <t>Day, James/0000-0001-9520-3465</t>
  </si>
  <si>
    <t>National Science Foundation</t>
  </si>
  <si>
    <t>This paper is dedicated to our co-author and colleague, David Hilton, who passed away during the completion of this work. We thank D. Hamn for assistance in He isotope analyses and R. Walker for generous access to the TIMS lab at the University of Maryland. We are also grateful to the 2006/2007 Antarctic Search for Meteorites team (L. Chismadia, B. Cohen, M. Genge, C. Leight, S. Lorenzetti, S. Norman, D. Pettit, M. Rampey, J. Schutt, L. Welzenbach, N. Zellner) for their company and help with collection during the stay at McMurdo Station, and to the 2017/2018 'Team G058B' (I. Baziotis, J. Schutt, S. VanBommel) for their company and comments while this paper was written. Comments from C. Chauvel, A. McCoy-West, T. Rooney, and especially L. Reisberg, improved the quality of this work. This study was partially supported by the National Science Foundation.</t>
  </si>
  <si>
    <t>0009-2541</t>
  </si>
  <si>
    <t>1872-6836</t>
  </si>
  <si>
    <t>CHEM GEOL</t>
  </si>
  <si>
    <t>Chem. Geol.</t>
  </si>
  <si>
    <t>10.1016/j.chemgeo.2019.04.012</t>
  </si>
  <si>
    <t>HY8XH</t>
  </si>
  <si>
    <t>WOS:000468423200005</t>
  </si>
  <si>
    <t>Du, ZH; Xiao, CD; Handle, MJ; Mayewski, PA; Li, CJ; Liu, SW; Ma, XY; Yang, J</t>
  </si>
  <si>
    <t>Du, Zhiheng; Xiao, Cunde; Handle, Mike J.; Mayewski, Paul A.; Li, Chuanjin; Liu, Shiwei; Ma, Xiangyu; Yang, Jiao</t>
  </si>
  <si>
    <t>Fe variation characteristics and sources in snow samples along a traverse from Zhongshan Station to Dome A, East Antarctica</t>
  </si>
  <si>
    <t>Fe and trace elements; Rare earth element; Fe sources; Zhongshan-Dome A; East Antarctica</t>
  </si>
  <si>
    <t>ICE-SHEET SUMMIT; TRACE-ELEMENT; PHYTOPLANKTON BLOOMS; TALOS DOME; ROSS SEA; IRON; DUST; DEPOSITION; CHEMISTRY; SULFATE</t>
  </si>
  <si>
    <t>Iron concentrations in the Southern Ocean are thought to act as a driver of the regular glacial-interglacial cycles in atmospheric carbon dioxide (CO2). This study presents the concentrations of bioavailable Fe (dissolved Fe (DFe) and total dissolved Fe (TDFe)), major ions (Na+, K+, Mg2+, Ca2+, Cl-, NO3-, SO42- and methanesulfonic acid (MSA)), heavy metal elements (Sr, Pb, V, Ti and Cd), and rare earth elements (REEs; specifically, La, Ce, Pr, Nd, Sm, Eu, Gd, Tb, Dy, Ho, Er, Tm, Yb and Lu) and the oxygen and hydrogen isotopic compositions (delta O-18 and delta D) from a series of surface snow samples collected during from January 22 to February 5, 2017 along a traverse from Zhongshan Station to Dome A in East Antarctica. The results reflect the Antarctic surface snow Fe and the other trace element concentrations on the East Antarctica ice sheet. In particular, the DFe and TDFe concentrations were measured using inductively coupled plasma sector fieldmass spectrometry (SF-ICP-MS). The concentration patterns of DFe and TDFe show three different stages along this transect. First, there is an abrupt decrease with distance inland from the coast and then a slight decreasing trend with increasing elevation. The maximum concentrations were observed at distances of 450-600 km from the coast, indicating that there are different potential sources and/or transporting air masses. The variations show that the sources and processes that deliver bioavailable Fe differ along this transect. These data are useful for assessing bioavailable Fe release from the Antarctic ice sheet. (C) 2019 Elsevier B.V. All rights reserved.</t>
  </si>
  <si>
    <t>[Du, Zhiheng; Li, Chuanjin; Liu, Shiwei; Ma, Xiangyu; Yang, Jiao] Chinese Acad Sci, Northwest Inst Ecoenvimnment &amp; Resources, State Key Lab Cryospher Sci, Lanzhou 730000, Gansu, Peoples R China; [Xiao, Cunde] Beijing Normal Univ, State Key Lab Earth Surface Proc &amp; Resource Ecol, Beijing 100875, Peoples R China; [Handle, Mike J.; Mayewski, Paul A.] Univ Maine, Climate Change Inst, Orono, ME 04469 USA</t>
  </si>
  <si>
    <t>Chinese Academy of Sciences; Beijing Normal University; University of Maine System; University of Maine Orono</t>
  </si>
  <si>
    <t>Xiao, CD (corresponding author), Beijing Normal Univ, State Key Lab Earth Surface Proc &amp; Resource Ecol, Beijing 100875, Peoples R China.</t>
  </si>
  <si>
    <t>cdxiao@bnu.edu.cn</t>
  </si>
  <si>
    <t>liu, shiwei/HRC-8862-2023; Yang, Jiao/JTV-6688-2023; Mayewski, Paul Andrew/HRD-6969-2023</t>
  </si>
  <si>
    <t>National Natural Science Foundation of China [41425003, 41701071, 41421061, 41801054]; National Key Research and Development Program of China [2018YFC1406100]; CAS Light ofWest China Program</t>
  </si>
  <si>
    <t>National Natural Science Foundation of China(National Natural Science Foundation of China (NSFC)); National Key Research and Development Program of China; CAS Light ofWest China Program</t>
  </si>
  <si>
    <t>This work was supported by the National Natural Science Foundation of China (Grant Nos. 41425003, 41701071, 41421061 and 41801054); the National Key Research and Development Program of China (2018YFC1406100); and the CAS Light ofWest China Program. FuhaiWei, Xu Yao, Jinhai Yu and Nan Zhang are thanked for their help with logistics.</t>
  </si>
  <si>
    <t>10.1016/j.scitotenv.2019.04.139</t>
  </si>
  <si>
    <t>HX4SY</t>
  </si>
  <si>
    <t>WOS:000467391900035</t>
  </si>
  <si>
    <t>Varó, I; Perini, A; Torreblanca, A; Garcia, Y; Bergami, E; Vannuccini, ML; Corsi, I</t>
  </si>
  <si>
    <t>Varo, Inmaculada; Perini, Aurora; Torreblanca, Amparo; Garcia, Yaiza; Bergami, Elisa; Vannuccini, Maria L.; Corsi, Ilaria</t>
  </si>
  <si>
    <t>Time-dependent effects of polystyrene nanoparticles in brine shrimp Artemia franciscana at physiological, biochemical and molecular levels</t>
  </si>
  <si>
    <t>Polystyrene nanoparticles; Artemia franciscana; Toxicity; Biomarkers</t>
  </si>
  <si>
    <t>HEAT-SHOCK PROTEINS; SALINA; ACCUMULATION; NANOPLASTICS; INHIBITION; TOXICITY; MICROPLASTICS; NANOMATERIALS; ECOTOXICITY; DICHLORVOS</t>
  </si>
  <si>
    <t>Micro-(&lt;5 mm) and nanoplastics (&lt;1 mu m) are emerging threats for marine ecosystems worldwide. Brine shrimp Artemia is recognized as a suitable model among planktonic species for studying the impact of polystyrene nanoparticles (PS NPs) through short and long-term bioassays. Our study aims to evaluate the time-dependent effects of cationic amino-modified PS-NH2 (50 nm) in A. franciscana after short- (48 h) and long-term exposure (14 days). For this purpose, nauplii were exposed to a concentration range of PS-NH2 (0.1, 1, 3 and 10 mu g/mL) in natural sea water (NSW), and physiological, biochemical and molecular responses were investigated. Shortterm exposure to PS-NH2 caused a decrease in nauplii growth and affected the development in a concentration-dependent manner, long-term exposure impaired the survival, but not the growth and feeding behavior. Oxidative stress was detected after short term exposure as the decrease in the activity of antioxidant enzymes, and was fully evident in the long-term as lipid peroxidation, suggesting an accumulative effect. The decrease in Cholinesterase (ChE) activity observed indicates possible neurotoxic action of PS-NH2. Also, Carboxylesterase (CbE) inhibition by PS-NH2, described for the first time in this study, anticipates potential effects in biotransformation of exogenous and endogenous compounds, being the crustacean juvenile hormone methyl farnesoate (MF) that regulates development and molting, one candidate. Furthermore, short- and long-term exposure to PS-NH2 affect the expression of genes involved in cell protection, development and molting. Overall, our results reveal that low PS-NH2 concentrations induce physiological, biochemical and molecular (changes in gene expression) alterations in Artemia, and point at their potential risk for this model organism, supporting the general concern about nanoplastics occurrences in aquatic environments and their ability to represent an ecological threat for aquatic zooplanktonic species. (C) 2019 Elsevier B.V. All rights reserved.</t>
  </si>
  <si>
    <t>[Varo, Inmaculada; Perini, Aurora; Garcia, Yaiza] CSIC, IATS, Ribera De Cabanes 12595, Castellon, Spain; [Perini, Aurora; Bergami, Elisa; Vannuccini, Maria L.; Corsi, Ilaria] Univ Siena, Dept Phys Earth &amp; Environm Sci DSFTA, Siena, Italy; [Torreblanca, Amparo] Univ Valencia, Dept Cell Biol Funct Biol &amp; Phys Anthropol, Valencia, Spain; [Garcia, Yaiza] Univ Catolica Valencia, Fac Vet &amp; Ciencias Expt, Valencia, Spain</t>
  </si>
  <si>
    <t>Consejo Superior de Investigaciones Cientificas (CSIC); CSIC - Instituto de Acuicultura de Torre de la Sal (IATS); University of Siena; University of Valencia; Universidad Catolica de Valencia San Vicente Martir</t>
  </si>
  <si>
    <t>Varó, I (corresponding author), CSIC, IATS, Ribera De Cabanes 12595, Castellon, Spain.</t>
  </si>
  <si>
    <t>inma@iats.csic.es</t>
  </si>
  <si>
    <t>Perini, Deborah Aurora/HKE-7021-2023; Bergami, Elisa/JFJ-1703-2023; Corsi, Ilaria/D-3795-2012; Perini, Deborah Aurora/AAH-1749-2020; Varo, Inmaculada/B-2196-2012; Torreblanca, Amparo/E-2962-2010</t>
  </si>
  <si>
    <t>Perini, Deborah Aurora/0000-0002-7346-4266; Bergami, Elisa/0000-0001-8149-9584; Corsi, Ilaria/0000-0002-1811-3041; Perini, Deborah Aurora/0000-0002-7346-4266; Varo, Inmaculada/0000-0002-3937-3846; Vannuccini, Maria Luisa/0000-0002-1465-1926; Torreblanca, Amparo/0000-0001-5838-9635</t>
  </si>
  <si>
    <t>Generalitat Valenciana [GV-2014/085-Prometeo-II]; Italian Antarctic Research Program (PNRA) [PNRA 16_0075 NANOPANTA]</t>
  </si>
  <si>
    <t>Generalitat Valenciana(Center for Forestry Research &amp; Experimentation (CIEF)); Italian Antarctic Research Program (PNRA)</t>
  </si>
  <si>
    <t>This work was financed by Generalitat Valenciana (GV-2014/085-Prometeo-II), and Italian Antarctic Research Program (PNRA) contract number: PNRA 16_0075 NANOPANTA: Nano-Polymers in the Antarctic mariNe environmenT and biotA. PS NP characterization by DLS analysis was conducted at facilities available at the Department of Biotechnologies, Chemistry and Pharmacy of the University of Siena (Italy).</t>
  </si>
  <si>
    <t>10.1016/j.scitotenv.2019.04.157</t>
  </si>
  <si>
    <t>WOS:000467391900053</t>
  </si>
  <si>
    <t>Vergunst, J; Vollgger, SA; Hall, M; Cruden, AR</t>
  </si>
  <si>
    <t>Vergunst, J.; Vollgger, S. A.; Hall, M.; Cruden, A. R.</t>
  </si>
  <si>
    <t>Timing and characteristics of fractures along the Eastern Otway coastline, Great Ocean Road, Victoria</t>
  </si>
  <si>
    <t>AUSTRALIAN JOURNAL OF EARTH SCIENCES</t>
  </si>
  <si>
    <t>Otway Basin; brittle deformation; UAV; fracture formation; Eumeralla Formation; Eastern View Formation; Demons Bluff Group; Torquay Group</t>
  </si>
  <si>
    <t>APPALACHIAN PLATEAU; MOUNTAIN ANTICLINE; TORQUAY BASIN; FAULT; DEFORMATION; CONSTRAINTS; PREDICTION; SANDSTONE; BASEMENT; SYSTEMS</t>
  </si>
  <si>
    <t>Folded reservoir rocks (Eumeralla Formation) within the Otway Basin are of significant exploration interest for their geothermal and tight gas reservoir potential. Brittle deformation within the Eumeralla Formation (ca 113-100 Ma), along the Otway coastline of Victoria, reflects a protracted history of extension, contraction, erosion and uplift, since Australian-Antarctic separation in the Early Cretaceous. This paper investigates the relative timing of heterogeneously distributed fracture populations within both folded and unfolded areas along the Otway coastline. Data collection occurred across two stratigraphic units spanning the Early Cretaceous (Eumeralla Formation) to the late Cenozoic (Demons Bluff Group), in order to measure fracture geometries and determine the relative timing of fracture formation. An unmanned aerial vehicle has been used to facilitate the systematic and inexpensive acquisition of high-resolution orthophotographs along coastal platforms, in order to complement traditional field mapping of fracture populations. A NE-SW-orientated fracture set is observed exclusively within the Eumeralla Formation (St George fold hinge), while a NW-SE-orientated fracture set pre-dates hinge-parallel fractures. Significant fracture formation has been linked to a period of mid-Cretaceous uplift within the eastern Otway Basin (ca 95 Ma). The Eumeralla Formation and Demons Bluff Group also host a NNW-SSE-orientated fracture set that is inferred to largely post-date mid-Cretaceous folding. Sinistral displacement of fold hinges within the Eumeralla Formation, combined with thrust faulting within Cenozoic sediments, is interpreted to have occurred during an episode of late Miocene to early Pliocene shortening. This paper provides new insights into the history of brittle deformation in the eastern Otway Basin.</t>
  </si>
  <si>
    <t>[Vergunst, J.; Vollgger, S. A.; Hall, M.; Cruden, A. R.] Monash Univ, Dept Earth Atmosphere &amp; Environm, Clayton, Vic 3800, Australia</t>
  </si>
  <si>
    <t>Monash University</t>
  </si>
  <si>
    <t>Vergunst, J (corresponding author), Monash Univ, Dept Earth Atmosphere &amp; Environm, Clayton, Vic 3800, Australia.</t>
  </si>
  <si>
    <t>joel.vergunst@gmail.com</t>
  </si>
  <si>
    <t>Cruden, Alexander/0000-0001-6367-8589</t>
  </si>
  <si>
    <t>Geological Society of Australia through Endowment Fund</t>
  </si>
  <si>
    <t>This work was funded by the Geological Society of Australia through Endowment Fund.</t>
  </si>
  <si>
    <t>0812-0099</t>
  </si>
  <si>
    <t>1440-0952</t>
  </si>
  <si>
    <t>AUST J EARTH SCI</t>
  </si>
  <si>
    <t>Aust. J. Earth Sci.</t>
  </si>
  <si>
    <t>OCT 3</t>
  </si>
  <si>
    <t>10.1080/08120099.2019.1586770</t>
  </si>
  <si>
    <t>IQ3CB</t>
  </si>
  <si>
    <t>WOS:000477319000001</t>
  </si>
  <si>
    <t>Chakraborty, K; Ray, A; Chatterjee, A; Deb, GK; Das, K</t>
  </si>
  <si>
    <t>Chakraborty, Kuhu; Ray, Arijit; Chatterjee, Amitava; Deb, Gautam Kumar; Das, Kaushik</t>
  </si>
  <si>
    <t>Neoproterozoic granitic activity in syn-collisional setting: Insight from petrology, geochemistry, and zircon-monazite geochronology of S-type granites of the Chotanagpur Granite Gneissic Complex, eastern India</t>
  </si>
  <si>
    <t>anatexis; Chotanagpur Granite Gneissic Complex; geochronology; Grenvillian orogeny; S-type granite</t>
  </si>
  <si>
    <t>U-PB SHRIMP; PRINCE CHARLES MOUNTAINS; GHATS BELT; PRYDZ BAY; METAMORPHIC EVOLUTION; TECTONIC EVOLUTION; MEGHALAYA PLATEAU; SOUTHERN MARGIN; KHONDALITE BELT; WESTERN MARGIN</t>
  </si>
  <si>
    <t>The evidence of a long-lived Grenvillian orogeny around 1.0 Ga is preserved in the eastern part of India in the form of large-scale syn-collisional granitic activity and high-grade metamorphism in the Chotanagpur Granite Gneissic Complex (CGGC). Geochemically, granitoid rocks of CGGC were classified as ferroan, per-aluminous, and calc-alkalic to alkali-calcic S-type granites which were generated from the anatexis of meta-sedimentary protolith (khondalite) in a volcanic-arc to syn-collisional setting. Relatively high crystallization temperatures (800-850 degrees C for garnetiferous granite gneiss, 770-830 degrees C for megacrystic granite gneiss, and 639-725 degrees C for pink granite) of these rocks were calculated by geothermometric calculations. The REE modelling testified that 40-45% partial melting of the khondalite in H2O undersaturated condition at around 5-kbar pressure might have given rise to the parent magma of the garnetiferous granite gneiss (GGG). LA-ICPMS zircon (U-Pb) dating yielded the crystallization ages of the megacrystic granite gneiss (MGG) and pink granite (PG) as similar to 1.0 Ga, and EPMA monazite (U-Th-total Pb) dating suggested that the GGG was metamorphosed during 1.0 Ga. The 1.0-0.90 Ga age of high-grade metamorphism and anatexis in the CGGC may be correlated with that in the Rayner Complex-Eastern Ghats Belt in the Indo-Antarctic sector, which is considered as the result of Indo-Antarctic collision during the assembly of Rodinia.</t>
  </si>
  <si>
    <t>[Chakraborty, Kuhu] Jadavpur Univ, Dept Geol Sci, Kolkata, India; [Ray, Arijit; Deb, Gautam Kumar] Presidency Univ, Dept Geol, Kolkata 700073, India; [Chatterjee, Amitava; Das, Kaushik] Hiroshima Univ, Dept Earth &amp; Planetary Syst Sci, Hiroshima, Japan; [Chatterjee, Amitava] Chonbuk Natl Univ, Dept Earth &amp; Environm Sci, Jeonju, South Korea; [Das, Kaushik] Hiroshima Univ, Hiroshima Inst Plate Convergence Reg Res, Hiroshima 7398526, Japan</t>
  </si>
  <si>
    <t>Jadavpur University; Presidency University, Kolkata; Hiroshima University; Jeonbuk National University; Hiroshima University</t>
  </si>
  <si>
    <t>Ray, A (corresponding author), Presidency Univ, Dept Geol, Kolkata 700073, India.</t>
  </si>
  <si>
    <t>rayarijit22@gmail.com</t>
  </si>
  <si>
    <t>Das, Kaushik/G-9616-2016; Chatterjee, Amitava/AAU-6696-2020</t>
  </si>
  <si>
    <t>Das, Kaushik/0000-0002-2372-2095; chakraborty, kuhu/0000-0001-5249-5912; Chatterjee, Amitava/0000-0002-9229-7715</t>
  </si>
  <si>
    <t>Department of Science and Technology, Government of India [IF-160156]; National Research Foundation of Korea [NRF-2017K1A1A201380, NRF-2017R1A2B2011224]; Presidency University, FRPDF</t>
  </si>
  <si>
    <t>Department of Science and Technology, Government of India(Department of Science &amp; Technology (India)); National Research Foundation of Korea(National Research Foundation of Korea); Presidency University, FRPDF</t>
  </si>
  <si>
    <t>Department of Science and Technology, Government of India, Grant/Award Number: IF-160156; National Research Foundation of Korea, Grant/Award Numbers: NRF-2017K1A1A201380 and NRF-2017R1A2B2011224; Presidency University, FRPDF</t>
  </si>
  <si>
    <t>10.1002/gj.3555</t>
  </si>
  <si>
    <t>IZ4OT</t>
  </si>
  <si>
    <t>WOS:000477207700001</t>
  </si>
  <si>
    <t>Mathakutha, R; Steyn, C; le Roux, PC; Blom, IJ; Chown, SL; Daru, BH; Ripley, BS; Louw, A; Greve, M</t>
  </si>
  <si>
    <t>Mathakutha, Rabia; Steyn, Christien; le Roux, Peter C.; Blom, Izak J.; Chown, Steven L.; Daru, Barnabas H.; Ripley, Brad S.; Louw, Anche; Greve, Michelle</t>
  </si>
  <si>
    <t>Invasive species differ in key functional traits from native and non-invasive alien plant species</t>
  </si>
  <si>
    <t>JOURNAL OF VEGETATION SCIENCE</t>
  </si>
  <si>
    <t>above-ground traits; below-ground traits; climate change; soil nutrients; trait differences; trait similarities</t>
  </si>
  <si>
    <t>MARION ISLAND; METAANALYSIS; STRATEGIES; VEGETATION; IMPACTS; SCALE</t>
  </si>
  <si>
    <t>Questions Invasive species establish either by possessing traits, or trait trade-offs similar to native species, suggesting pre-adaptation to local conditions; or by having a different suite of traits and trait trade-offs, which allow them to occupy unfilled niches. The trait differences between invasives and non-invasives can inform on which traits confer invasibility. Here, we ask: (a) are invasive species functionally different or similar to native species? (b) which traits of invasives differ from traits of non-invasive aliens and thus confer invasibility? and (c) do results from the sub-Antarctic region, where this study was conducted, differ from findings from other regions? Location Sub-Antarctic Marion Island. Methods We measured 13 traits of all terrestrial native, invasive and non-invasive alien plant species. Using principal components analysis and phylogenetic generalized least-squares models, we tested for differences in traits between invasive (widespread alien species) and native species. Bivariate trait relationships between invasive and native species were compared using standardized major axis regressions to test for differences in trait trade-offs between the two groups. Second, using the same methods, we compared the traits of invasive species to non-invasive aliens (alien species that have not spread). Results Between invasive and native species, most traits differed, suggesting that the success of invasive species is mediated by being functionally different to native species. Additionally, most bivariate trait relationships differed either in terms of their y-intercept or their position on the axes, highlighting that plants are positioned differently along a spectrum of shared trait trade-offs. Compared to non-invasive aliens, invasive species had lower plant height, smaller leaf area, lower frost tolerance, and higher specific leaf area, suggesting that these traits are associated with invasiveness. The findings for the sub-Antarctic corresponded to those of other regions, except lower plant height which provides a competitive advantage to invaders in the windy sub-Antarctic context. Conclusion Our findings support the expectation that trait complexes of invasive species are predominantly different to those of coexisting native species, and that high resource acquisition and low defence investment are characteristic of invasive plant species.</t>
  </si>
  <si>
    <t>[Mathakutha, Rabia; Steyn, Christien; le Roux, Peter C.; Blom, Izak J.; Daru, Barnabas H.; Greve, Michelle] Univ Pretoria, Dept Plant &amp; Soil Sci, Pretoria, South Africa; [Chown, Steven L.] Monash Univ, Sch Biol Sci, Clayton, Vic, Australia; [Daru, Barnabas H.] Texas A&amp;M Univ, Dept Life Sci, Corpus Christi, TX USA; [Ripley, Brad S.] Rhodes Univ, Dept Bot, Grahamstown, South Africa; [Louw, Anche] Stellenbosch Univ, Dept Bot &amp; Zool, Stellenbosch, South Africa</t>
  </si>
  <si>
    <t>University of Pretoria; Monash University; Texas A&amp;M University System; Rhodes University; Stellenbosch University</t>
  </si>
  <si>
    <t>Mathakutha, R (corresponding author), Univ Pretoria, Dept Plant &amp; Soil Sci, Pretoria, South Africa.</t>
  </si>
  <si>
    <t>mathakutha.rabia03@gmail.com</t>
  </si>
  <si>
    <t>le Roux, Peter Christiaan/E-7784-2011; Chown, Steven/ABD-7646-2021; Ripley, Brad/AGP-3789-2022; Daru, Barnabas/B-4051-2011</t>
  </si>
  <si>
    <t>le Roux, Peter Christiaan/0000-0002-7941-7444; Daru, Barnabas/0000-0002-2115-0257; Ripley, Brad/0000-0002-4546-2618</t>
  </si>
  <si>
    <t>South African National Research Foundation [SNA14071475789]</t>
  </si>
  <si>
    <t>South African National Research Foundation(National Research Foundation - South Africa)</t>
  </si>
  <si>
    <t>Funding was from the South African National Research Foundation (SNA14071475789).</t>
  </si>
  <si>
    <t>1100-9233</t>
  </si>
  <si>
    <t>1654-1103</t>
  </si>
  <si>
    <t>J VEG SCI</t>
  </si>
  <si>
    <t>J. Veg. Sci.</t>
  </si>
  <si>
    <t>10.1111/jvs.12772</t>
  </si>
  <si>
    <t>Plant Sciences; Ecology; Forestry</t>
  </si>
  <si>
    <t>Plant Sciences; Environmental Sciences &amp; Ecology; Forestry</t>
  </si>
  <si>
    <t>JA5KB</t>
  </si>
  <si>
    <t>WOS:000477359700001</t>
  </si>
  <si>
    <t>Sutter, J; Fischer, H; Grosfeld, K; Karlsson, NB; Kleiner, T; Van Liefferinge, B; Eisen, O</t>
  </si>
  <si>
    <t>Sutter, Johannes; Fischer, Hubertus; Grosfeld, Klaus; Karlsson, Nanna B.; Kleiner, Thomas; Van Liefferinge, Brice; Eisen, Olaf</t>
  </si>
  <si>
    <t>Modelling the Antarctic Ice Sheet across the mid-Pleistocene transition - implications for Oldest Ice</t>
  </si>
  <si>
    <t>DOME C; CHRONOLOGY AICC2012; OCEAN TEMPERATURE; EAST ANTARCTICA; GROUNDING LINE; GLACIAL CYCLES; FLOW MODELS; CLIMATE; EVOLUTION; SURFACE</t>
  </si>
  <si>
    <t>The international endeavour to retrieve a continuous ice core, which spans the middle Pleistocene climate transition ca. 1.2-0.9 Myr ago, encompasses a multitude of field and model-based pre-site surveys. We expand on the current efforts to locate a suitable drilling site for the oldest Antarctic ice core by means of 3-D continental ice-sheet modelling. To this end, we present an ensemble of ice-sheet simulations spanning the last 2 Myr, employing transient boundary conditions derived from climate modelling and climate proxy records. We discuss the imprint of changing climate conditions, sea level and geothermal heat flux on the ice thickness, and basal conditions around previously identified sites with continuous records of old ice. Our modelling results show a range of configurational ice-sheet changes across the middle Pleistocene transition, suggesting a potential shift of the West Antarctic Ice Sheet to a marine-based configuration. Despite the middle Pleistocene climate reorganisation and associated ice-dynamic changes, we identify several regions conducive to conditions maintaining 1.5 Myr (million years) old ice, particularly around Dome Fuji, Dome C and Ridge B, which is in agreement with previous studies. This finding strengthens the notion that continuous records with such old ice do exist in previously identified regions, while we are also providing a dynamic continental ice-sheet context.</t>
  </si>
  <si>
    <t>[Sutter, Johannes; Grosfeld, Klaus; Karlsson, Nanna B.; Kleiner, Thomas; Eisen, Olaf] Helmholtz Ctr Polar &amp; Marine Res, Alfred Wegener Inst, D-27568 Bremerhaven, Germany; [Sutter, Johannes; Fischer, Hubertus] Univ Bern, Climate &amp; Environm Phys, Phys Inst, Bern, Switzerland; [Sutter, Johannes; Fischer, Hubertus] Univ Bern, Oeschger Ctr Climate Change Res, Bern, Switzerland; [Van Liefferinge, Brice] Univ Libre Bruxelles, Lab Glaciol, CP 160-03,Ave FD Roosevelt 50, B-1050 Brussels, Belgium; [Eisen, Olaf] Univ Bremen, Dept Geosci, Bremen, Germany; [Van Liefferinge, Brice] Norwegian Polar Res Inst, Fram Ctr, N-9296 Tromso, Norway</t>
  </si>
  <si>
    <t>Helmholtz Association; Alfred Wegener Institute, Helmholtz Centre for Polar &amp; Marine Research; University of Bern; University of Bern; Universite Libre de Bruxelles; University of Bremen; Norwegian Polar Institute</t>
  </si>
  <si>
    <t>Sutter, J (corresponding author), Helmholtz Ctr Polar &amp; Marine Res, Alfred Wegener Inst, D-27568 Bremerhaven, Germany.;Sutter, J (corresponding author), Univ Bern, Climate &amp; Environm Phys, Phys Inst, Bern, Switzerland.;Sutter, J (corresponding author), Univ Bern, Oeschger Ctr Climate Change Res, Bern, Switzerland.</t>
  </si>
  <si>
    <t>johannes.sutter@awi.de</t>
  </si>
  <si>
    <t>Kleiner, Thomas/F-6821-2015; Eisen, Olaf/K-3846-2012; Karlsson, Nanna Bjørnholt/G-4621-2018; Karlsson, Nanna B./M-4519-2014; Fischer, Hubertus/A-1211-2014</t>
  </si>
  <si>
    <t>Kleiner, Thomas/0000-0001-7825-5765; Eisen, Olaf/0000-0002-6380-962X; Karlsson, Nanna B./0000-0003-0423-8705; Sutter, Johannes/0000-0002-3357-2633; Fischer, Hubertus/0000-0002-2787-4221; Van Liefferinge, Brice/0000-0001-7495-1771</t>
  </si>
  <si>
    <t>European Union's Horizon 2020 research and innovation programme [730258]; Swiss State Secretariat for Education, Research and Innovation (SERI) [16.0144]; NASA [NNX17AG65G]; NSF [PLR-1603799, PLR-1644277]; PalMod project [01LP1511B]; H2020 Societal Challenges Programme [730258] Funding Source: H2020 Societal Challenges Programme</t>
  </si>
  <si>
    <t>European Union's Horizon 2020 research and innovation programme; Swiss State Secretariat for Education, Research and Innovation (SERI); NASA(National Aeronautics &amp; Space Administration (NASA)); NSF(National Science Foundation (NSF)); PalMod project; H2020 Societal Challenges Programme(Horizon 2020European Union (EU)H2020 Societal Challenges Programme)</t>
  </si>
  <si>
    <t>This publication was generated in the frame of Beyond EPICA - Oldest Ice (BE-OI). The project has received funding from the European Union's Horizon 2020 research and innovation programme (grant no. 730258) (BE-OI CSA). It has received funding from the Swiss State Secretariat for Education, Research and Innovation (SERI) (contract no. 16.0144). The work of Thomas Kleiner has been conducted in the framework of the PalMod project (grant no. 01LP1511B). Development of PISM is supported by NASA (grant no. NNX17AG65G) and NSF (grant nos. PLR-1603799 and PLR-1644277).</t>
  </si>
  <si>
    <t>JUL 19</t>
  </si>
  <si>
    <t>10.5194/tc-13-2023-2019</t>
  </si>
  <si>
    <t>IK3RA</t>
  </si>
  <si>
    <t>WOS:000476504900002</t>
  </si>
  <si>
    <t>Goto-Azuma, K; Hirabayashi, M; Motoyama, H; Miyake, T; Kuramoto, T; Uemura, R; Igarashi, M; Iizuka, Y; Sakurai, T; Horikawa, S; Suzuki, K; Suzuki, T; Fujita, K; Kondo, Y; Hattori, S; Fujii, Y</t>
  </si>
  <si>
    <t>Goto-Azuma, K.; Hirabayashi, M.; Motoyama, H.; Miyake, T.; Kuramoto, T.; Uemura, R.; Igarashi, M.; Iizuka, Y.; Sakurai, T.; Horikawa, S.; Suzuki, K.; Suzuki, T.; Fujita, K.; Kondo, Y.; Hattori, S.; Fujii, Y.</t>
  </si>
  <si>
    <t>Reduced marine phytoplankton sulphur emissions in the Southern Ocean during the past seven glacials</t>
  </si>
  <si>
    <t>EPICA ICE CORES; ANTARCTIC ICE; SEA-SALT; CHRONOLOGY AICC2012; DOME-C; CLIMATE; DUST; DIMETHYLSULFIDE; PRODUCTIVITY; TEMPERATURE</t>
  </si>
  <si>
    <t>Marine biogenic sulphur affects Earth's radiation budget and may be an indicator of primary productivity in the Southern Ocean, which is closely related to atmospheric CO2 variability through the biological pump. Previous ice-core studies in Antarctica show little climate dependence of marine biogenic sulphur emissions and hence primary productivity, contradictory to marine sediment records. Here we present new 720,000-year ice core records from Dome Fuji in East Antarctica and show that a large portion of non-sea-salt sulphate, which was traditionally used as a proxy for marine biogenic sulphate, likely originates from terrestrial dust during glacials. By correcting for this, we make a revised calculation of biogenic sulphate and find that its flux is reduced in glacial periods. Our results suggest reduced dimethylsulphide emissions in the Antarctic Zone of the Southern Ocean during glacials and provide new evidence for the coupling between climate and the Southern Ocean sulphur cycle.</t>
  </si>
  <si>
    <t>[Goto-Azuma, K.; Hirabayashi, M.; Motoyama, H.; Miyake, T.; Kuramoto, T.; Uemura, R.; Igarashi, M.; Sakurai, T.; Kondo, Y.; Fujii, Y.] Res Org Informat &amp; Syst, Natl Inst Polar Res, 10-3 Midori Cho, Tachikawa, Tokyo 1908518, Japan; [Goto-Azuma, K.; Motoyama, H.] Grad Univ Adv Studies SOKENDAI, Dept Polar Sci, 10-3 Midori Cho, Tachikawa, Tokyo 1908518, Japan; [Iizuka, Y.; Horikawa, S.] Hokkaido Univ, Inst Low Temp Sci, Kita Ku, Kita 19,Nishi 8, Sapporo, Hokkaido 0600819, Japan; [Suzuki, K.] Shinshu Univ, Fac Sci, 3-1-1 Asahi, Matsumoto, Nagano 3908621, Japan; [Suzuki, T.] Yamagata Univ, Fac Sci, 1-4-12 Kojirakawa Cho, Yamagata 9908560, Japan; [Uemura, R.; Fujita, K.] Nagoya Univ, Grad Sch Environm Studies, Chikusa Ku, Furo Cho, Nagoya, Aichi 4648601, Japan; [Hattori, S.] Tokyo Inst Technol, Dept Chem Sci &amp; Engn, Sch Mat &amp; Chem Technol, Yokohama, Kanagawa 2268502, Japan; [Kuramoto, T.] Tokai Univ, Sch Humanities &amp; Culture, Dept Human Dev, 4-1-1 Kitakaname, Hiratsuka, Kanagawa 2591292, Japan; [Sakurai, T.] Civil Engn Res Inst Cold Reg, Publ Works Res Inst, Toyohira Ku, 1-3-1-34 Hiragishi, Sapporo, Hokkaido 0628602, Japan; [Horikawa, S.] Nagoya Univ, Earthquake &amp; Volcano Res Ctr, Grad Sch Environm Studies, Chikusa, Furo Cho, Nagoya, Aichi 4648601, Japan</t>
  </si>
  <si>
    <t>Research Organization of Information &amp; Systems (ROIS); National Institute of Polar Research (NIPR) - Japan; Graduate University for Advanced Studies - Japan; Hokkaido University; Shinshu University; Yamagata University; Nagoya University; Tokyo Institute of Technology; Tokai University; PWRI: Public Works Research Institute; Nagoya University</t>
  </si>
  <si>
    <t>Goto-Azuma, K (corresponding author), Res Org Informat &amp; Syst, Natl Inst Polar Res, 10-3 Midori Cho, Tachikawa, Tokyo 1908518, Japan.;Goto-Azuma, K (corresponding author), Grad Univ Adv Studies SOKENDAI, Dept Polar Sci, 10-3 Midori Cho, Tachikawa, Tokyo 1908518, Japan.</t>
  </si>
  <si>
    <t>kumiko@nipr.ac.jp</t>
  </si>
  <si>
    <t>Hattori, Shohei/KGK-4865-2024; Iizuka, Yoshinori/D-9112-2012; Hattori, Shohei/C-1368-2015; Uemura, Ryu/AGR-0677-2022; Fujita, Koji/E-6104-2010; Uemura, Ryu/C-9793-2012; Motoyama, Hideaki/E-6103-2013</t>
  </si>
  <si>
    <t>Hattori, Shohei/0000-0002-4438-5462; Uemura, Ryu/0000-0002-4236-0085; Fujita, Koji/0000-0003-3753-4981; Uemura, Ryu/0000-0002-4236-0085; Kuramoto, Takayuki/0000-0002-3044-8127; Motoyama, Hideaki/0000-0003-2533-320X; Sakurai, Toshimitsu/0000-0002-9943-361X; Goto-Azuma, Kumiko/0000-0003-0992-1079</t>
  </si>
  <si>
    <t>MEXT [15101001, 21221002, 15H01731, 17H06316]; National Institute of Polar Research [KP305]; Grants-in-Aid for Scientific Research [15H01731, 17H06316, 15101001] Funding Source: KAKEN</t>
  </si>
  <si>
    <t>MEXT(Ministry of Education, Culture, Sports, Science and Technology, Japan (MEXT));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</si>
  <si>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We thank the Dome Fuji Deep Ice Core Project members who contributed to the ice coring and ice core processing. The Japanese Antarctic Research Expedition (JARE), managed by the Ministry of Education, Culture, Sports, Science and Technology (MEXT), provided primary logistical support for the Dome Fuji Deep Ice Core Project. We thank Eric Wolff and Hubertus Fischer who provided the EDC and EDML ion data and valuable comments on the manuscript. We thank Yutaka Tobo for discussions regarding the chemical reactions of mineral aerosols, and two reviewers for their constructive comments. We also thank Yoshimi Ogawa-Tsukagawa for her help in drawing diagrams. This study was supported in part by MEXT (Grant-in-Aid for Scientific Research 15101001, 21221002, 15H01731, and 17H06316) and National Institute of Polar Research (Project Research KP305).</t>
  </si>
  <si>
    <t>10.1038/s41467-019-11128-6</t>
  </si>
  <si>
    <t>IK3ED</t>
  </si>
  <si>
    <t>WOS:000476471300055</t>
  </si>
  <si>
    <t>Xie, SR; Dixow, TH; Holland, DM; Voytenko, D; Vanková, I</t>
  </si>
  <si>
    <t>Xie, Surui; Dixow, Timothy H.; Holland, David M.; Voytenko, Denis; Vankova, Irena</t>
  </si>
  <si>
    <t>Rapid iceberg calving following removal of tightly packed pro-glacial melange</t>
  </si>
  <si>
    <t>JAKOBSHAVN ISBRAE; ICE MELANGE; TERMINATING GLACIER; HELHEIM GLACIER; WEST GREENLAND; TERMINUS; VELOCITY; MARINE; VARIABILITY; STABILITY</t>
  </si>
  <si>
    <t>Iceberg calving is a major contributor to Greenland's ice mass loss. Pro-glacial melange (a mixture of sea ice, icebergs, and snow) may be tightly packed in the long, narrow fjords that front many marine-terminating glaciers and can reduce calving by buttressing. However, data limitations have hampered a quantitative understanding. We develop a new radar-based approach to estimate time-varying elevations near the melange-glacier interface, generating a factor of three or more improvement in elevation precision. We apply the technique to Jakobshavn Isbrae, Greenland's major outlet glacier. Over a one-month period in early summer 2016, the glacier experienced essentially no calving, and was buttressed by an unusually thick melange wedge that increased in thickness towards the glacier front. The extent and thickness of the wedge gradually decreased, with large-scale calving starting once the melange mass within 7 km of the glacier front had decreased by &gt;40%.</t>
  </si>
  <si>
    <t>[Xie, Surui; Dixow, Timothy H.; Voytenko, Denis] Univ S Florida, Sch Geosci, Tampa, FL 33620 USA; [Holland, David M.; Vankova, Irena] NYU, Courant Inst Math Sci, New York, NY 10012 USA; [Holland, David M.; Vankova, Irena] New York Univ Abu Dhabi, Ctr Global Sea Level Change, Abu Dhabi 129188, U Arab Emirates; [Vankova, Irena] NERC, British Antarctic Survey, Cambridge CB3 0ET, England</t>
  </si>
  <si>
    <t>State University System of Florida; University of South Florida; New York University; New York University Abu Dhabi; UK Research &amp; Innovation (UKRI); Natural Environment Research Council (NERC); NERC British Antarctic Survey</t>
  </si>
  <si>
    <t>Xie, SR (corresponding author), Univ S Florida, Sch Geosci, Tampa, FL 33620 USA.</t>
  </si>
  <si>
    <t>suruixie@mail.usf.edu</t>
  </si>
  <si>
    <t>Xie, Surui/0000-0002-1484-0671</t>
  </si>
  <si>
    <t>NASA [NNX12AK29G]; NYU Abu Dhabi grant [G1204]; NSF [ARC-1304137]; NASA Oceans Melting Greenland [NNX15AD55G]; Polar Geospatial Center under NSF-OPP [1043681, 1559691, 1542736]; NASA [43467, NNX12AK29G, 808718, NNX15AD55G] Funding Source: Federal RePORTER</t>
  </si>
  <si>
    <t>NASA(National Aeronautics &amp; Space Administration (NASA)); NYU Abu Dhabi grant; NSF(National Science Foundation (NSF)); NASA Oceans Melting Greenland; Polar Geospatial Center under NSF-OPP; NASA(National Aeronautics &amp; Space Administration (NASA))</t>
  </si>
  <si>
    <t>Denise Holland at the Center for Global Sea Level Change in New York University Abu Dhabi organized the field logistics. Fanghui Deng at the University of South Florida is thanked for helpful discussions. This research was partially supported by NASA grant NNX12AK29G to T. H. D. D. M. H. acknowledges support from NYU Abu Dhabi grant G1204, NSF award ARC-1304137, and NASA Oceans Melting Greenland NNX15AD55G. ArcticDEM provided by the Polar Geospatial Center under NSF-OPP awards 1043681, 1559691, and 1542736.</t>
  </si>
  <si>
    <t>10.1038/s41467-019-10908-4</t>
  </si>
  <si>
    <t>WOS:000476471300058</t>
  </si>
  <si>
    <t>Kloster, M; Rigual-Hernández, AS; Armand, LK; Kauer, G; Trull, TW; Beszteri, B</t>
  </si>
  <si>
    <t>Kloster, Michael; Rigual-Hernandez, Andres S.; Armand, Leanne K.; Kauer, Gerhard; Trull, Thomas W.; Beszteri, Bank</t>
  </si>
  <si>
    <t>Temporal changes in size distributions of the Southern Ocean diatom Fragilariopsis kerguelensis through high-throughput microscopy of sediment trap samples</t>
  </si>
  <si>
    <t>DIATOM RESEARCH</t>
  </si>
  <si>
    <t>morphometry; phytoplankton; SHERPA; slide scanner; valve size distribution</t>
  </si>
  <si>
    <t>POLAR FRONTAL ZONES; LIFE-CYCLE; SEXUAL REPRODUCTION; AUXOSPORE FORMATION; SURFACE SEDIMENTS; IRON-DEFICIENCY; CELL-SIZE; PHYTOPLANKTON; SINKING; ACIDIFICATION</t>
  </si>
  <si>
    <t>Some aspects of the life cycle of the Southern Ocean diatom Fragilariopsis kerguelensis have been investigated previously, but many of its details have not been surveyed in nature. We investigated material from a two-year sediment trap time series by high-throughput imaging and image analysis, looking for morphometric signals of life cycle stages. Valve length distributions appeared close to unimodal but positively (right-) skewed. Size cohorts resulting from synchronized sexual reproduction events were not clearly distinguishable. Nevertheless, based on changes in valve length distributions, we found three general seasonal phases. These corresponded to periods of proliferation (with higher proportions of smaller cells during late spring/early summer), cessation of growth (relative loss of smaller cells during late summer/early autumn), and overwintering (little change in size distributions, with an increased proportion of large cells). We discuss possible causes of these signals, and their relevance to growth, sexual activity and adaption to environmental conditions, such as grazing pressures and the need for an overwintering strategy.</t>
  </si>
  <si>
    <t>[Kloster, Michael; Beszteri, Bank] Helmholtz Zentrum Polar &amp; Meeresforsch, Alfred Wegener Inst, Handelshafen 12, D-27570 Bremerhaven, Germany; [Kloster, Michael; Kauer, Gerhard] Univ Appl Sci Emden Leer, Constantiapl 4, D-26723 Emden, Germany; [Rigual-Hernandez, Andres S.] Univ Salamanca, Dept Geol, Area Paleontol, E-37008 Salamanca, Spain; [Armand, Leanne K.] Australian Natl Univ, 142 Mills Rd, Canberra, ACT 2601, Australia; [Trull, Thomas W.] Commonwealth Sci &amp; Ind Res Org Oceans &amp; Atmospher, Antarctic Climate &amp; Ecosyst Cooperat Res Ctr, Hobart, Tas 7001, Australia</t>
  </si>
  <si>
    <t>Helmholtz Association; Alfred Wegener Institute, Helmholtz Centre for Polar &amp; Marine Research; University of Salamanca; Australian National University; Commonwealth Scientific &amp; Industrial Research Organisation (CSIRO); Antarctic Climate &amp; Ecosystems Cooperative Research Centre (ACE CRC)</t>
  </si>
  <si>
    <t>Kloster, M (corresponding author), Helmholtz Zentrum Polar &amp; Meeresforsch, Alfred Wegener Inst, Handelshafen 12, D-27570 Bremerhaven, Germany.;Kloster, M (corresponding author), Univ Appl Sci Emden Leer, Constantiapl 4, D-26723 Emden, Germany.</t>
  </si>
  <si>
    <t>michael.kloster@awi.de</t>
  </si>
  <si>
    <t>Armand, Leanne K/C-9004-2009; Beszteri, Bank/D-1961-2010; Rigual-Hernández, Andrés/E-2041-2018</t>
  </si>
  <si>
    <t>Beszteri, Bank/0000-0002-6852-1588; Rigual-Hernández, Andrés/0000-0003-1521-3896; Armand, Leanne/0000-0003-3995-308X; Kloster, Michael/0000-0001-9244-4925</t>
  </si>
  <si>
    <t>Deutsche Forschungsgemeinschaft (DFG) [BE4316/4-1, KA1655/3-1]; Helmholtz Graduate School for Polar and Marine Research (POLMAR); Australian Government's Australian Antarctic Science Grant Program [4078]; Macquarie University; Australian Antarctic Division [AAS1156, AAS2256]</t>
  </si>
  <si>
    <t>Deutsche Forschungsgemeinschaft (DFG)(German Research Foundation (DFG)); Helmholtz Graduate School for Polar and Marine Research (POLMAR); Australian Government's Australian Antarctic Science Grant Program(Australian Government); Macquarie University; Australian Antarctic Division</t>
  </si>
  <si>
    <t>This work was supported by the Deutsche Forschungsgemeinschaft (DFG) in the framework of the priority programme 1158 'Antarctic Research with comparative investigations in Arctic ice areas' under grant nr. BE4316/4-1, KA1655/3-1; and by an outgoing scholarship, as well as travel expenses, granted by the Helmholtz Graduate School for Polar and Marine Research (POLMAR). Part of this work was supported by the Australian Government's Australian Antarctic Science Grant Program under project number 4078, and Macquarie University (A. RigualHernandez and L. Armand). The sediment trap samples were collected by the ACE CRC with logistic support from the Australian Antarctic Division under grants AAS1156 and AAS2256 to T.W. Trull.</t>
  </si>
  <si>
    <t>0269-249X</t>
  </si>
  <si>
    <t>2159-8347</t>
  </si>
  <si>
    <t>DIATOM RES</t>
  </si>
  <si>
    <t>Diatom Res.</t>
  </si>
  <si>
    <t>JUL 3</t>
  </si>
  <si>
    <t>10.1080/0269249X.2019.1626770</t>
  </si>
  <si>
    <t>Marine &amp; Freshwater Biology</t>
  </si>
  <si>
    <t>JL6LH</t>
  </si>
  <si>
    <t>hybrid, Green Published</t>
  </si>
  <si>
    <t>WOS:000481750900001</t>
  </si>
  <si>
    <t>Wang, Y; Kang, JH; Xiang, P; Ye, YY; Lin, HS; Lin, M</t>
  </si>
  <si>
    <t>Wang, Yu; Kang, Jian-hua; Xiang, Peng; Ye, You-yin; Lin, He-shan; Lin, Mao</t>
  </si>
  <si>
    <t>Phytoplankton communities and size-fractioned chlorophyll a in newly opened summer waters of the central Arctic Ocean</t>
  </si>
  <si>
    <t>Phytoplankton community; Size-fractionated chl a; Picophytoplankton; Spatial distribution; Central Arctic Ocean; Summertime</t>
  </si>
  <si>
    <t>SEA-ICE; CANADA BASIN; PACIFIC-OCEAN; PICOPLANKTON; TEMPERATURE; ABUNDANCE; PICOPHYTOPLANKTON; NUTRIENT; BIOMASS; MARINE</t>
  </si>
  <si>
    <t>The rapid decline of sea ice extent during the Arctic summer season has profound implications for the pelagic ecosystem. During the 4th Chinese National Arctic Research Expedition (4th CHINARE) in August 2010, a snapshot of the spatial distribution of phytoplankton communities (&gt;10 mu m) and size-fractionated chlorophyll a (chl a) in newly opened waters in the central area of the western Arctic Ocean (80-86 degrees N) was studied. Potential environmental drivers were linked with community profiles to assess the influences of water masses and sea ice shrinking. Results indicate that the central Arctic Ocean exhibits a typical low-nutrient low-chl a environment accompanied with low phytoplankton diversity and abundance. A total of 49 taxa belonging to 25 genera from 5 classes were identified by the Utermohl method, with diatoms (Chaetoceros spp., Nitzschia spp., Thalassiosira nordenskioldii and Nitzschia longissima) numerically dominating the community. Based on chl a contributions, picophytoplankton (&lt;2 mu m) were most abundant, followed by nanophytoplankton (2-20 mu m) and microphytoplankton (&gt;20 mu m). Phytoplankton abundance and size-fractionated chl a differed significantly between the early ice-melting northern Canada Basin, influenced by summer Bering shelf water, and near the Alpha Ridge, where ice coverage is thicker. Redundancy analysis and Spearman's correlation suggest that salinity, temperature and nitrate concentration are the major factors influencing phytoplankton abundance and size-fractionated chl a. In addition, irradiance plays an important regulatory role in the vertical variation of size-fractionated chl a, where low-light adapted picophytoplankton dominate at the bottom of the euphotic zone. These results support previous studies showing the advantage of picophytoplankton in oligotrophic and light-limited environments such as the central Arctic Ocean.</t>
  </si>
  <si>
    <t>[Wang, Yu; Kang, Jian-hua; Xiang, Peng; Ye, You-yin; Lin, He-shan; Lin, Mao] Minist Nat Resources, Inst Oceanog 3, Lab Marine Biol &amp; Ecol, Xiamen 361005, Fujian, Peoples R China</t>
  </si>
  <si>
    <t>Third Institute of Oceanography, Ministry of Natural Resources; Ministry of Natural Resources of the People's Republic of China</t>
  </si>
  <si>
    <t>Lin, M (corresponding author), Minist Nat Resources, Inst Oceanog 3, Lab Marine Biol &amp; Ecol, Xiamen 361005, Fujian, Peoples R China.</t>
  </si>
  <si>
    <t>linmao@tio.org.cn</t>
  </si>
  <si>
    <t>Kang, Jianhua/HJY-4662-2023; Wang, Yu/HLP-6716-2023</t>
  </si>
  <si>
    <t>Kang, Jianhua/0000-0001-8105-3195;</t>
  </si>
  <si>
    <t>National Natural Science Foundation of China [41506217, 41506136, 41306115]; Ministry of Science and Technology [GASI-01-02-04]; Chinese Arctic and Antarctic Administration</t>
  </si>
  <si>
    <t>National Natural Science Foundation of China(National Natural Science Foundation of China (NSFC)); Ministry of Science and Technology(Spanish Government); Chinese Arctic and Antarctic Administration</t>
  </si>
  <si>
    <t>The authors thank Dr. Senming Tang from Hongkong University for fruitful discussion and for helping to revise the manuscript, Prof. Jinping Zhao and Professor Jiuxin Shi of the Ocean University of China for temperature and salinity data, Mr. Hongliang Li of the Second Institute of Oceanography, Ministry of Natural Re sources (MNR) for nutrient measurement and Mr. Xiuwu Sun of the Third Institute of Oceanography, MNR for DO data. This study was partially supported by the National Natural Science Foundation of China (Project Nos. 41506217, 41506136 and 41306115), the Ministry of Science and Technology (Project Nos. GASI-01-02-04). This work was also supported by the Chinese Arctic and Antarctic Administration and the crews of the fourth Chinese National Arctic Research Expedition in 2010.</t>
  </si>
  <si>
    <t>JUL 18</t>
  </si>
  <si>
    <t>10.3354/meps13001</t>
  </si>
  <si>
    <t>IX5PF</t>
  </si>
  <si>
    <t>WOS:000485735400005</t>
  </si>
  <si>
    <t>Deakin, Z; Hamer, KC; Sherley, RB; Bearhop, S; Bodey, TW; Clark, BL; Grecian, WJ; Gummery, M; Lane, J; Morgan, G; Morgan, L; Phillips, RA; Wakefield, ED; Votier, SC</t>
  </si>
  <si>
    <t>Deakin, Zoe; Hamer, Keith C.; Sherley, Richard B.; Bearhop, Stuart; Bodey, Thomas W.; Clark, Bethany L.; Grecian, W. James; Gummery, Matt; Lane, Jude; Morgan, Greg; Morgan, Lisa; Phillips, Richard A.; Wakefield, Ewan D.; Votier, Stephen C.</t>
  </si>
  <si>
    <t>Sex differences in migration and demography of a wide-ranging seabird, the northern gannet</t>
  </si>
  <si>
    <t>Migratory; Seabird; Sex; Geolocator; Canary Current; Large Marine Ecosystem; Capture-mark-recapture</t>
  </si>
  <si>
    <t>POPULATION-DYNAMICS; FORAGING BEHAVIOR; STABLE-ISOTOPES; MORUS-BASSANUS; TRACKING; STRATEGIES; FISHERIES; SURVIVAL; VULNERABILITY; CONSEQUENCES</t>
  </si>
  <si>
    <t>Marine vertebrates show a diversity of migration strategies, including sex differences. This may lead to differential demography, but the consequences of such between-sex variation are little understood. Here, we studied the migration of known-sex northern gannets Morus bassanus - a partial migrant with females similar to 8% heavier than males. We used geolocators to determine wintering areas of 49 breeding adults (19 females and 30 males during 2010 to 2014) from 2 colonies in the northeast Atlantic (Bass Rock and Grassholm, UK). We also tested for sex-specific survival probabilities using capture-mark-recapture methods (n = 72 individuals Bass Rock, n = 229 individuals Grassholm; 2010-2018) and applied sex-specific population projection matrices (PPMs) to quantify population-level effects. Tracked gannets wintered in a range of large marine ecosystems (LMEs): Canary Current LME (CCLME; 69%), Celtic-Biscay Shelf LME (16%), Iberian Coastal LME (8%), North Sea LME (4 %) or Mediterranean LME (2 %). Migratory destination differed between the sexes: 90% of females vs. 57 % of males wintered in the CCLME. Survival was similar between the sexes at Bass Rock (mean +/- 95 % CI = 0.951 +/- 0.053 and 0.956 +/- 0.047 for females and males, respectively). At Grassholm, there was evidence of slight sex differences in breeder survival: females had lower annual survival (0.882 +/- 0.040) than males (0.946 +/- 0.026). At Bass Rock, PPMs with no sex effect best fitted the observed population increase (1994-2014). Sex-specific PPMs fitted the population estimates for Grassholm (1995-2015). Our results reveal that female gannets are more likely to travel further than males to winter in the CCLME. This difference is unlikely due to morphological differences, unlike in other bird species. However, the reason for slightly higher over-winter female mortality at Grassholm is unclear.</t>
  </si>
  <si>
    <t>[Deakin, Zoe; Sherley, Richard B.; Clark, Bethany L.; Votier, Stephen C.] Univ Exeter, Environm &amp; Sustainabil Inst, Penryn Campus, Penryn TR10 9EZ, Cornwall, England; [Deakin, Zoe; Bearhop, Stuart; Bodey, Thomas W.; Votier, Stephen C.] Univ Exeter, Ctr Ecol &amp; Conservat, Penryn Campus, Penryn TR10 9EZ, Cornwall, England; [Hamer, Keith C.; Lane, Jude] Univ Leeds, Sch Biol, Leeds LS2 9JT, W Yorkshire, England; [Sherley, Richard B.] Bristol Zool Soc, Bristol BS8 3HA, Avon, England; [Grecian, W. James] Univ St Andrews, Scottish Oceans Inst, St Andrews KY16 8LB, Fife, Scotland; [Gummery, Matt] Marine Stewardship Council, Marine House,1 Snow Hill, London EC1A 2DH, England; [Morgan, Greg; Morgan, Lisa] RSPB Ramsey Isl, St Davids SA62 6PY, Pembroke, Wales; [Phillips, Richard A.] British Antarctic Survey, Nat Environm Res Council, Madingley Rd, Cambridge CB3 0ET, England; [Wakefield, Ewan D.] Univ Glasgow, Inst Biodivers Anim Hlth &amp; Comparat Med, Graham Kerr Bldg, Glasgow G12 8QQ, Lanark, Scotland</t>
  </si>
  <si>
    <t>University of Exeter; University of Exeter; University of Leeds; University of St Andrews; Royal Society for Protection of Birds; UK Research &amp; Innovation (UKRI); Natural Environment Research Council (NERC); NERC British Antarctic Survey; University of Glasgow</t>
  </si>
  <si>
    <t>Votier, SC (corresponding author), Univ Exeter, Environm &amp; Sustainabil Inst, Penryn Campus, Penryn TR10 9EZ, Cornwall, England.;Votier, SC (corresponding author), Univ Exeter, Ctr Ecol &amp; Conservat, Penryn Campus, Penryn TR10 9EZ, Cornwall, England.</t>
  </si>
  <si>
    <t>s.c.votier@exeter.ac.uk</t>
  </si>
  <si>
    <t>Grecian, James/A-7689-2012; Bearhop, Stuart/G-3105-2012; Votier, Stephen/IUO-0154-2023; Sherley, Richard B/D-7507-2012</t>
  </si>
  <si>
    <t>Grecian, James/0000-0002-6428-719X; Votier, Stephen/0000-0002-0976-0167; Sherley, Richard B/0000-0001-7367-9315; Deakin, Zoe/0000-0003-4886-9218; Lane, Jude V/0000-0002-5841-6346; Clark, Bethany Louise/0000-0001-5803-7744; Bodey, Thomas/0000-0002-5334-9615</t>
  </si>
  <si>
    <t>Natural Environment Research Council [NE/H007466/1]; NERC [bas0100035, NE/H007466/1, NBAF010001] Funding Source: UKRI</t>
  </si>
  <si>
    <t>We thank the RSPB for permission to work on Grassholm as well as Venturejet and Thousand Islands Expeditions for providing safe boat access to the island. Various people helped during fieldwork on Grass holm (Dimas Gianuca, Tommy Clay, Jen Tyler, Mel Wells, Calum Laver, James Waggitt, Claudia Stauss, Sam Patrick, Sam Cox, Kylie Scales, Nicola Childs, Pearl Costello, Matt Carter, Matt Nicholson, Kelly Atkins, Rhiannon Austin, Laura Zango, Kirsten Archibald and Jacob Gonzalez-Solis) and Bass Rock (Charlotte Dooley, Chiara Rubbianesi, Elspeth Robinson and Chris Gilbert). We thank Sir Hew Hamilton-Dalrymple and the Scottish Seabird Centre, North Berwick, for access to Bass Rock and Maggie Sheddan and the Dale family for logistic support. The work was funded by the Natural Environment Research Council (Standard Research Grant NE/H007466/1) and donations from Evan Fountain (In Memoriam donations for Issy Fountain) and Mike Matthewson.</t>
  </si>
  <si>
    <t>10.3354/meps12986</t>
  </si>
  <si>
    <t>Bronze, Green Submitted, Green Accepted</t>
  </si>
  <si>
    <t>WOS:000485735400013</t>
  </si>
  <si>
    <t>Li, W; Dore, JE; Steigmeyer, AJ; Cho, YJ; Kim, OS; Liu, YQ; Morgan-Kiss, RM; Skidmore, ML; Priscu, JC</t>
  </si>
  <si>
    <t>Li, Wei; Dore, John E.; Steigmeyer, August J.; Cho, Yong-Joon; Kim, Ok-Sun; Liu, Yongqin; Morgan-Kiss, Rachael M.; Skidmore, Mark L.; Priscu, John C.</t>
  </si>
  <si>
    <t>Methane production in the oxygenated water column of a perennially ice-covered Antarctic lake</t>
  </si>
  <si>
    <t>LIMNOLOGY AND OCEANOGRAPHY</t>
  </si>
  <si>
    <t>MCMURDO DRY VALLEYS; ATMOSPHERIC METHANE; AEROBIC PRODUCTION; TAYLOR GLACIER; BLOOD FALLS; SP-NOV.; PHOSPHORUS; DIVERSITY; BACTERIAL; METHYLPHOSPHONATE</t>
  </si>
  <si>
    <t>Aerobic methane production in aquatic ecosystems impacts the global atmospheric budget of methane, but the extent, mechanism, and taxa responsible for producing this greenhouse gas are not fully understood. Lake Bonney (LB), a perennially ice-covered Antarctic lake, has cold hypersaline waters underlying an oxygenated freshwater layer. We present temporal methane concentration profiles in LB indicating methane production in the oxygenated (&gt; 200% air saturation) water. Experiments amended with methylphosphonate (MPn) yielded methane generation, suggesting in situ methanogenesis via the carbon-phosphorus (C-P) lyase pathway. Enrichment cultures from the lake were used to isolate five bacterial strains capable of generating methane when supplied with MPn as the sole P source. Based on 16S rRNA gene sequencing, the isolates belong to the Proteobacteria (closely related to Marinomonas, Hoeflea, and Marinobacter genera) and Bacteroidetes (Algoriphagus genus). 16S rRNA metagenomic sequencing confirms the presence of these taxa in LB. None of the isolated species were reported to be capable to produce methane. In addition, orthologs of the phosphoenolpyruvate mutase gene (PepM) and methylphosphonate synthase (MPnS), enzymes involved in phosphonate and MPn biosynthesis, were widely spread in the LB shotgun metagenomic libraries; genes related to C-P lyase pathways (phn gene clusters) were also abundant. 16S rRNA and mcrA genes of anaerobic methanogens were absent in both 16S rRNA and metagenomics libraries. These data reveal that in situ aerobic biological methane production is likely a significant source of methane in LB.</t>
  </si>
  <si>
    <t>[Li, Wei; Dore, John E.; Priscu, John C.] Montana State Univ, Dept Land Resources &amp; Environm Sci, Bozeman, MT 59717 USA; [Steigmeyer, August J.; Skidmore, Mark L.] Montana State Univ, Dept Earth Sci, Bozeman, MT 59717 USA; [Cho, Yong-Joon; Kim, Ok-Sun] Korea Polar Res Inst, Div Polar Life Sci, Incheon, South Korea; [Liu, Yongqin] Chinese Acad Sci, Inst Tibetan Plateau Res, Beijing, Peoples R China; [Morgan-Kiss, Rachael M.] Miami Univ, Dept Microbiol, Oxford, OH 45056 USA</t>
  </si>
  <si>
    <t>Montana State University System; Montana State University Bozeman; Montana State University System; Montana State University Bozeman; Korea Polar Research Institute (KOPRI); Chinese Academy of Sciences; Institute of Tibetan Plateau Research, CAS; University System of Ohio; Miami University</t>
  </si>
  <si>
    <t>Priscu, JC (corresponding author), Montana State Univ, Dept Land Resources &amp; Environm Sci, Bozeman, MT 59717 USA.</t>
  </si>
  <si>
    <t>jpriscu@montana.edu</t>
  </si>
  <si>
    <t>Cho, Yong-Joon/0000-0003-3191-2670; Steigmeyer, August/0000-0002-6059-8046</t>
  </si>
  <si>
    <t>NSF Office of Polar Programs Grant [OPP-1115245, 1637708, 1543537]; Korea Polar Research Institute [PE18340]; Directorate For Geosciences; Office of Polar Programs (OPP) [1637708, 1543537] Funding Source: National Science Foundation</t>
  </si>
  <si>
    <t>NSF Office of Polar Programs Grant; Korea Polar Research Institute(Korea Polar Research Institute of Marine Research Placement (KOPRI)); Directorate For Geosciences; Office of Polar Programs (OPP)(National Science Foundation (NSF)NSF - Directorate for Geosciences (GEO))</t>
  </si>
  <si>
    <t>This work was supported by NSF Office of Polar Programs Grant (OPP-1115245, 1637708, and 1543537) and Korea Polar Research Institute (PE18340).</t>
  </si>
  <si>
    <t>0024-3590</t>
  </si>
  <si>
    <t>1939-5590</t>
  </si>
  <si>
    <t>LIMNOL OCEANOGR</t>
  </si>
  <si>
    <t>Limnol. Oceanogr.</t>
  </si>
  <si>
    <t>10.1002/lno.11257</t>
  </si>
  <si>
    <t>KE6DV</t>
  </si>
  <si>
    <t>WOS:000476977600001</t>
  </si>
  <si>
    <t>Loh, TY; Brito, MP; Bose, N; Xu, JJ; Tenekedjiev, K</t>
  </si>
  <si>
    <t>Loh, Tzu Yang; Brito, Mario P.; Bose, Neil; Xu, Jingjing; Tenekedjiev, Kiril</t>
  </si>
  <si>
    <t>A Fuzzy-Based Risk Assessment Framework for Autonomous Underwater Vehicle Under-Ice Missions</t>
  </si>
  <si>
    <t>RISK ANALYSIS</t>
  </si>
  <si>
    <t>Autonomous underwater vehicle; fuzzy set theory; risk assessment; under ice</t>
  </si>
  <si>
    <t>SITUATION AWARENESS; BAYESIAN NETWORK; UNCERTAINTY; AUTOMATION; PERFORMANCE; SELECTION; WORKLOAD; OPINIONS; SYSTEMS; LEVEL</t>
  </si>
  <si>
    <t>The use of autonomous underwater vehicles (AUVs) for various scientific, commercial, and military applications has become more common with maturing technology and improved accessibility. One relatively new development lies in the use of AUVs for under-ice marine science research in the Antarctic. The extreme environment, ice cover, and inaccessibility as compared to open-water missions can result in a higher risk of loss. Therefore, having an effective assessment of risks before undertaking any Antarctic under-ice missions is crucial to ensure an AUV's survival. Existing risk assessment approaches predominantly focused on the use of historical fault log data of an AUV and elicitation of experts' opinions for probabilistic quantification. However, an AUV program in its early phases lacks historical data and any assessment of risk may be vague and ambiguous. In this article, a fuzzy-based risk assessment framework is proposed for quantifying the risk of AUV loss under ice. The framework uses the knowledge, prior experience of available subject matter experts, and the widely used semiquantitative risk assessment matrix, albeit in a new form. A well-developed example based on an upcoming mission by an ISE-explorer class AUV is presented to demonstrate the application and effectiveness of the proposed framework. The example demonstrates that the proposed fuzzy-based risk assessment framework is pragmatically useful for future under-ice AUV deployments. Sensitivity analysis demonstrates the validity of the proposed method.</t>
  </si>
  <si>
    <t>[Loh, Tzu Yang; Tenekedjiev, Kiril] Univ Tasmania, Australian Maritime Coll, 1 Maritime Way, Launceston, Tas 7250, Australia; [Brito, Mario P.] Univ Southampton, Ctr Risk Res, Southampton Business Sch, Southampton, Hants, England; [Bose, Neil] Mem Univ Newfoundland, Off Vice President Res, St John, NF, Canada; [Xu, Jingjing] Univ Plymouth, Plymouth Business Sch, Plymouth, Devon, England; [Tenekedjiev, Kiril] Nikola Vaptsarov Naval Acad, Dept Informat Technol, Varna, Bulgaria</t>
  </si>
  <si>
    <t>University of Tasmania; Australian Maritime College; University of Southampton; Solent University; Memorial University Newfoundland; University of Plymouth; Nikola Vaptsarov Naval Academy</t>
  </si>
  <si>
    <t>Loh, TY (corresponding author), Univ Tasmania, Australian Maritime Coll, 1 Maritime Way, Launceston, Tas 7250, Australia.</t>
  </si>
  <si>
    <t>Tzuyang.loh@Utas.edu.au</t>
  </si>
  <si>
    <t>Tenekedjiev, Kiril/D-8141-2012; Bose, Neil/AAG-6329-2019</t>
  </si>
  <si>
    <t>Tenekedjiev, Kiril/0000-0003-3549-0671; Bose, Neil/0000-0002-6444-0756; Brito, Mario/0000-0002-1779-4535</t>
  </si>
  <si>
    <t>Australian Research Council's Special Research Initiative under the Antarctic Gateway Partnership [IF SR140300001]; Australian Government Research Training Program</t>
  </si>
  <si>
    <t>Australian Research Council's Special Research Initiative under the Antarctic Gateway Partnership(Australian Research Council); Australian Government Research Training Program(Australian Government)</t>
  </si>
  <si>
    <t>This research was supported by the Australian Research Council's Special Research Initiative under the Antarctic Gateway Partnership (Project IF SR140300001). The first author (Tzu Yang Loh) also acknowledges the Australian Government Research Training Program Scholarship in support of this higher degree research.</t>
  </si>
  <si>
    <t>0272-4332</t>
  </si>
  <si>
    <t>1539-6924</t>
  </si>
  <si>
    <t>RISK ANAL</t>
  </si>
  <si>
    <t>Risk Anal.</t>
  </si>
  <si>
    <t>10.1111/risa.13376</t>
  </si>
  <si>
    <t>Public, Environmental &amp; Occupational Health; Mathematics, Interdisciplinary Applications; Social Sciences, Mathematical Methods</t>
  </si>
  <si>
    <t>Public, Environmental &amp; Occupational Health; Mathematics; Mathematical Methods In Social Sciences</t>
  </si>
  <si>
    <t>JS4CM</t>
  </si>
  <si>
    <t>WOS:000476972400001</t>
  </si>
  <si>
    <t>Winter, A; Steinhage, D; Creyts, TT; Kleiner, T; Eisen, O</t>
  </si>
  <si>
    <t>Winter, Anna; Steinhage, Daniel; Creyts, Timothy T.; Kleiner, Thomas; Eisen, Olaf</t>
  </si>
  <si>
    <t>Age stratigraphy in the East Antarctic Ice Sheet inferred from radio-echo sounding horizons</t>
  </si>
  <si>
    <t>EARTH SYSTEM SCIENCE DATA</t>
  </si>
  <si>
    <t>DRONNING MAUD LAND; DOME-C; SNOW ACCUMULATION; OLD ICE; UNCONFORMABLE STRATIGRAPHY; CHRONOLOGY AICC2012; INTERNAL STRUCTURE; FLOW DIRECTION; CORE; GREENLAND</t>
  </si>
  <si>
    <t>The East Antarctic Ice Sheet contains a wealth of information that can be extracted from its internal architecture such as distribution of age, past flow features, and surface and basal properties. Airborne radar surveys can sample this stratigraphic archive across broad areas. Here, we identify and trace key horizons across several radar surveys to obtain the stratigraphic information. We transfer the age-depth scales from ice cores to intersecting radar data. We then propagate these age scales across the ice sheet using the high fidelity continuity of the radar horizons. In Dronning Maud Land, including Dome Fuji, we mapped isochrones with ages of 38 and 74 ka. In the central region of East Antarctica around Dome Concordia, Vostok and Dome Argus, we use isochrone ages of 38, 48, 90 and 161 ka. Taking together both regions, we provide isochrone depths traced along a combined profile length of more than 40 000 km and discuss uncertainties of the obtained stratigraphy, as well as factors important to consider for further expansion. This data set is the most extensive distribution of internal horizons in East Antarctica to date. The isochrone depths presented in this study are available on PANGAEA</t>
  </si>
  <si>
    <t>[Winter, Anna; Steinhage, Daniel; Kleiner, Thomas; Eisen, Olaf] Helmholtz Zentrum Polar &amp; Meeresforsch, Alfred Wegener Inst, Bremerhaven, Germany; [Creyts, Timothy T.] Lamont Doherty Earth Observ, New York, NY USA; [Eisen, Olaf] Univ Bremen, Dept Geosci, Bremen, Germany</t>
  </si>
  <si>
    <t>Helmholtz Association; Alfred Wegener Institute, Helmholtz Centre for Polar &amp; Marine Research; Columbia University; University of Bremen</t>
  </si>
  <si>
    <t>Eisen, O (corresponding author), Helmholtz Zentrum Polar &amp; Meeresforsch, Alfred Wegener Inst, Bremerhaven, Germany.;Eisen, O (corresponding author), Univ Bremen, Dept Geosci, Bremen, Germany.</t>
  </si>
  <si>
    <t>Kleiner, Thomas/F-6821-2015; Eisen, Olaf/K-3846-2012</t>
  </si>
  <si>
    <t>Kleiner, Thomas/0000-0001-7825-5765; Eisen, Olaf/0000-0002-6380-962X; Winter, Anna/0000-0002-0179-6798; Creyts, Timothy/0000-0003-1756-5211</t>
  </si>
  <si>
    <t>European Union [730258]; Swiss State Secretariat for Education, Research and Innovation (SERI) [16.0144]; US NSF [PLR-1643970]; H2020 Societal Challenges Programme [730258] Funding Source: H2020 Societal Challenges Programme</t>
  </si>
  <si>
    <t>European Union(European Union (EU)); Swiss State Secretariat for Education, Research and Innovation (SERI); US NSF(National Science Foundation (NSF)); H2020 Societal Challenges Programme(Horizon 2020European Union (EU)H2020 Societal Challenges Programme)</t>
  </si>
  <si>
    <t>This publication was generated in the frame of Beyond EPICA - Oldest Ice (BE-OI). The project has received funding from the European Union's Horizon 2020 research and innovation program under grant agreement no. 730258 (BE-OI CSA).; It has received funding from the Swiss State Secretariat for Education, Research and Innovation (SERI) under contract no. 16.0144. It is furthermore supported by national partners and funding agencies in Belgium, Denmark, France, Germany, Italy, Norway, Sweden, Switzerland, the Netherlands and the United Kingdom. Logistic support is mainly provided by AWI, BAS, ENEA and IPEV. Timothy T. Creyts was supported by the US NSF grant PLR-1643970.</t>
  </si>
  <si>
    <t>1866-3508</t>
  </si>
  <si>
    <t>1866-3516</t>
  </si>
  <si>
    <t>EARTH SYST SCI DATA</t>
  </si>
  <si>
    <t>Earth Syst. Sci. Data</t>
  </si>
  <si>
    <t>10.5194/essd-11-1069-2019</t>
  </si>
  <si>
    <t>IJ4JA</t>
  </si>
  <si>
    <t>WOS:000475869100001</t>
  </si>
  <si>
    <t>Dougherty, AJ; Thomas, ZA; Fogwill, C; Hogg, A; Palmer, J; Rainsley, E; Williams, AN; Ulm, S; Rogers, K; Jones, BG; Turney, C</t>
  </si>
  <si>
    <t>Dougherty, Amy J.; Thomas, Zoe A.; Fogwill, Christopher; Hogg, Alan; Palmer, Jonathan; Rainsley, Eleanor; Williams, Alan N.; Ulm, Sean; Rogers, Kerrylee; Jones, Brian G.; Turney, Chris</t>
  </si>
  <si>
    <t>Redating the earliest evidence of the mid-Holocene relative sea-level highstand in Australia and implications for global sea-level rise</t>
  </si>
  <si>
    <t>NORTH-EASTERN AUSTRALIA; ICE-SHEET; COASTAL WETLAND; ATLANTIC COAST; TIPPING POINTS; EARLY HOLOCENE; CLIMATE; CALIBRATION; MANGROVE; IMPACT</t>
  </si>
  <si>
    <t>Reconstructing past sea levels can help constrain uncertainties surrounding the rate of change, magnitude, and impacts of the projected increase through the 21st century. Of significance is the mid-Holocene relative sea-level highstand in tectonically stable and remote (far-field) locations from major ice sheets. The east coast of Australia provides an excellent arena in which to investigate changes in relative sea level during the Holocene. Considerable debate surrounds both the peak level and timing of the east coast highstand. The southeast Australian site of Bulli Beach provides the earliest evidence for the establishment of a highstand in the Southern Hemisphere, although questions have been raised about the pretreatment and type of material that was radiocarbon dated for the development of the regional sea-level curve. Here we undertake a detailed morpho- and chronostratigraphic study at Bulli Beach to better constrain the timing of the Holocene highstand in eastern Australia. In contrast to wood and charcoal samples that may provide anomalously old ages, probably due to inbuilt age, we find that short-lived terrestrial plant macrofossils provide a robust chronological framework. Bayesian modelling of the ages provide improved dating of the earliest evidence for a highstand at 6,880 +/- 50 cal BP, approximately a millennium later than previously reported. Our results from Bulli now closely align with other sea-level reconstructions along the east coast of Australia, and provide evidence for a synchronous relative sea-level highstand that extends from the Gulf of Carpentaria to Tasmania. Our refined age appears to be coincident with major ice mass loss from Northern Hemisphere and Antarctic ice sheets, supporting previous studies that suggest these may have played a role in the relative sea-level highstand. Further work is now needed to investigate the environmental impacts of regional sea levels, and refine the timing of the subsequent sea-level fall in the Holocene and its influence on coastal evolution.</t>
  </si>
  <si>
    <t>[Dougherty, Amy J.; Rogers, Kerrylee; Jones, Brian G.] Univ Wollongong, Sch Earth Atmospher &amp; Life Sci, Wollongong, NSW, Australia; [Thomas, Zoe A.; Fogwill, Christopher; Palmer, Jonathan; Williams, Alan N.; Turney, Chris] Univ New South Wales, Sch Biol Earth &amp; Environm Sci, Palaeontol Geobiol &amp; Earth Arch Res Ctr, Sydney, NSW, Australia; [Thomas, Zoe A.; Fogwill, Christopher; Palmer, Jonathan; Williams, Alan N.; Turney, Chris] Univ New South Wales, Sch Biol Earth &amp; Environm Sci, ARC Ctr Excellence Australian Biodivers &amp; Heritag, Sydney, NSW, Australia; [Fogwill, Christopher; Rainsley, Eleanor] Keele Univ, Sch Geog Geol &amp; Environm, Keele, Staffs, England; [Hogg, Alan] Univ Waikato, Waikato Radiocarbon Lab, Hamilton, New Zealand; [Williams, Alan N.] Extent Heritage Pty Ltd, Pyrmont, NSW, Australia; [Ulm, Sean] James Cook Univ, Coll Arts Soc &amp; Educ, ARC Ctr Excellence Australian Biodivers &amp; Heritag, Cairns, Qld, Australia</t>
  </si>
  <si>
    <t>University of Wollongong; University of New South Wales Sydney; University of New South Wales Sydney; Keele University; University of Waikato; James Cook University</t>
  </si>
  <si>
    <t>Dougherty, AJ (corresponding author), Univ Wollongong, Sch Earth Atmospher &amp; Life Sci, Wollongong, NSW, Australia.;Turney, C (corresponding author), Univ New South Wales, Sch Biol Earth &amp; Environm Sci, Palaeontol Geobiol &amp; Earth Arch Res Ctr, Sydney, NSW, Australia.;Turney, C (corresponding author), Univ New South Wales, Sch Biol Earth &amp; Environm Sci, ARC Ctr Excellence Australian Biodivers &amp; Heritag, Sydney, NSW, Australia.</t>
  </si>
  <si>
    <t>adougher@uow.edu.au; c.turney@unsw.edu.au</t>
  </si>
  <si>
    <t>Hogg, Alan G/M-8427-2014; Fogwill, Christopher/HPF-1150-2023; Rogers, Kerrylee/AAC-8093-2022; CABAH, ARC/T-6419-2019; Jones, Brian G/K-2496-2017; Ulm, Sean/A-3854-2010; Palmer, Jonathan/J-7834-2012; Thomas, Zoe/D-1656-2016</t>
  </si>
  <si>
    <t>Jones, Brian G/0000-0003-0835-7197; Ulm, Sean/0000-0001-6653-9963; Palmer, Jonathan/0000-0002-6665-4483; Fogwill, Christopher/0000-0002-6471-1106; Rogers, Kerrylee/0000-0003-1350-4737; Thomas, Zoe/0000-0002-2323-4366</t>
  </si>
  <si>
    <t>Australian Research Council [FL100100195, CE170100015, FT120100656]; AHMS; Australian Research Council [FT120100656] Funding Source: Australian Research Council</t>
  </si>
  <si>
    <t>Australian Research Council(Australian Research Council); AHMS; Australian Research Council(Australian Research Council)</t>
  </si>
  <si>
    <t>This work was supported by grants from the Australian Research Council (project numbers FL100100195, CE170100015, and FT120100656). Alan Williams is employed by Extent Heritage Pty Ltd (AHMS), as Associate Director, Aboriginal Heritage Team Leader. However, the works submitted to PLOS One are the product of Alan's academic research, and have no relationship to, or influence from, AHMS. Alan undertakes this research in his own time, and has received no financial, or other, support in the development of this works from AHMS. They similarly have had no involvement in the development, submission or review of the manuscript. Extent Heritage Pty Ltd (AHMS) provided support in the form of salary for author AW, but did not have any additional role in the study design, data collection and analysis, decision to publish, or preparation of the manuscript. The specific role of this author is articulated in the 'author contributions' section.; This work was supported by Australian Research Council (FL100100195 and CE170100015). We thank Professor Christopher Bronk Ramsey at Oxford University for his advice with OxCal modelling and John Southon from the University of California for measuring the 14C/12C ratios. SU is the recipient of an Australian Research Council Future Fellowship (project number FT120100656). Special thanks to Robert and Ann Young for the guided tour of the site and photos taken of it after the 1978 storm (one featured in Fig 2A) as well as Robert Turney for his assistance in the field.</t>
  </si>
  <si>
    <t>JUL 17</t>
  </si>
  <si>
    <t>e0218430</t>
  </si>
  <si>
    <t>10.1371/journal.pone.0218430</t>
  </si>
  <si>
    <t>IS7LS</t>
  </si>
  <si>
    <t>WOS:000482331900009</t>
  </si>
  <si>
    <t>Arndt, S; Haas, C</t>
  </si>
  <si>
    <t>Arndt, Stefanie; Haas, Christian</t>
  </si>
  <si>
    <t>Spatiotemporal variability and decadal trends of snowmelt processes on Antarctic sea ice observed by satellite scatterometers</t>
  </si>
  <si>
    <t>WESTERN WEDDELL-SEA; SEASONAL CYCLE; EARLY SUMMER; MELT; SURFACE; TRANSITIONS; THICKNESS; PATTERNS; FLUX</t>
  </si>
  <si>
    <t>The timing and intensity of snowmelt processes on sea ice are key drivers determining the seasonal sea-ice energy and mass budgets. In the Arctic, satellite passive microwave and radar observations have revealed a trend towards an earlier snowmelt onset during the last decades, which is an important aspect of Arctic amplification and sea-ice decline. Around Antarctica, snowmelt on perennial ice is weak and very different than in the Arctic, with most snow surviving the summer. Here we compile time series of snowmelt onset dates on seasonal and perennial Antarctic sea ice from 1992 to 2014/15 using active microwave observations from the European Space Agency's (ESA) European Remote Sensing (ERS) 1 and 2 missions (ERS-1 and ERS-2), Quick Scatterometer (QSCAT), and Advanced Scatterometer (ASCAT) radar scatterometers. We define two snowmelt transition stages: a weak backscatter rise, indicating the initial warming and destructive metamorphism of the snowpack (pre-melt), followed by a rapid backscatter rise, indicating the onset of thaw-freeze cycles (snowmelt). Results show large interannual variability, with an average pre-melt onset date of 29 November and melt onset of 10 December, respectively, on perennial ice, without any significant trends over the study period, consistent with the small trends of Antarctic sea-ice extent. There was a latitudinal gradient from early snowmelt onsets in mid-November in the northern Weddell Sea to late (end of December) or even absent snowmelt conditions in the southern Weddell Sea. We show that QSCAT Ku-band-derived (13.4 GHz signal frequency) pre-melt and snowmelt onset dates are earlier by 20 and 18 d, respectively, than ERS and ASCAT C-band-derived (5.6 GHz) dates. This offset has been considered when constructing the time series. Snowmelt onset dates from passive microwave observations (37 GHz) are later by 14 and 6 d than those from the scatterometers, respectively. Based on these characteristic differences between melt onset dates observed by different microwave wavelengths, we developed a conceptual model which illustrates how the seasonal evolution of snow temperature profiles may affect different microwave bands with different penetration depths. These suggest that future multi-frequency active and passive microwave satellite missions could be used to resolve melt processes throughout the vertical snow column of thick snow on perennial Antarctic sea ice.</t>
  </si>
  <si>
    <t>[Arndt, Stefanie; Haas, Christian] Helmholtz Zentrum Polar &amp; Meeresforsch, Alfred Wegener Inst, D-27570 Bremerhaven, Germany</t>
  </si>
  <si>
    <t>Helmholtz Association; Alfred Wegener Institute, Helmholtz Centre for Polar &amp; Marine Research</t>
  </si>
  <si>
    <t>Arndt, S (corresponding author), Helmholtz Zentrum Polar &amp; Meeresforsch, Alfred Wegener Inst, D-27570 Bremerhaven, Germany.</t>
  </si>
  <si>
    <t>stefanie.arndt@awi.de</t>
  </si>
  <si>
    <t>Arndt, Stefanie/AAA-6178-2021; Haas, Christian/L-5279-2016</t>
  </si>
  <si>
    <t>Arndt, Stefanie/0000-0001-9782-3844; Haas, Christian/0000-0002-7674-3500</t>
  </si>
  <si>
    <t>Helmholtz Alliance Remote Sensing and Earth System Dynamics [HA-310]; Alfred-Wegener-Institut Helmholtz-Zentrum fur Polar-und Meeresforschung, Bremerhaven, Germany</t>
  </si>
  <si>
    <t>Helmholtz Alliance Remote Sensing and Earth System Dynamics; Alfred-Wegener-Institut Helmholtz-Zentrum fur Polar-und Meeresforschung, Bremerhaven, Germany</t>
  </si>
  <si>
    <t>We acknowledge discussions about microwave emission and scattering behavior with Wolfgang Dierking, Sascha Willmes, and Marcus Huntemann and during meetings within the ISSI project Satellite-derived estimates of Antarctic snow-and ice-thickness. The work was funded by the Helmholtz Alliance Remote Sensing and Earth System Dynamics (HA-310) and the Alfred-Wegener-Institut Helmholtz-Zentrum fur Polar-und Meeresforschung, Bremerhaven, Germany.</t>
  </si>
  <si>
    <t>10.5194/tc-13-1943-2019</t>
  </si>
  <si>
    <t>IJ2WP</t>
  </si>
  <si>
    <t>WOS:000475766000001</t>
  </si>
  <si>
    <t>Kirkham, JD; Hogan, KA; Larter, RD; Arnold, NS; Nitsche, FO; Golledge, NR; Dowdeswell, JA</t>
  </si>
  <si>
    <t>Kirkham, James D.; Hogan, Kelly A.; Larter, Robert D.; Arnold, Neil S.; Nitsche, Frank O.; Golledge, Nicholas R.; Dowdeswell, Julian A.</t>
  </si>
  <si>
    <t>Past water flow beneath Pine Island and Thwaites glaciers, West Antarctica</t>
  </si>
  <si>
    <t>GREENLAND ICE-SHEET; AMUNDSEN SEA EMBAYMENT; ACTIVE SUBGLACIAL LAKES; SOUTHERN VICTORIA LAND; CONTINENTAL-SLOPE; EAST ANTARCTICA; DRY VALLEYS; TRANSANTARCTIC MOUNTAINS; SEDIMENTARY PROCESSES; GEOMORPHIC SIGNATURE</t>
  </si>
  <si>
    <t>Outburst floods from subglacial lakes beneath the Antarctic Ice Sheet modulate ice-flow velocities over periods of months to years. Although subglacial lake drainage events have been observed from satellite-altimetric data, little is known about their role in the long-term evolution of ice-sheet basal hydrology. Here, we systematically map and model past water flow through an extensive area containing over 1000 subglacial channels and 19 former lake basins exposed on over 19 000 km(2) of seafloor by the retreat of Pine Island and Thwaites glaciers, West Antarctica. At 507 m wide and 43 m deep on average, the channels offshore of present-day Pine Island and Thwaites glaciers are approximately twice as deep, 3 times as wide, and cover an area over 400 times larger than the terrestrial meltwater channels comprising the Labyrinth in the Antarctic Dry Valleys. The channels incised into bedrock offshore of contemporary Pine Island and Thwaites glaciers would have been capable of accommodating discharges of up to 8.8 x 10(6) m(3) s(-1). We suggest that the channels were formed by episodic discharges from subglacial lakes trapped during ice-sheet advance and retreat over multiple glacial periods. Our results document the widespread influence of episodic subglacial drainage events during past glacial periods, in particular beneath large ice streams similar to those that continue to dominate contemporary ice-sheet discharge.</t>
  </si>
  <si>
    <t>[Kirkham, James D.; Arnold, Neil S.; Dowdeswell, Julian A.] Univ Cambridge, Scott Polar Res Inst, Lensfield Rd, Cambridge CB2 1ER, England; [Kirkham, James D.; Hogan, Kelly A.; Larter, Robert D.] British Antarctic Survey, Madingley Rd, Cambridge CB3 0ET, England; [Nitsche, Frank O.] Columbia Univ, Lamont Doherty Earth Observ, POB 1000, Palisades, NY 10964 USA; [Golledge, Nicholas R.] Victoria Univ Wellington, Antarctic Res Ctr, Wellington 6140, New Zealand</t>
  </si>
  <si>
    <t>University of Cambridge; UK Research &amp; Innovation (UKRI); Natural Environment Research Council (NERC); NERC British Antarctic Survey; Columbia University; Victoria University Wellington</t>
  </si>
  <si>
    <t>Kirkham, JD (corresponding author), Univ Cambridge, Scott Polar Res Inst, Lensfield Rd, Cambridge CB2 1ER, England.;Kirkham, JD (corresponding author), British Antarctic Survey, Madingley Rd, Cambridge CB3 0ET, England.</t>
  </si>
  <si>
    <t>jk675@cam.ac.uk</t>
  </si>
  <si>
    <t>Nitsche, Frank O/A-9343-2009; Arnold, Neil/AAI-2272-2021</t>
  </si>
  <si>
    <t>Nitsche, Frank O/0000-0002-4137-547X; Arnold, Neil/0000-0001-7538-3999; Kirkham, James/0000-0002-0506-1625; Dowdeswell, Julian/0000-0003-1369-9482; Larter, Robert/0000-0002-8414-7389; Golledge, Nicholas/0000-0001-7676-8970</t>
  </si>
  <si>
    <t>UK Natural Environment Research Council's iSTAR programme [NE/J005703/1, NE/J005746/1, NE/J005770/1]; Debenham Scholarship from the Scott Polar Research Institute, University of Cambridge; UK Natural Environment Research Council [NE/L002507/1]; NSF [0838735]; Natural Environment Research Council - British Antarctic Survey Polar Science for Planet Earth programme; Office of Polar Programs (OPP); Directorate For Geosciences [0838735] Funding Source: National Science Foundation; NERC [NE/S006664/1, bas0100030] Funding Source: UKRI</t>
  </si>
  <si>
    <t>UK Natural Environment Research Council's iSTAR programme; Debenham Scholarship from the Scott Polar Research Institute, University of Cambridge; UK Natural Environment Research Council(UK Research &amp; Innovation (UKRI)Natural Environment Research Council (NERC)); NSF(National Science Foundation (NSF)); Natural Environment Research Council - British Antarctic Survey Polar Science for Planet Earth programme; Office of Polar Programs (OPP); Directorate For Geosciences(National Science Foundation (NSF)NSF - Directorate for Geosciences (GEO)); NERC(UK Research &amp; Innovation (UKRI)Natural Environment Research Council (NERC))</t>
  </si>
  <si>
    <t>Data acquisition using the RRS James Clark Ross was supported by funding from the UK Natural Environment Research Council's iSTAR programme (grant nos. NE/J005703/1, NE/J005746/1, and NE/J005770/1). James D. Kirkham was supported by a Debenham Scholarship from the Scott Polar Research Institute, University of Cambridge, and a UK Natural Environment Research Council Ph.D. studentship awarded through the Cambridge Earth System Science Doctoral Training Partnership (grant no. NE/L002507/1). Frank O. Nitsche was supported by NSF award 0838735. Kelly A. Hogan and Robert D. Larter were supported by the Natural Environment Research Council - British Antarctic Survey Polar Science for Planet Earth programme.</t>
  </si>
  <si>
    <t>10.5194/tc-13-1959-2019</t>
  </si>
  <si>
    <t>Green Accepted, gold, Green Submitted</t>
  </si>
  <si>
    <t>WOS:000475766000002</t>
  </si>
  <si>
    <t>Picard, G; Arnaud, L; Caneill, R; Lefebvre, E; Lamare, M</t>
  </si>
  <si>
    <t>Picard, Ghislain; Arnaud, Laurent; Caneill, Romain; Lefebvre, Eric; Lamare, Maxim</t>
  </si>
  <si>
    <t>Observation of the process of snow accumulation on the Antarctic Plateau by time lapse laser scanning</t>
  </si>
  <si>
    <t>SURFACE MASS-BALANCE; DOME-C; BRIGHTNESS TEMPERATURE; SEASONAL-VARIATIONS; SUBLIMATION; MODEL; PRECIPITATION; COEFFICIENT; VARIABILITY; SIGNAL</t>
  </si>
  <si>
    <t>Snow accumulation is the main positive component of the mass balance in Antarctica. In contrast to the major efforts deployed to estimate its overall value on a continental scale - to assess the contribution of the ice sheet to sea level rise - knowledge about the accumulation process itself is relatively poor, although many complex phenomena occur between snowfall and the definitive settling of the snow particles on the snowpack. Here we exploit a dataset of near-daily surface elevation maps recorded over 3 years at Dome C using an automatic laser scanner sampling 40-100 m(2) in area. We find that the averaged accumulation is relatively regular over the 3 years at a rate of + 8.7 cm yr(-1). Despite this overall regularity, the surface changes very frequently (every 3 d on average) due to snow erosion and heterogeneous snow deposition that we call accumulation by patches. Most of these patches (60 %-85 %) are ephemeral but can survive a few weeks before being eroded. As a result, the surface is continuously rough (6-8 cm root-meansquare height) featuring meter-scale dunes aligned along the wind and larger, decameter-scale undulations. Additionally, we deduce the age of the snow present at a given time on the surface from elevation time series and find that snow age spans over more than a year. Some of the patches ultimately settle, leading to a heterogeneous internal structure which reflects the surface heterogeneity, with many snowfall events missing at a given point, whilst many others are overrepresented. These findings have important consequences for several research topics including surface mass balance, surface energy budget, photochemistry, snowpack evolution, and the interpretation of the signals archived in ice cores.</t>
  </si>
  <si>
    <t>[Picard, Ghislain; Arnaud, Laurent; Caneill, Romain; Lefebvre, Eric; Lamare, Maxim] UGA, IGE, CNRS, UMR 5001, F-38041 Grenoble, France; [Caneill, Romain] Univ Gothenburg, Dept Marine Sci, Gothenburg, Sweden</t>
  </si>
  <si>
    <t>Centre National de la Recherche Scientifique (CNRS); CNRS - National Institute for Earth Sciences &amp; Astronomy (INSU); Communaute Universite Grenoble Alpes; Universite Grenoble Alpes (UGA); University of Gothenburg</t>
  </si>
  <si>
    <t>Picard, G (corresponding author), UGA, IGE, CNRS, UMR 5001, F-38041 Grenoble, France.</t>
  </si>
  <si>
    <t>ghislain.picard@univ-grenoble-alpes.fr</t>
  </si>
  <si>
    <t>Picard, Ghislain/D-4246-2013; Lamare, Maxim/R-4248-2017</t>
  </si>
  <si>
    <t>Picard, Ghislain/0000-0003-1475-5853; arnaud, laurent/0000-0002-4432-4205; Caneill, Romain/0000-0001-6649-4275; Lamare, Maxim/0000-0003-0089-1790</t>
  </si>
  <si>
    <t>Agence Nationale de la Recherche [1-JS56-005-01 MONISNOW, ANR10 LABX56]</t>
  </si>
  <si>
    <t>Agence Nationale de la Recherche(Agence Nationale de la Recherche (ANR))</t>
  </si>
  <si>
    <t>This research has been supported by the Agence Nationale de la Recherche (grant no. 1-JS56-005-01 MONISNOW) and the Agence Nationale de la Recherche (grant no. ANR10 LABX56).</t>
  </si>
  <si>
    <t>10.5194/tc-13-1983-2019</t>
  </si>
  <si>
    <t>WOS:000475766000003</t>
  </si>
  <si>
    <t>Bax, NJ; Miloslavich, P; Muller-Karger, FE; Allain, V; Appeltans, W; Batten, SD; Benedetti-Cecchi, L; Buttigieg, PL; Chiba, S; Costa, DP; Duffy, JE; Dunn, DC; Johnson, CR; Kudela, RM; Obura, D; Rebelo, LM; Shin, YJ; Simmons, SE; Tyack, PL</t>
  </si>
  <si>
    <t>Bax, Nicholas J.; Miloslavich, Patricia; Muller-Karger, Frank Edgar; Allain, Valerie; Appeltans, Ward; Batten, Sonia Dawn; Benedetti-Cecchi, Lisandro; Buttigieg, Pier Luigi; Chiba, Sanae; Costa, Daniel Paul; Duffy, J. Emmett; Dunn, Daniel C.; Johnson, Craig Richard; Kudela, Raphael M.; Obura, David; Rebelo, Lisa-Maria; Shin, Yunne-Jai; Simmons, Samantha Elisabeth; Tyack, Peter Lloyd</t>
  </si>
  <si>
    <t>A Response to Scientific and Societal Needs for Marine Biological Observations</t>
  </si>
  <si>
    <t>GOOS; capacity development; EOV; ocean observing; essential ocean variable; UN Decade; Sustainable Development Goals</t>
  </si>
  <si>
    <t>RESOLUTION SATELLITE IMAGERY; CONSERVATION MANAGEMENT; DEMERSAL FISH; OCEAN; FISHERIES; ABUNDANCE; ECOSYSTEM; COASTAL; SEALS; REEF</t>
  </si>
  <si>
    <t>Development of global ocean observing capacity for the biological EOVs is on the cusp of a step-change. Current capacity to automate data collection and processing and to integrate the resulting data streams with complementary data, openly available as FAIR data, is certain to dramatically increase the amount and quality of information and knowledge available to scientists and decision makers into the future. There is little doubt that scientists will continue to expand their understanding of what lives in the ocean, where it lives and how it is changing. However, whether this expanding information stream will inform policy and management or be incorporated into indicators for national reporting is more uncertain. Coordinated data collection including open sharing of data will help produce the consistent evidence-based messages that are valued by managers. The GODS Biology and Ecosystems Panel is working with other global initiatives to assist this coordination by defining and implementing Essential Ocean Variables. The biological EOVs have been defined, are being updated following community feedback, and their implementation is underway. In 2019, the coverage and precision of a global ocean observing system capable of addressing key questions for the next decade will be quantified, and its potential to support the goals of the UN Decade of Ocean Science for Sustainable Development identified. Developing a global ocean observing system for biology and ecosystems requires parallel efforts in improving evidence-based monitoring of progress against international agreements and the open data, reporting and governance structures that would facilitate the uptake of improved information by decision makers.</t>
  </si>
  <si>
    <t>[Bax, Nicholas J.] CSIRO, Oceans &amp; Atmosphere, Hobart, Tas, Australia; [Bax, Nicholas J.; Miloslavich, Patricia; Johnson, Craig Richard] Univ Tasmania, Inst Marine &amp; Antarctic Studies, Hobart, Tas, Australia; [Miloslavich, Patricia] Univ Simon Bolivar, Dept Estudios Ambientales, Caracas, Venezuela; [Muller-Karger, Frank Edgar] Univ S Florida, Coll Marine Sci, Inst Marine Remote Sensing, St Petersburg, FL USA; [Allain, Valerie] Secretariat Pacific Community, Noumea, France; [Appeltans, Ward] UNESCO, Intergovt Oceanog Commiss, IOC Project Off IODE, Oostende, Belgium; [Batten, Sonia Dawn] CPR Survey MBA, Nanaimo, BC, Canada; [Benedetti-Cecchi, Lisandro] Univ Pisa, Dept Biol, CoNISMa, Pisa, Italy; [Buttigieg, Pier Luigi] Alfred Wegener Inst, Helmholtz Zentrum Polar &amp; Meeresforsch, Bremerhaven, Germany; [Chiba, Sanae] JAMSTEC, Yokohama, Kanagawa, Japan; [Chiba, Sanae] UNEP WCMC, Cambridge, England; [Costa, Daniel Paul] Univ Calif Santa Cruz, Dept Ecol &amp; Evolutionary Biol, Santa Cruz, CA 95064 USA; [Duffy, J. Emmett] Smithsonian, Washington, DC USA; [Dunn, Daniel C.] Duke Univ, Nicholas Sch Environm, Durham, NC 27708 USA; [Kudela, Raphael M.] Univ Calif Santa Cruz, Ocean Sci Dept, Santa Cruz, CA 95064 USA; [Obura, David] CORDIO East Africa, Coastal Oceans Res &amp; Dev Indian Ocean, Mombasa, Kenya; [Obura, David] Univ Queensland, Global Change Inst, Brisbane, Qld, Australia; [Rebelo, Lisa-Maria] Int Water Management Inst, Reg Off SE Asia &amp; Mekong, Viangchan, Laos; [Shin, Yunne-Jai] Univ Montpellier, IFREMER, CNRS, MARBEC,IRD, Montpellier, France; [Shin, Yunne-Jai] Univ Cape Town, Ma Re Inst, Dept Biol Sci, Cape Town, South Africa; [Simmons, Samantha Elisabeth] Marine Mammal Commiss, Bethesda, MD USA; [Tyack, Peter Lloyd] Marine Biol Assoc UK, Nanaimo, BC, Canada</t>
  </si>
  <si>
    <t>Commonwealth Scientific &amp; Industrial Research Organisation (CSIRO); University of Tasmania; Simon Bolivar University; State University System of Florida; University of South Florida; CoNISMa; University of Pisa; Helmholtz Association; Alfred Wegener Institute, Helmholtz Centre for Polar &amp; Marine Research; Japan Agency for Marine-Earth Science &amp; Technology (JAMSTEC); United Nations Environment Programme; University of California System; University of California Santa Cruz; Smithsonian Institution; Duke University; University of California System; University of California Santa Cruz; University of Queensland; CGIAR; International Water Management Institute (IWMI); Institut de Recherche pour le Developpement (IRD); Universite de Montpellier; Centre National de la Recherche Scientifique (CNRS); Ifremer; University of Cape Town</t>
  </si>
  <si>
    <t>Bax, NJ (corresponding author), CSIRO, Oceans &amp; Atmosphere, Hobart, Tas, Australia.;Bax, NJ; Miloslavich, P (corresponding author), Univ Tasmania, Inst Marine &amp; Antarctic Studies, Hobart, Tas, Australia.;Miloslavich, P (corresponding author), Univ Simon Bolivar, Dept Estudios Ambientales, Caracas, Venezuela.</t>
  </si>
  <si>
    <t>nic.bax@csiro.au; pmilos@usb.ve</t>
  </si>
  <si>
    <t>Bax, Nicholas J/A-2321-2012; Tyack, Peter/AAC-4513-2019; Duffy, J. Emmett/ABF-9200-2020; Allain, Valerie/AAE-1449-2019; Shin, Yunne-Jai/A-7575-2012</t>
  </si>
  <si>
    <t>Tyack, Peter/0000-0002-8409-4790; Duffy, J. Emmett/0000-0001-8595-6391; Allain, Valerie/0000-0002-9874-3077; Shin, Yunne-Jai/0000-0002-7259-9265; Dunn, Daniel/0000-0001-8932-0681; Benedetti-Cecchi, Lisandro/0000-0001-5244-5202; Buttigieg, Pier Luigi/0000-0002-4366-3088; Simmons, Samantha/0000-0003-0326-6990; Miloslavich, Patricia/0000-0001-5409-1401</t>
  </si>
  <si>
    <t>NASA [NNX14AP62A, NOPP RFP NOAA-NOS-IOOS-014-2003803]; Australian Government's National Environmental Science Program (NESP) Marine Biodiversity Hub; Alfred Wegener Institute's Frontiers in Arctic Marine Monitoring Programme (FRAM); European Union's Horizon 2020 Research and Innovation Program [633211]</t>
  </si>
  <si>
    <t>NASA(National Aeronautics &amp; Space Administration (NASA)); Australian Government's National Environmental Science Program (NESP) Marine Biodiversity Hub(Australian Government); Alfred Wegener Institute's Frontiers in Arctic Marine Monitoring Programme (FRAM); European Union's Horizon 2020 Research and Innovation Program</t>
  </si>
  <si>
    <t>Components of this paper were developed at NCEAS as part of a Future Earth PEGASuS project. This work was supported in part byNASA grant NNX14AP62A National Marine Sanctuaries as Sentinel Sites for a Demonstration Marine Biodiversity Observation Network (MBON)to FM-K under the US National Ocean Partnership Program (NOPP RFP NOAA-NOS-IOOS-014-2003803 in partnership between NOAA, BOEM, and NASA), and the NOAA Integrated Ocean Observing System (IOOS) Program Office. NB was supported by the Australian Government's National Environmental Science Program (NESP) Marine Biodiversity Hub. PB acknowledges support from the Alfred Wegener Institute's Frontiers in Arctic Marine Monitoring Programme (FRAM) and the European Union's Horizon 2020 Research and Innovation Program under Grant Agreement No. 633211 (AtlantOS). This paper was conceived by the GOOS Biology and Ecosystems Panel.</t>
  </si>
  <si>
    <t>10.3389/fmars.2019.00395</t>
  </si>
  <si>
    <t>IJ6CO</t>
  </si>
  <si>
    <t>WOS:000475989900001</t>
  </si>
  <si>
    <t>Rosenblume, JA; Powell, RD</t>
  </si>
  <si>
    <t>Rosenblume, Justin A.; Powell, Ross D.</t>
  </si>
  <si>
    <t>Glacial sequence stratigraphy of ANDRILL-1B core reveals a dynamic subpolar Antarctic Ice Sheet in Ross Sea during the late Miocene</t>
  </si>
  <si>
    <t>SEDIMENTOLOGY</t>
  </si>
  <si>
    <t>ANDRILL AND-1B; Antarctica; dynamic; glacial sequence stratigraphy; glacimarine; late Miocene; polythermal; subpolar</t>
  </si>
  <si>
    <t>GLACIMARINE SEDIMENTARY PROCESSES; MCMURDO VOLCANIC GROUP; VICTORIA LAND; MARINE SEDIMENTATION; MUIR INLET; CLIMATE; DEPOSITION; HISTORY; FACIES; LEVEL</t>
  </si>
  <si>
    <t>The Upper Miocene interval of the AND-1B sediment core is a muddy ca 300 m thick succession of glacimarine strata that was recovered from the McMurdo sector of the Ross Ice Shelf, Antarctica. This succession comprises lithofacies consistent with those formed in modern polythermal glacial systems with large volumes of subglacial meltwater. In particular, meltwater-associated facies and iceberg-rafted debris suggest that these late Miocene glacial systems were similar to subpolar glaciers like those in Svalbard today. Modern subpolar systems in Svalbard accumulate sediments at rates of ca 50 to 100 mm a(-1) within ca 1 km of their grounded tidewater cliffs in waters up to hundreds of metres deep. Here, the rifted tectonic setting and glacio-isostatic load of the Antarctic Ice Sheet enhanced accommodation for this succession. Based on these interpretations, the glacial sequence stratigraphic model of Powell &amp; Cooper (2002) is applied to the study interval in an effort to better understand ice dynamics during this time. Base level is defined as the grounding line (where the ice sheet is grounded on the sea floor) and the surface that projects basinward (a correlative conformity). Glacial sequence stratigraphic description of the sediment core reveals 10 glacial sequences bounded by glacial erosion surfaces and two lower-ranked glacial sequences bounded by correlative conformities. These glacial sequences occur in regular fining-upward stratigraphic patterns and consist of two distinct styles of glacial retreat: packages with grounding-line fan deposits and those without them. Lastly, in an effort to fill the gap between the middle Miocene and Plio-Pleistocene climate histories of Antarctica, comparison of the AND-1B Upper Miocene interval with the obliquity curve reveals one glacial-interglacial cycle and identifies erosion surfaces along which significant time may be missing.</t>
  </si>
  <si>
    <t>[Rosenblume, Justin A.; Powell, Ross D.] Northern Illinois Univ, Dept Geol &amp; Environm Geosci, 312 Davis Hall, De Kalb, IL 60115 USA; [Rosenblume, Justin A.] Univ Iowa, Earth &amp; Environm Sci, 115 Trowbridge Hall, Iowa City, IA 52242 USA</t>
  </si>
  <si>
    <t>Northern Illinois University; University of Iowa</t>
  </si>
  <si>
    <t>Rosenblume, JA (corresponding author), Northern Illinois Univ, Dept Geol &amp; Environm Geosci, 312 Davis Hall, De Kalb, IL 60115 USA.;Rosenblume, JA (corresponding author), Univ Iowa, Earth &amp; Environm Sci, 115 Trowbridge Hall, Iowa City, IA 52242 USA.</t>
  </si>
  <si>
    <t>justin-rosenblume@uiowa.edu</t>
  </si>
  <si>
    <t>Rosenblume, Justin/0000-0001-8935-1664</t>
  </si>
  <si>
    <t>GSA Graduate Student Research Grant [11110-15]; Northern Illinois University Goldich Fund</t>
  </si>
  <si>
    <t>GSA Graduate Student Research Grant; Northern Illinois University Goldich Fund</t>
  </si>
  <si>
    <t>The authors are grateful to Charlotte Sjunneskog and the staff of the Antarctic Marine Geology Research Facility (Florida State University) for providing numerous images of AND1B. The authors are thankful to Associate Editor Nick Eyles and reviewers Kirsten Kennedy and Jean-Francois Ghienne whose detailed comments and corrections greatly improved this manuscript. Lastly, this manuscript benefitted from Emily Finzel's suggestions. This project was funded by GSA Graduate Student Research Grant #11110-15 and the Northern Illinois University Goldich Fund.</t>
  </si>
  <si>
    <t>0037-0746</t>
  </si>
  <si>
    <t>1365-3091</t>
  </si>
  <si>
    <t>Sedimentology</t>
  </si>
  <si>
    <t>10.1111/sed.12592</t>
  </si>
  <si>
    <t>IW9CV</t>
  </si>
  <si>
    <t>WOS:000476118300001</t>
  </si>
  <si>
    <t>Pettorelli, N; Smith, J; Pecl, GT; Hill, JK; Norris, K</t>
  </si>
  <si>
    <t>Pettorelli, Nathalie; Smith, Jennifer; Pecl, Gretta T.; Hill, Jane K.; Norris, Ken</t>
  </si>
  <si>
    <t>Anticipating arrival: Tackling the national challenges associated with the redistribution of biodiversity driven by climate change</t>
  </si>
  <si>
    <t>biodiversity monitoring; citizen science; climate change; range shifts; species' redistribution; United Kingdom; wildlife management</t>
  </si>
  <si>
    <t>RANGE SHIFTS; SPECIES TRAITS; MODEL</t>
  </si>
  <si>
    <t>The redistribution of species in response to climate change is expected to significantly challenge environmental management and conservation efforts around the globe. To date, we have had restricted understanding of the benefits and risks that species redistribution may pose to individual countries, and a limited appreciation of the variability in current opportunities for developing effective monitoring approaches that build on existing national frameworks. To assess the present level of ecological, economic and societal risks and opportunities associated with new arrivals of species driven by changes in climatic conditions, we conducted a review of the available information on changes in animal species (both terrestrial and marine) distribution suspected to be linked to climate change in the United Kingdom over the past 10 years (2008-2018). We found evidence that at least 55 species have arrived in new locations in the country due to climate change in the past decade, with 22 of them suspected to impact positively or negatively the recipient ecosystems, or nearby human communities. Ten of these 55 species were identified using keywords and hashtags on social media. Synthesis and applications. Our work identifies pressing monitoring gaps relevant to the management of species on the move and discusses the potential for social media to help address current information needs. It also calls for more theoretical work to enable the quick identification of species likely to be problematic (or beneficial) and locations likely to experience significant ecological and societal impacts from biodiversity's redistribution under a changing climate.</t>
  </si>
  <si>
    <t>[Pettorelli, Nathalie; Smith, Jennifer; Norris, Ken] Zool Soc London, Inst Zool, London, England; [Pecl, Gretta T.] Univ Tasmania, Inst Marine &amp; Antarctic Studies, Hobart, Tas, Australia; [Pecl, Gretta T.] Univ Tasmania, Ctr Marine Socioecol, Hobart, Tas, Australia; [Hill, Jane K.] Univ York, Dept Biol, York, N Yorkshire, England</t>
  </si>
  <si>
    <t>Zoological Society of London; University of Tasmania; University of Tasmania; University of York - UK</t>
  </si>
  <si>
    <t>Pettorelli, N (corresponding author), Zool Soc London, Inst Zool, London, England.</t>
  </si>
  <si>
    <t>nathalie.pettorelli@ioz.ac.uk</t>
  </si>
  <si>
    <t>Hill, Jane K./AAJ-3374-2021; Pecl, Gretta/D-7267-2011; Pettorelli, Nathalie/AAW-8438-2021</t>
  </si>
  <si>
    <t>Hill, Jane K./0000-0003-1871-7715; Pecl, Gretta/0000-0003-0192-4339; Smith, Jennifer/0000-0001-5051-3769; Pettorelli, Nathalie/0000-0002-1594-6208</t>
  </si>
  <si>
    <t>10.1111/1365-2664.13465</t>
  </si>
  <si>
    <t>JB8YO</t>
  </si>
  <si>
    <t>WOS:000476242100001</t>
  </si>
  <si>
    <t>Xia, ZY; Chen, LJ; Zhima, Z; Santolík, O; Horne, RB; Parrot, M</t>
  </si>
  <si>
    <t>Xia, Zhiyang; Chen, Lunjin; Zhima, Zeren; Santolik, Ondrej; Horne, Richard B.; Parrot, Michel</t>
  </si>
  <si>
    <t>Statistical Characteristics of Ionospheric Hiss Waves</t>
  </si>
  <si>
    <t>PLASMASPHERIC HISS; FIELD EXPERIMENT; CHORUS; PROPAGATION; EMISSIONS; ORIGIN; PRECIPITATION; GENERATION; FREQUENCY; RADIATION</t>
  </si>
  <si>
    <t>In this study, we use the observations of electromagnetic waves by Detection of Electromagnetic Emissions Transmitted from Earthquake Regions satellite to investigate propagation characteristics of low-altitude ionospheric hiss. In an event study, intense hiss wave power is concentrated over a narrow frequency band with a central frequency that decreases as latitude decreases, which coincides to the variation of local proton cyclotron frequency f(CH). The wave propagates obliquely to the background magnetic field and equatorward from high latitude region. We use about similar to 6 years of observations to statistically study the dependence of ionospheric hiss wave power on location, local time, geomagnetic activity, and season. The results demonstrate that the ionospheric hiss power is stronger on the dayside than nightside, under higher geomagnetic activity conditions, in local summer than local winter. The wave power is confined near the region where the local fCH is equal to the wave frequency. A ray tracing simulation is performed to account for the dependence of wave power on frequency and latitude.</t>
  </si>
  <si>
    <t>[Xia, Zhiyang; Chen, Lunjin] Univ Texas Dallas, Dept Phys, Richardson, TX 75083 USA; [Zhima, Zeren] China Earthquake Adm, Inst Crustal Dynam, Beijing, Peoples R China; [Santolik, Ondrej] Inst Atmospher Phys, Dept Space Phys, Prague, Czech Republic; [Santolik, Ondrej] Charles Univ Prague, Fac Math &amp; Phys, Prague, Czech Republic; [Horne, Richard B.] British Antarctic Survey, Cambridge, England; [Parrot, Michel] CNRS, LPC2E, Orleans, France</t>
  </si>
  <si>
    <t>University of Texas System; University of Texas Dallas; China Earthquake Administration; Czech Academy of Sciences; Institute of Atmospheric Physics of the Czech Academy of Sciences; Charles University Prague; UK Research &amp; Innovation (UKRI); Natural Environment Research Council (NERC); NERC British Antarctic Survey; Centre National de la Recherche Scientifique (CNRS); Universite de Orleans</t>
  </si>
  <si>
    <t>Xia, ZY; Chen, LJ (corresponding author), Univ Texas Dallas, Dept Phys, Richardson, TX 75083 USA.</t>
  </si>
  <si>
    <t>Zhiyang.Xia@utdallas.edu; lunjin.chen@gmail.com</t>
  </si>
  <si>
    <t>Zeren, Droma/ABF-7308-2020; Horne, Richard B/U-3764-2019; Chen, Lunjin/L-1250-2013; Santolik, Ondrej/F-7766-2014</t>
  </si>
  <si>
    <t>Horne, Richard B/0000-0002-0412-6407; Chen, Lunjin/0000-0003-2489-3571; Parrot, Michel/0000-0003-0905-5721; Santolik, Ondrej/0000-0002-4891-9273; Xia, Zhiyang/0000-0001-8922-6484</t>
  </si>
  <si>
    <t>NSF through the Geospace Environment Modeling program [1705079]; AFOSR [FA9550-16-1-0344]; NSFC [41574139/41874174]; Czech Academy of Sciences through the Praemium Academiae award; NERC Highlight Topic Grant [NE/P01738X/1]; NERC [bas0100031, NE/P01738X/1] Funding Source: UKRI</t>
  </si>
  <si>
    <t>NSF through the Geospace Environment Modeling program; AFOSR(United States Department of DefenseAir Force Office of Scientific Research (AFOSR)); NSFC(National Natural Science Foundation of China (NSFC)); Czech Academy of Sciences through the Praemium Academiae award; NERC Highlight Topic Grant; NERC(UK Research &amp; Innovation (UKRI)Natural Environment Research Council (NERC))</t>
  </si>
  <si>
    <t>We acknowledge the DEMETER scientific mission for providing data (http://demeter.cnrs-orleans.fr/).This research was supported by the NSF grant 1705079 through the Geospace Environment Modeling program and the AFOSR grant of FA9550-16-1-0344. Zeren Zhima acknowledges the support of NSFC grant 41574139/41874174. Ondrej Santolik acknowledges support from the Czech Academy of Sciences through the Praemium Academiae award. Richard B. Horne is supported by NERC Highlight Topic GrantNE/P01738X/1 (Rad-Sat).</t>
  </si>
  <si>
    <t>JUL 16</t>
  </si>
  <si>
    <t>10.1029/2019GL083275</t>
  </si>
  <si>
    <t>IL0BD</t>
  </si>
  <si>
    <t>WOS:000476960100010</t>
  </si>
  <si>
    <t>Bailey, A; Singh, HKA; Nusbaumer, J</t>
  </si>
  <si>
    <t>Bailey, Adriana; Singh, Hansi K. A.; Nusbaumer, Jesse</t>
  </si>
  <si>
    <t>Evaluating a Moist Isentropic Framework for Poleward Moisture Transport: Implications forWater Isotopes Over Antarctica</t>
  </si>
  <si>
    <t>GLOBAL ATMOSPHERIC CIRCULATION; EPICA DOME C; WATER-VAPOR; BALANCE; RECORDS; INSIGHTS; ORIGIN; SNOW</t>
  </si>
  <si>
    <t>The ability to identify moisture source regions and sinks and to model the transport pathways that link them in simple yet physical ways is critical for understanding climate today and in the past. Using water tagging and isotopic tracer experiments in the Community Earth System Model, this work shows that poleward moisture transport largely follows surfaces of constant moist entropy. The analysis not only provides insight into why distinct zonal bands supply moisture to high- and low-elevation polar sites but also explains why changes in these source regions are inherently linked to changes in temperature and rainout. Moreover, because the geometry, and specifically length, of the moist isentropic surfaces describes how much integrated rainout occurs, the analysis provides a physical framework for interpreting the isotopic composition of water in poleward-moving air, thus indicating how variations in moisture transport might influence Antarctic ice cores.</t>
  </si>
  <si>
    <t>[Bailey, Adriana] Natl Ctr Atmospher Res, POB 3000, Boulder, CO 80307 USA; [Singh, Hansi K. A.] US DOE, Pacific Northwest Natl Lab, Richland, WA USA; [Singh, Hansi K. A.] Univ Victoria, Sch Earth &amp; Ocean Sci, Victoria, BC, Canada; [Nusbaumer, Jesse] NASA, Goddard Inst Space Studies, New York, NY 10025 USA; [Nusbaumer, Jesse] Columbia Univ, Ctr Climate Syst Res, New York, NY USA</t>
  </si>
  <si>
    <t>National Center Atmospheric Research (NCAR) - USA; United States Department of Energy (DOE); Pacific Northwest National Laboratory; University of Victoria; National Aeronautics &amp; Space Administration (NASA); NASA Goddard Space Flight Center; Goddard Institute for Space Studies; Columbia University</t>
  </si>
  <si>
    <t>Bailey, A (corresponding author), Natl Ctr Atmospher Res, POB 3000, Boulder, CO 80307 USA.</t>
  </si>
  <si>
    <t>abailey@ucar.edu</t>
  </si>
  <si>
    <t>; Bailey, Adriana/J-2066-2015</t>
  </si>
  <si>
    <t>Singh, Hansi/0000-0002-8651-9094; Bailey, Adriana/0000-0002-2614-1560; Nusbaumer, Jesse/0000-0002-4370-3537</t>
  </si>
  <si>
    <t>National Center for Atmospheric Research - National Science Foundation [1852977]; Linus Pauling Distinguished Postdoctoral Fellowship - Pacific Northwest National Laboratory; U.S. Department of Energy Office of Science; NASA Post-doctoral Program (NPP) fellowship at NASA GISS; NASA [NNH13ZDA001N-NEWS]</t>
  </si>
  <si>
    <t>National Center for Atmospheric Research - National Science Foundation; Linus Pauling Distinguished Postdoctoral Fellowship - Pacific Northwest National Laboratory; U.S. Department of Energy Office of Science(United States Department of Energy (DOE)); NASA Post-doctoral Program (NPP) fellowship at NASA GISS; NASA(National Aeronautics &amp; Space Administration (NASA))</t>
  </si>
  <si>
    <t>This material is based upon work supported by the National Center for Atmospheric Research, which is a major facility sponsored by the National Science Foundation under Cooperative Agreement 1852977. H. K. A. S. is grateful for generous funding through the Linus Pauling Distinguished Postdoctoral Fellowship, sponsored by Pacific Northwest National Laboratory and the U.S. Department of Energy Office of Science. J. N. was supported by the NASA Post-doctoral Program (NPP) fellowship at NASA GISS, along with NASA grant NNH13ZDA001N-NEWS. The authors thank Cecilia Bitz and David Noone for encouraging us to pursue this line of research, Robert Fajber for useful theoretical discussions, Isla Simpson and Christina McCluskey for their thoughtful feedback on an initial draft of the manuscript, and Bradley Markle and an anonymous reviewer for their excellent suggestions for improving the analysis and its presentation. CESM output data used in this study are available online (https://doi.org/10.5281/zenodo.2595607).</t>
  </si>
  <si>
    <t>10.1029/2019GL082965</t>
  </si>
  <si>
    <t>WOS:000476960100084</t>
  </si>
  <si>
    <t>Holzer, M; DeVries, T; Smethie, W</t>
  </si>
  <si>
    <t>Holzer, Mark; DeVries, Timothy; Smethie, William, Jr.</t>
  </si>
  <si>
    <t>The Ocean's Global 39Ar Distribution Estimated With an Ocean Circulation Inverse Model</t>
  </si>
  <si>
    <t>VENTILATION; C-14; AGES; SECTION; WATERS</t>
  </si>
  <si>
    <t>Ar-39 with its 269-year half-life has great potential for constraining ocean ventilation and transport. Here we estimate the distribution of Ar-39 using a steady ocean circulation inverse model. Our estimates match available Ar-39 measurements to within an absolute error of similar to 9% modern argon without major biases. We find that Ar-39 traces out the world ocean's ventilation pathways and that the Ar-39 age Gamma(Ar) and the ideal mean age have broadly similar large-scale patterns. At the surface, Ar-39 is close to saturated except at high latitudes. Undersaturation imparts a finite Ar-39 age to surface waters relative to the atmosphere, with peak values exceeding 100 years in Antarctic waters. This reservoir age is propagated into the interior with Antarctic Bottom Water, elevating Gamma(Ar) by similar to 50 years in the deep Pacific and Indian oceans. Our estimates identify the large-scale gradients and uncertainty patterns of Ar-39, thus providing guidance for future measurements.</t>
  </si>
  <si>
    <t>[Holzer, Mark] Univ New South Wales, Sch Math &amp; Stat, Dept Appl Math, Sydney, NSW, Australia; [DeVries, Timothy] Univ Calif Santa Barbara, Earth Res Inst, Santa Barbara, CA 93106 USA; [DeVries, Timothy] Univ Calif Santa Barbara, Dept Geog, Santa Barbara, CA 93106 USA; [Smethie, William, Jr.] Columbia Univ, Lamont Doherty Earth Observ, Palisades, NY USA</t>
  </si>
  <si>
    <t>University of New South Wales Sydney; University of California System; University of California Santa Barbara; University of California System; University of California Santa Barbara; Columbia University</t>
  </si>
  <si>
    <t>Holzer, M (corresponding author), Univ New South Wales, Sch Math &amp; Stat, Dept Appl Math, Sydney, NSW, Australia.</t>
  </si>
  <si>
    <t>mholzer@unsw.edu.au</t>
  </si>
  <si>
    <t>Holzer, Mark/E-8735-2011</t>
  </si>
  <si>
    <t>Holzer, Mark/0000-0002-9568-1763; DeVries, Tim/0000-0002-7771-9430; Smethie, William/0000-0001-7580-8918</t>
  </si>
  <si>
    <t>NSF [OCE-1658392]</t>
  </si>
  <si>
    <t>T. D. acknowledges support from NSF Grant OCE-1658392. The 2015 39Ar data are included in the Meteor 116 cruise data (doi.org/10.1594/PANGAEA.894708 and doi.pangaea.de/10.1594/PANGAEA.886191). The 39Ar and CFC-12 data analyzed by Ebser et al. (2018) can also be found in their supporting information Table S1 (doi.org/10.1038/s41467-018-07465-7). The older beta-decay measurements are tabulated in the PhD thesis of Rodriguez (1993), also available online (web.maths.unsw.edu.au/similar to markholzer/Rodriguez_1993_Ar39_data.csv).</t>
  </si>
  <si>
    <t>10.1029/2019GL082663</t>
  </si>
  <si>
    <t>WOS:000476960100049</t>
  </si>
  <si>
    <t>Pautet, PD; Taylor, MJ; Eckermann, SD; Criddle, N</t>
  </si>
  <si>
    <t>Pautet, P-D; Taylor, M. J.; Eckermann, S. D.; Criddle, N.</t>
  </si>
  <si>
    <t>Regional Distribution of Mesospheric Small-Scale Gravity Waves During DEEPWAVE</t>
  </si>
  <si>
    <t>gravity waves; MLT; DEEPWAVE; airglow</t>
  </si>
  <si>
    <t>MOMENTUM FLUX; SATELLITE-OBSERVATIONS; NEW-ZEALAND; TEMPERATURE MAPPER; LIDAR OBSERVATIONS; LOWER THERMOSPHERE; AUCKLAND ISLANDS; MESOPAUSE REGION; AIRBORNE LIDAR; MOUNTAIN WAVES</t>
  </si>
  <si>
    <t>The Deep Propagating Gravity Wave Experiment project took place in June and July 2014 in New Zealand. Its overarching goal was to study gravity waves (GWs) as they propagate from the ground up to 100 km, with a large number of ground-based, airborne, and satellite instruments, combined with numerical forecast models. A suite of three mesospheric airglow imagers operated onboard the NSF Gulfstream V (GV) aircraft during 25 nighttime flights, recording the GW activity at OH altitude over a large region (&gt;7,000,000 km(2)). Analysis of this data set reveals the distribution of the small-scale GW mean power and direction of propagation. GW activity occurred everywhere and during every flight, even over open oceans with no neighboring tropospheric sources. Over the mountainous regions (New Zealand, Tasmania, isolated islands), mean power reached high values (more than 100 times larger than over the waters), but with a considerable variability. This variability existed from day to day over the same region, but even during the same flight, depending on forcing strength and on the middle atmosphere conditions. Results reveal a strong correlation between tropospheric sources, satellite stratospheric measurements, and mesosphere lower thermosphere airglow observations. The large-amplitude GWs only account for a small amount of the total (6%), even though they carry the most momentum and energy. The weaker wave activity measured over the oceans might originate from distance sources (polar vortex, weather fronts), implying that a ducted mechanism helped for their long range propagation.</t>
  </si>
  <si>
    <t>[Pautet, P-D; Taylor, M. J.; Criddle, N.] Utah State Univ, CASS, Logan, UT 84322 USA; [Eckermann, S. D.] US Naval Res Lab, Space Sci Div, Washington, DC USA</t>
  </si>
  <si>
    <t>Utah System of Higher Education; Utah State University; United States Department of Defense; United States Navy; Naval Research Laboratory</t>
  </si>
  <si>
    <t>Pautet, PD (corresponding author), Utah State Univ, CASS, Logan, UT 84322 USA.</t>
  </si>
  <si>
    <t>dominiquepautet@gmail.com</t>
  </si>
  <si>
    <t>Pautet, Pierre-Dominique/HRC-1681-2023</t>
  </si>
  <si>
    <t>Taylor, Michael/0000-0002-3796-0836; Eckermann, Stephen/0000-0002-8534-1909; Pautet, Pierre-Dominique/0000-0001-9452-7337</t>
  </si>
  <si>
    <t>NSF [AGS-1338666, AGS-1061892]; U.S. Naval Research Laboratory, via the base 6.1 support program [PE-61153N]; U.S. Naval Research Laboratory via the platform support program [PE-61153N]</t>
  </si>
  <si>
    <t>NSF(National Science Foundation (NSF)); U.S. Naval Research Laboratory, via the base 6.1 support program; U.S. Naval Research Laboratory via the platform support program</t>
  </si>
  <si>
    <t>The development of the AMTM instrument used onboard the GV aircraft was funded by NSF grant AGS-1061892. The USU component of the DEEPWAVE campaign was sponsored by NSF grant AGS-1338666. S.D.E. acknowledges the generous support of the Chief of Naval Research, U.S. Naval Research Laboratory, via the base 6.1 and platform support programs (PE-61153N). The authors would like to thank R. Esplin and D. McLain, from the Space Dynamics Laboratory, as well as W. R. Pendleton Jr. Without their work the AMTM would not be such a high-quality instrument. They also would like to thank the NCAR/EOL personnel for their tremendous contribution and the U.S. Antarctic Program for allowing them to operate the field campaign from their offices in Christchurch. DEEPWAVE data are archived and maintained by NCAR and can be accessed at https://www.eol.ucar.edu/field_projects/deepwave.</t>
  </si>
  <si>
    <t>10.1029/2019JD030271</t>
  </si>
  <si>
    <t>IL9BM</t>
  </si>
  <si>
    <t>WOS:000477580200026</t>
  </si>
  <si>
    <t>Pang, HX; Hou, SG; Landais, A; Masson-Delmotte, V; Jouzel, J; Steen-Larsen, HC; Risi, C; Zhang, WB; Wu, SY; Li, YS; An, CL; Wang, YT; Prie, F; Minster, B; Falourd, S; Stenni, B; Scarchilli, C; Fujita, K; Grigioni, P</t>
  </si>
  <si>
    <t>Pang, Hongxi; Hou, Shugui; Landais, Amaelle; Masson-Delmotte, Valerie; Jouzel, Jean; Steen-Larsen, Hans Christian; Risi, Camille; Zhang, Wangbin; Wu, Shuangye; Li, Yuansheng; An, Chunlei; Wang, Yetang; Prie, Frederic; Minster, Benedicte; Falourd, Sonia; Stenni, Barbara; Scarchilli, Claudio; Fujita, Koji; Grigioni, Paolo</t>
  </si>
  <si>
    <t>Influence of Summer Sublimation on δD, δ18O, and δ17O in Precipitation, East Antarctica, and Implications for Climate Reconstruction From Ice Cores</t>
  </si>
  <si>
    <t>Antarctica; ice core; water stable isotopes; climate</t>
  </si>
  <si>
    <t>STABLE-ISOTOPE RECORDS; WATER-VAPOR; DEUTERIUM EXCESS; SURFACE SNOW; TEMPERATURE-INVERSION; VOSTOK STATION; DOME-C; BOUNDARY-LAYER; SOUTH-POLE; GREENLAND</t>
  </si>
  <si>
    <t>In central Antarctica, where accumulation rates are very low, summer sublimation of surface snow is a key element of the surface mass balance, but its fingerprint in isotopic composition of water (delta D, delta O-18, and delta O-17) remains unclear. In this study, we examined the influence of summer sublimation on delta D, delta O-18, and delta O-17 in precipitation using data sets of isotopic composition of precipitation at various sites on the inland East Antarctica. We found unexpectedly low delta O-18 values in the summer precipitation, decoupled from surface air temperatures. This feature can be explained by the combined effects of weak or nonexistent temperature inversion and moisture recycling associated with sublimation-condensation processes in summer. Isotopic fractionation during the moisture-recycling process also explains the observed high values of d-excess and O-17-excess in summer precipitation. Our results suggest that the local cycle of sublimation-condensation in summer is an important process for the isotopic composition of surface snow, water vapor, and consequently precipitation on inland East Antarctica.</t>
  </si>
  <si>
    <t>[Pang, Hongxi; Hou, Shugui; Zhang, Wangbin] Nanjing Univ, Sch Geog &amp; Ocean Sci, Minist Educ, Key Lab Coast &amp; Isl Dev, Nanjing, Jiangsu, Peoples R China; [Hou, Shugui] Chinese Acad Sci, Ctr Excellence Tibetan Plateau Earth Sci, Beijing, Peoples R China; [Landais, Amaelle; Masson-Delmotte, Valerie; Jouzel, Jean; Prie, Frederic; Minster, Benedicte; Falourd, Sonia] CEA CNRS UVSQ IPSL, UMR8212, Lab Sci Climat &amp; Environm, Gif Sur Yvette, France; [Steen-Larsen, Hans Christian] Univ Bergen, Geophys Inst, Bergen, Norway; [Steen-Larsen, Hans Christian] Bjerknes Ctr Climate Res, Bergen, Norway; [Risi, Camille] IPSL CNRS UPMC, Lab Meteorol Dynam UMR8539, Paris, France; [Wu, Shuangye] Univ Dayton, Geol Dept, Dayton, OH 45469 USA; [Li, Yuansheng; An, Chunlei] Polar Res Inst China, Shanghai, Peoples R China; [Wang, Yetang] Shandong Normal Univ, Coll Populat Resources &amp; Environm, Jinan, Shandong, Peoples R China; [Stenni, Barbara] Ca Foscari Univ Venice, Dept Environm Sci Informat &amp; Stat, Venice, Italy; [Scarchilli, Claudio; Grigioni, Paolo] ENEA, Lab Observat &amp; Analyses Earth &amp; Climate, Rome, Italy; [Fujita, Koji] Nagoya Univ, Grad Sch Environm Studies, Nagoya, Aichi, Japan</t>
  </si>
  <si>
    <t>Nanjing University; Chinese Academy of Sciences; CEA; Centre National de la Recherche Scientifique (CNRS); Universite Paris Saclay; CNRS - National Institute for Earth Sciences &amp; Astronomy (INSU); University of Bergen; Bjerknes Centre for Climate Research; Sorbonne Universite; Centre National de la Recherche Scientifique (CNRS); CNRS - National Institute for Earth Sciences &amp; Astronomy (INSU); University System of Ohio; University of Dayton; Polar Research Institute of China; Shandong Normal University; Universita Ca Foscari Venezia; Italian National Agency New Technical Energy &amp; Sustainable Economics Development; Nagoya University</t>
  </si>
  <si>
    <t>Hou, SG (corresponding author), Nanjing Univ, Sch Geog &amp; Ocean Sci, Minist Educ, Key Lab Coast &amp; Isl Dev, Nanjing, Jiangsu, Peoples R China.;Hou, SG (corresponding author), Chinese Acad Sci, Ctr Excellence Tibetan Plateau Earth Sci, Beijing, Peoples R China.</t>
  </si>
  <si>
    <t>shugui@nju.edu.cn</t>
  </si>
  <si>
    <t>Masson-Delmotte, Valerie L/G-1995-2011; Grigioni, paolo/AAH-5193-2020; Fujita, Koji/E-6104-2010; Steen-Larsen, Hans Christian/F-9927-2013</t>
  </si>
  <si>
    <t>Masson-Delmotte, Valerie L/0000-0001-8296-381X; Fujita, Koji/0000-0003-3753-4981; Stenni, Barbara/0000-0003-4950-3664; Wu, Shuang-Ye/0000-0002-4215-6607; Steen-Larsen, Hans Christian/0000-0002-7202-5907; Hou, Shugui/0000-0002-0905-3542; Scarchilli, Claudio/0000-0002-2414-2439</t>
  </si>
  <si>
    <t>National Natural Science Foundation of China [41622605, 91837102, 41771031, 41830644]; Priority Academic Program Development of Jiangsu Higher Education Institutions (PAPD); Collaborative Innovation Center of Climate Change of Jiangsu Province of China; Fundamental Research Funds for the Central Universities [020914380074]; ERC Starting Grant COMBINISO [306045]; ANR ASUMA; European Research Council (ERC) [306045] Funding Source: European Research Council (ERC)</t>
  </si>
  <si>
    <t>National Natural Science Foundation of China(National Natural Science Foundation of China (NSFC)); Priority Academic Program Development of Jiangsu Higher Education Institutions (PAPD); Collaborative Innovation Center of Climate Change of Jiangsu Province of China; Fundamental Research Funds for the Central Universities(Fundamental Research Funds for the Central Universities); ERC Starting Grant COMBINISO(European Research Council (ERC)); ANR ASUMA(Agence Nationale de la Recherche (ANR)); European Research Council (ERC)(European Research Council (ERC)Spanish Government)</t>
  </si>
  <si>
    <t>This work was jointly supported by the National Natural Science Foundation of China (41622605, 91837102, 41771031, and 41830644), the Priority Academic Program Development of Jiangsu Higher Education Institutions (PAPD), the Collaborative Innovation Center of Climate Change of Jiangsu Province of China, the Fundamental Research Funds for the Central Universities (020914380074), and the ERC Starting Grant COMBINISO (306045). We are grateful to many scientists, technicians and porters for their hard work in the field and thank the NOAA Air Resources Laboratory (ARL) for providing the HYSPLIT model used in this study. V. Masson-Delmotte acknowledges funding from ANR ASUMA. The database of Antarctic surface snow isotopic composition used in this study is available at http://www.lsce.ipsl.fr/Pisp/24/valerie.masson-delmotte.html website. The isotopic data in summer precipitation at Dome A is presented in Table 1 of this paper. Data presented in the manuscript are available in Tables S1-S3 in the supporting information. We thank Spruce W. Schoenemann and the anonymous reviewers whose constructive comments are very helpful for improving this manuscript.</t>
  </si>
  <si>
    <t>10.1029/2018JD030218</t>
  </si>
  <si>
    <t>WOS:000477580200040</t>
  </si>
  <si>
    <t>Moreau, C; Danis, B; Jossart, Q; Elaume, M; Sands, C; Achaz, G; Agera, A; Saucde, T</t>
  </si>
  <si>
    <t>Moreau, Camille; Danis, Bruno; Jossart, Quentin; Eleaume, Marc; Sands, Chester; Achaz, Guillaume; Aguera, Antonio; Saucede, Thomas</t>
  </si>
  <si>
    <t>Is reproductive strategy a key factor in understanding the evolutionary history of Southern Ocean Asteroidea (Echinodermata)?</t>
  </si>
  <si>
    <t>Antarctica; Asteroidea; bipolarity; brooding; Echinodermata; emergence; invertebrate; thermohaline expressway; trans-Antarctic seaway</t>
  </si>
  <si>
    <t>ANTARCTIC ICE-SHEET; LONG-DISTANCE DISPERSAL; PELAGIC LARVAL DURATION; SEA STAR; FORCIPULATACEA ASTEROIDEA; MITOCHONDRIAL LINEAGES; SPECIES DELIMITATION; MARINE-INVERTEBRATES; MOLECULAR PHYLOGENY; GENETIC-STRUCTURE</t>
  </si>
  <si>
    <t>Life traits such as reproductive strategy can be determining factors of species evolutionary history and explain the resulting diversity patterns. This can be investigated using phylogeographic analyses of genetic units. In this work, the genetic structure of five asteroid genera with contrasting reproductive strategies (brooding: Diplasterias, Notasterias and Lysasterias versus broadcasting: Psilaster and Bathybiaster) was investigated in the Southern Ocean. Over 1,400 mtDNA cytochrome C oxidase subunit I (COI) sequences were analysed using five species delineation methods (ABGD, ASAP, mPTP, sGMYC and mGMYC), two phylogenetic reconstructions (ML and BA), and molecular clock calibrations, in order to examine the weight of reproductive strategy in the observed differences among phylogeographic patterns. We hypothesised that brooding species would show higher levels of genetic diversity and species richness along with a clearer geographic structuring than broadcasting species. In contrast, genetic diversity and species richness were not found to be significantly different between brooders and broadcasters, but broadcasters are less spatially structured than brooders supporting our initial hypothesis and suggesting more complex evolutionary histories associated to this reproductive strategy. Broadcasters' phylogeography can be explained by different scenarios including deep-sea colonisation routes, bipolarity or cosmopolitanism, and sub-Antarctic emergence for the genus Bathybiaster; Antarctic- New Zealand faunal exchanges across the Polar Front for the genus Psilaster. Brooders' phylogeography could support the previously formulated hypothesis of a past trans-Antarctic seaway established between the Ross and the Weddell seas during the Plio-Pleistocene. Our results also show, for the first time, that the Weddell Sea is populated by a mixed asteroid fauna originating from both the East and West Antarctic.</t>
  </si>
  <si>
    <t>[Moreau, Camille; Danis, Bruno; Jossart, Quentin; Aguera, Antonio] ULB, Marine Biol Lab, CP160-15 50 Av FD Roosevelt, B-1050 Brussels, Belgium; [Moreau, Camille; Saucede, Thomas] Univ Bourgogne Franche Comte, CNRS, UMR 6282, Biogeosci, Dijon, France; [Jossart, Quentin] VUB, Marine Biol, Brussels, Belgium; [Eleaume, Marc; Achaz, Guillaume] Sorbonne Univ, CNRS, Museum Natl Hist Nat, Inst Systemat,Evolut,Biodiversite ISYEB, Paris, France; [Sands, Chester] British Antarctic Survey, Nat Environm Res Council, Cambridge, England; [Achaz, Guillaume] Coll France, CNRS, INSERM, CIRB, Paris, France</t>
  </si>
  <si>
    <t>Universite Libre de Bruxelles; Universite de Bourgogne; Centre National de la Recherche Scientifique (CNRS); Vrije Universiteit Brussel; Centre National de la Recherche Scientifique (CNRS); Museum National d'Histoire Naturelle (MNHN); Sorbonne Universite; UK Research &amp; Innovation (UKRI); Natural Environment Research Council (NERC); NERC British Antarctic Survey; Centre National de la Recherche Scientifique (CNRS); Institut National de la Sante et de la Recherche Medicale (Inserm); Universite PSL; College de France</t>
  </si>
  <si>
    <t>Moreau, C (corresponding author), ULB, Marine Biol Lab, CP160-15 50 Av FD Roosevelt, B-1050 Brussels, Belgium.</t>
  </si>
  <si>
    <t>mr.moreau.camille@gmail.com</t>
  </si>
  <si>
    <t>Danis, Bruno/AAS-8444-2021; Agüera, Antonio/O-5498-2017</t>
  </si>
  <si>
    <t>Danis, Bruno/0000-0002-9037-7623; Agüera, Antonio/0000-0003-0076-1849; Jossart, Quentin/0000-0002-2280-243X; Moreau, Camille/0000-0002-0981-7442; Sands, Chester/0000-0003-1028-0328</t>
  </si>
  <si>
    <t>Fonds pour la formation a la Recherche dans l'Industrie et l'Agriculture; Belgian Science Policy Office [BR/132/A1/vERSO]; NERC [bas0100036] Funding Source: UKRI</t>
  </si>
  <si>
    <t>Fonds pour la formation a la Recherche dans l'Industrie et l'Agriculture(Fonds de la Recherche Scientifique - FNRS); Belgian Science Policy Office(Belgian Federal Science Policy Office); NERC(UK Research &amp; Innovation (UKRI)Natural Environment Research Council (NERC))</t>
  </si>
  <si>
    <t>Fonds pour la formation a la Recherche dans l'Industrie et l'Agriculture; Belgian Science Policy Office, Grant/Award Number: BR/132/A1/vERSO</t>
  </si>
  <si>
    <t>10.1002/ece3.5280</t>
  </si>
  <si>
    <t>IO3KA</t>
  </si>
  <si>
    <t>WOS:000476015900001</t>
  </si>
  <si>
    <t>Ma, XM; Li, CY; Wang, CW; Ma, XY; Che, S; Feng, XM; Li, BF; Dai, YK</t>
  </si>
  <si>
    <t>Ma, Xiaoming; Li, Chuyi; Wang, Changwei; Ma, Xiaoying; Che, Shuai; Feng, Xiaomei; Li, Bafang; Dai, Yuankun</t>
  </si>
  <si>
    <t>Effects of three products from Antarctic krill on the nitrogen balance, growth, and antioxidation status of rats</t>
  </si>
  <si>
    <t>FOOD SCIENCE &amp; NUTRITION</t>
  </si>
  <si>
    <t>antarctic krill; antioxidant activity; growth; krill powder; krill protein complex; nitrogen balance</t>
  </si>
  <si>
    <t>PROCESSED MEAT CONSUMPTION; EUPHAUSIA-SUPERBA; RED MEAT; POSTMENOPAUSAL WOMEN; BIOACTIVE PEPTIDES; NUTRITIONAL-VALUE; OXIDATIVE STRESS; PROTEIN-QUALITY; AMINO-ACID; FISH-OIL</t>
  </si>
  <si>
    <t>A few studies conducted over the past few decades have demonstrated the health benefits of a diet rich in marine products, but limited studies have investigated the effects of different krill products on the nitrogen balance and their potential health benefits. In our study, after a 14-day acclimation period, 50 female Sprague-Dawley rats were randomly assigned to five groups, each of which was fed a different diet, for 28 days. We then evaluated the effect of krill protein complex (KPC), krill powder, and defatted krill powder on the nitrogen balance, growth, and antioxidant activity through analyses of MDA, CAT, GSH-Px, and T-SOD. An in vivo analysis suggested that the nitrogen retention rate, protein digestibility, and bioutilization of krill products were equal to those of casein. Moreover, the KPC diet resulted in the highest nitrogen intake and retention among the groups, and the biological value and net protein utilization obtained with KPC were higher than those obtained with defatted krill powder, which was consistent with the weight gains observed for these two groups. The hematological test also showed that KPC contributed to the production of functional proteins in the body. The antioxidant activity analysis indicated that higher GSH-Px and T-SOD activities were obtained with krill products and KPC, respectively, compared with casein. The results from this study suggested that krill proteins could promote growth and improve the antioxidant status of an organism. Although further studies on the safety of krill products for human consumption are needed, this work provides insights into the use of krill proteins as a potential substitute for other proteins and restructured foods.</t>
  </si>
  <si>
    <t>[Ma, Xiaoming; Li, Bafang] Ocean Univ China, Coll Food Sci &amp; Engn, 5 Yu Shan Rd, Qingdao 266003, Shandong, Peoples R China; [Li, Chuyi; Feng, Xiaomei; Dai, Yuankun] Ocean Univ China, Sch Med &amp; Pharm, 5 Yu Shan Rd, Qingdao 266003, Shandong, Peoples R China; [Wang, Changwei] Marine Biomed Res Inst Qingdao, Qingdao, Shandong, Peoples R China; [Ma, Xiaoying] Apeloa Pharmaceut Co Ltd, Dongyang, Peoples R China; [Che, Shuai] Ocean Univ China, Coll Marine Life Sci, Qingdao, Shandong, Peoples R China</t>
  </si>
  <si>
    <t>Ocean University of China; Ocean University of China; Ocean University of China</t>
  </si>
  <si>
    <t>Ma, XM (corresponding author), Ocean Univ China, Coll Food Sci &amp; Engn, 5 Yu Shan Rd, Qingdao 266003, Shandong, Peoples R China.;Dai, YK (corresponding author), Ocean Univ China, Sch Med &amp; Pharm, 5 Yu Shan Rd, Qingdao 266003, Shandong, Peoples R China.</t>
  </si>
  <si>
    <t>cleanclearbaby@163.com; daiyuankun1234@126.com</t>
  </si>
  <si>
    <t>Li, Ye/JBS-2949-2023; Li, bo/IWL-9318-2023; Ma, Xiaoming/AAI-4024-2021; 马, 晓明/HZJ-8331-2023</t>
  </si>
  <si>
    <t>Ma, Xiaoming/0000-0002-2185-000X;</t>
  </si>
  <si>
    <t>National Natural Science Foundation of China [51703214]; Key research and development plan of Shandong Province [2016YYSP003]; Qingdao postdoctoral research project [861705040037]; Zhejiang Hailisheng Co., Ltd.</t>
  </si>
  <si>
    <t>National Natural Science Foundation of China(National Natural Science Foundation of China (NSFC)); Key research and development plan of Shandong Province; Qingdao postdoctoral research project; Zhejiang Hailisheng Co., Ltd.</t>
  </si>
  <si>
    <t>Our research was supported by the the National Natural Science Foundation of China 51703214, Key research and development plan of Shandong Province 2016YYSP003, Qingdao postdoctoral research project grant 861705040037, and Zhejiang Hailisheng Co., Ltd. We would like to thank Xiaoying Ma, Shui Che, and Yuankun Dai for their assistance with the animal studies. We also thank Changwei Wang Xiaomei Feng and Bafang Li for the technical support provided.</t>
  </si>
  <si>
    <t>2048-7177</t>
  </si>
  <si>
    <t>FOOD SCI NUTR</t>
  </si>
  <si>
    <t>Food Sci. Nutr.</t>
  </si>
  <si>
    <t>10.1002/fsn3.1140</t>
  </si>
  <si>
    <t>Food Science &amp; Technology</t>
  </si>
  <si>
    <t>IR5JA</t>
  </si>
  <si>
    <t>WOS:000476008500001</t>
  </si>
  <si>
    <t>Dziak, RP; Lee, WS; Haxel, JH; Matsumoto, H; Tepp, G; Lau, TK; Roche, L; Yun, S; Lee, CK; Lee, J; Yoon, ST</t>
  </si>
  <si>
    <t>Dziak, R. P.; Lee, W. S.; Haxel, J. H.; Matsumoto, H.; Tepp, G.; Lau, T-K; Roche, L.; Yun, S.; Lee, C-K; Lee, J.; Yoon, S-T</t>
  </si>
  <si>
    <t>Hydroacoustic, Meteorologic and Seismic Observations of the 2016 Nansen Ice Shelf Calving Event and Iceberg Formation</t>
  </si>
  <si>
    <t>FRONTIERS IN EARTH SCIENCE</t>
  </si>
  <si>
    <t>hydroacoustics; ice shelf; atmospheric pressure; icequake; wind speeds and directions</t>
  </si>
  <si>
    <t>ROSS SEA; AMBIENT NOISE; INDIAN-OCEAN; BREAK-UP; GLACIER; SIGNALS; STATION; SOUND; RIFT; ANTARCTICA</t>
  </si>
  <si>
    <t>On April 7, 2016 the Nansen ice shelf (NIS) front calved into two icebergs, the first large-scale calving event in &gt; 30 years. Three hydrophone moorings were deployed seaward of the NIS in December 2015 and over the following months recorded hundreds of short duration, broadband (10-400 Hz) cryogenic signals, likely caused by fracturing of the ice shelf. The majority of these icequakes occurred between January and early March 2016, several weeks prior to the calving observed by satellite on April 7. Barometric pressure and wind speed records show the day the icebergs drifted from the NIS coincided with the largest low-pressure storm system recorded in the previous 7 months. A nearby seismic station also shows an increase in low-frequency energy, harmonic tremor, and microseisms on April 7. Our interpretation is the northern segment of the NIS leading edge broke free during mid-January to February, producing high acoustic energy, but the icebergs remained stationary until a strong low-pressure system with high winds freed the icebergs. As the unpinning of Antarctic ice shelves is not a well-documented process, our observations show that storm systems may play an under-appreciated role in Antarctic ice shelf break-up.</t>
  </si>
  <si>
    <t>[Dziak, R. P.] NOAA, Pacific Marine Environm Lab, Newport, OR 97365 USA; [Lee, W. S.; Yun, S.; Lee, C-K; Lee, J.; Yoon, S-T] Korea Polar Res Inst, Unit Ice Sheet &amp; Sea Level Changes, Incheon, South Korea; [Haxel, J. H.; Matsumoto, H.; Lau, T-K; Roche, L.] Oregon State Univ, NOAA, Cooperat Inst Marine Resources Studies, Pacific Marine Environm Lab, Newport, OR USA; [Tepp, G.] US Geol Survey, Alaska Volcano Observ, Anchorage, AK USA</t>
  </si>
  <si>
    <t>National Oceanic Atmospheric Admin (NOAA) - USA; Korea Polar Research Institute (KOPRI); National Oceanic Atmospheric Admin (NOAA) - USA; Oregon State University; United States Department of the Interior; United States Geological Survey</t>
  </si>
  <si>
    <t>Dziak, RP (corresponding author), NOAA, Pacific Marine Environm Lab, Newport, OR 97365 USA.;Lee, CK (corresponding author), Korea Polar Res Inst, Unit Ice Sheet &amp; Sea Level Changes, Incheon, South Korea.</t>
  </si>
  <si>
    <t>robert.p.dziak@noaa.gov; cklee92@kopri.re.kr</t>
  </si>
  <si>
    <t>Yoon, Seung-Tae/GXV-4573-2022; Dziak, Robert/AAC-6107-2020; Tepp, Gabrielle/AAI-3923-2020</t>
  </si>
  <si>
    <t>Yoon, Seung-Tae/0000-0002-0540-7577; Tepp, Gabrielle/0000-0001-5388-5138; Lee, Won Sang/0000-0002-1074-7672</t>
  </si>
  <si>
    <t>Korea Polar Research Institute [PM18020 (KIMST20140410), PM19020 (KIMST20190361)]; NOAA/PMEL Acoustics Program</t>
  </si>
  <si>
    <t>Korea Polar Research Institute(Korea Polar Research Institute of Marine Research Placement (KOPRI)); NOAA/PMEL Acoustics Program</t>
  </si>
  <si>
    <t>This work was sponsored by the Korea Polar Research Institute, Project Numbers PM18020 (KIMST20140410) and PM19020 (KIMST20190361), and the NOAA/PMEL Acoustics Program.</t>
  </si>
  <si>
    <t>2296-6463</t>
  </si>
  <si>
    <t>FRONT EARTH SC-SWITZ</t>
  </si>
  <si>
    <t>Front. Earth Sci.</t>
  </si>
  <si>
    <t>10.3389/feart.2019.00183</t>
  </si>
  <si>
    <t>IJ5XB</t>
  </si>
  <si>
    <t>WOS:000475975500001</t>
  </si>
  <si>
    <t>Kirkham, JD; Koch, I; Saloranta, TM; Litt, M; Stigter, EE; Moen, K; Thapa, A; Melvold, K; Immerzeel, WW</t>
  </si>
  <si>
    <t>Kirkham, James D.; Koch, Inka; Saloranta, Tuomo M.; Litt, Maxime; Stigter, Emmy E.; Moen, Knut; Thapa, Amrit; Melvold, Kjetil; Immerzeel, Walter W.</t>
  </si>
  <si>
    <t>Near Real-Time Measurement of Snow Water Equivalent in the Nepal Himalayas</t>
  </si>
  <si>
    <t>snow water equivalent; high altitude; Himalaya; near real time; gamma radiation; snow</t>
  </si>
  <si>
    <t>SCALE SPATIAL VARIABILITY; WIND-INDUCED LOSS; CLIMATE-CHANGE; GLACIER MELT; PRECIPITATION GAUGE; RUNOFF; COVER; MODEL; DENSITY; DEPTH</t>
  </si>
  <si>
    <t>Seasonal snow is an important component of the Himalayan hydrological system, but a lack of observations at high altitude hampers understanding and forecasting of water availability in this region. Here, we use a passive gamma ray sensor that measures snow water equivalent (SWE) and complementary meteorological instruments installed at 4962 m a.s.l. in the Nepal Himalayas to quantify the evolution of SWE and snow depth over a 2-year period. We assess the accuracy, spatial representativeness and the applicability of the SWE and snow depth measurements using time-lapse camera imagery and field observations. The instrument setup performs well for snowpacks &gt;50 mm SWE, but caution must be applied when interpreting measurements from discontinuous, patchy snow cover or those that contain lenses of refrozen meltwater. Over their typical similar to 6-month lifetime, snowpacks in this setting can attain up to 200 mm SWE, of which 10-15% consists of mixed precipitation and rain-on-snow events. Precipitation gauges significantly underrepresent the solid fraction of precipitation received at this elevation by almost 40% compared to the gamma ray sensor. The application of sub-daily time-lapse camera imagery can help to correctly interpret and increase the reliability and representativeness of snowfall measurements. Our monitoring approach provides high quality, continuous, near-real time information that is essential to develop snow models in this data scarce region. We recommend that a similar instrument setup be extended into remote Himalayan environments to facilitate widespread snowpack monitoring and further our understanding of the high-altitude water cycle.</t>
  </si>
  <si>
    <t>[Kirkham, James D.; Koch, Inka; Litt, Maxime; Thapa, Amrit] Int Ctr Integrated Mt Dev, Kathmandu, Nepal; [Kirkham, James D.] Univ Cambridge, Scott Polar Res Inst, Cambridge, England; [Kirkham, James D.] British Antarctic Survey, Nat Environm Res Council, Cambridge, England; [Saloranta, Tuomo M.; Moen, Knut; Melvold, Kjetil] Norwegian Water Resources &amp; Energy Directorate, Oslo, Norway; [Litt, Maxime; Stigter, Emmy E.; Immerzeel, Walter W.] Univ Utrecht, Dept Phys Geog, Utrecht, Netherlands</t>
  </si>
  <si>
    <t>University of Cambridge; UK Research &amp; Innovation (UKRI); Natural Environment Research Council (NERC); NERC British Antarctic Survey; Norwegian Water Resources &amp; Energy Directorate; Utrecht University</t>
  </si>
  <si>
    <t>Kirkham, JD (corresponding author), Int Ctr Integrated Mt Dev, Kathmandu, Nepal.;Kirkham, JD (corresponding author), Univ Cambridge, Scott Polar Res Inst, Cambridge, England.;Kirkham, JD (corresponding author), British Antarctic Survey, Nat Environm Res Council, Cambridge, England.</t>
  </si>
  <si>
    <t>Koch, Inka/AGW-1154-2022; Immerzeel, Walter W/E-2489-2012</t>
  </si>
  <si>
    <t>Koch, Inka/0000-0002-8801-7215; thapa, amrit/0000-0002-2843-1414; Kirkham, James/0000-0002-0506-1625; Stigter, Emmy/0000-0001-8569-0159; Saloranta, Tuomo/0000-0001-8436-0342</t>
  </si>
  <si>
    <t>International Centre for Integrated Mountain Development's Cryosphere Initiative - Norway; European Research Council under the European Union's Horizon 2020 Research and Innovation Program [676819]; Netherlands Organization for Scientific Research (NWO) under the Innovational Research Incentives Scheme VIDI [016.181.308]; NERC [bas0100030] Funding Source: UKRI</t>
  </si>
  <si>
    <t>International Centre for Integrated Mountain Development's Cryosphere Initiative - Norway; European Research Council under the European Union's Horizon 2020 Research and Innovation Program; Netherlands Organization for Scientific Research (NWO) under the Innovational Research Incentives Scheme VIDI(Netherlands Organization for Scientific Research (NWO)); NERC(UK Research &amp; Innovation (UKRI)Natural Environment Research Council (NERC))</t>
  </si>
  <si>
    <t>This work was supported by the International Centre for Integrated Mountain Development's Cryosphere Initiative funded by Norway, and by core funds contributed by the Governments of Afghanistan, Australia, Austria, Bangladesh, Bhutan, China, India, Myanmar, Nepal, Norway, Pakistan, Sweden, and Switzerland. Research was also financially supported by the European Research Council under the European Union's Horizon 2020 Research and Innovation Program (Grant Agreement No. 676819) and the Netherlands Organization for Scientific Research (NWO) under the Innovational Research Incentives Scheme VIDI (Grant Agreement No. 016.181.308).</t>
  </si>
  <si>
    <t>10.3389/feart.2019.00177</t>
  </si>
  <si>
    <t>IJ5WW</t>
  </si>
  <si>
    <t>WOS:000475974900001</t>
  </si>
  <si>
    <t>Linse, K; Roterman, CN; Chen, C</t>
  </si>
  <si>
    <t>Linse, Katrin; Roterman, Christopher Nicolai; Chen, Chong</t>
  </si>
  <si>
    <t>A New Vent Limpet in the Genus Lepetodrilus (Gastropoda: Lepetodrilidae) From Southern Ocean Hydrothermal Vent Fields Showing High Phenotypic Plasticity</t>
  </si>
  <si>
    <t>East Scotia Ridge; deep-sea; Mollusca; morphometrics; new species; phylogenetics</t>
  </si>
  <si>
    <t>EAST PACIFIC RISE; DE-FUCA-RIDGE; SCOTIA SEA; POPULATION-STRUCTURE; TECTONIC EVOLUTION; ATLANTIC; MOLLUSCA; MORPHOLOGY; DISCOVERY; PHYLOGENY</t>
  </si>
  <si>
    <t>The recently discovered hydrothermal vent ecosystems in the Southern Ocean host a suite of vent-endemic species, including lepetodrilid limpets dominating in abundance. Limpets were collected from chimneys, basalts and megafauna of the East Scotia Ridge segments E2 and E9 and the Kemp Caldera at the southern end of the South Sandwich Island arc. The limpets varied in size and shell morphology between vent fields and displayed a high degree of phenotypic plasticity. Size frequency analyses between vent fields suggests continuous reproduction in the limpet and irregular colonisation events. Phylogenetic reconstructions and comparisons of mitochondrial COI gene sequences revealed a level of genetic similarity between individuals from the three vent fields consistent with them belonging to a single molecular operational taxonomic unit. Here we describe Lepetodrilus concentricus n. sp., and evaluate its genetic distinctness and pylogenetic position with congeners based on the same gene. Results indicate that L. concentricus n. sp. is a sister species to L. atlanticus from Atlantic vents, with the two species estimated to have diverged within the last similar to 5 million years.</t>
  </si>
  <si>
    <t>[Linse, Katrin] British Antarctic Survey, Cambridge, England; [Roterman, Christopher Nicolai] Univ Oxford, Dept Zool, Oxford, England; [Chen, Chong] Japan Agcy Marine Earth Sci &amp; Technol JAMSTEC, X STAR, Yokosuka, Kanagawa, Japan</t>
  </si>
  <si>
    <t>UK Research &amp; Innovation (UKRI); Natural Environment Research Council (NERC); NERC British Antarctic Survey; University of Oxford; Japan Agency for Marine-Earth Science &amp; Technology (JAMSTEC)</t>
  </si>
  <si>
    <t>Linse, K (corresponding author), British Antarctic Survey, Cambridge, England.</t>
  </si>
  <si>
    <t>kl@bas.ac.uk</t>
  </si>
  <si>
    <t>Roterman, Christopher Nicolai/AAX-4395-2021; Chen, Chong/F-7489-2019</t>
  </si>
  <si>
    <t>Roterman, Christopher Nicolai/0000-0002-6636-6078; Chen, Chong/0000-0002-5035-4021</t>
  </si>
  <si>
    <t>ChEsSo (Chemosynthetic Ecosystems of the Southern Ocean) programme; UK NERC Consortium Grant [NE/DO1249X/1]; NERC [NE/D010470/2, bas0100036] Funding Source: UKRI</t>
  </si>
  <si>
    <t>ChEsSo (Chemosynthetic Ecosystems of the Southern Ocean) programme; UK NERC Consortium Grant; NERC(UK Research &amp; Innovation (UKRI)Natural Environment Research Council (NERC))</t>
  </si>
  <si>
    <t>This research and the RRS James Cook expedition JC42 were supported by the ChEsSo (Chemosynthetic Ecosystems of the Southern Ocean) programme led by Paul Tyler, funded by a UK NERC Consortium Grant (NE/DO1249X/1).</t>
  </si>
  <si>
    <t>10.3389/fmars.2019.00381</t>
  </si>
  <si>
    <t>IJ6CG</t>
  </si>
  <si>
    <t>WOS:000475989100001</t>
  </si>
  <si>
    <t>Vivier, F; Guinet, C; Jeanniard-du-Dot, T</t>
  </si>
  <si>
    <t>Vivier, Fabien; Guinet, Christophe; Jeanniard-du-Dot, Tiphaine</t>
  </si>
  <si>
    <t>Defining areas of intensive foraging activity for a top marine predator, the Antarctic fur seal: Compromises between effort and accuracy</t>
  </si>
  <si>
    <t>MARINE MAMMAL SCIENCE</t>
  </si>
  <si>
    <t>ARCTOCEPHALUS-GAZELLA; DIVING BEHAVIOR; SOUTHERN-OCEAN; STRATEGIES; ECOLOGY</t>
  </si>
  <si>
    <t>[Vivier, Fabien; Guinet, Christophe; Jeanniard-du-Dot, Tiphaine] Univ La Rochelle, CNRS, UMR 7372, Ctr Etud Biol Chize, Villiers En Bois, France; [Jeanniard-du-Dot, Tiphaine] Fisheries &amp; Oceans Canada, Maurice Lamontagne Inst, Ctr Expertise Marine Mammal, Mont Joli, PQ, Canada; [Vivier, Fabien] Univ Hawaii Manoa, Hawaii Inst Marine Biol, Marine Mammal Res Program, Kaneohe, HI 96744 USA</t>
  </si>
  <si>
    <t>La Rochelle Universite; Centre National de la Recherche Scientifique (CNRS); CNRS - Institute of Ecology &amp; Environment (INEE); Fisheries &amp; Oceans Canada; University of Hawaii System; University of Hawaii Manoa</t>
  </si>
  <si>
    <t>Vivier, F (corresponding author), Univ Hawaii Manoa, Hawaii Inst Marine Biol, Marine Mammal Res Program, Kaneohe, HI 96744 USA.;Vivier, F (corresponding author), Hawaii Inst Marine Biol, Marine Mammal Res Program, 46-007 Lilipuna Rd, Kaneohe, HI 96744 USA.</t>
  </si>
  <si>
    <t>fvivier@hawaii.edu</t>
  </si>
  <si>
    <t>Guinet, Christophe/AAR-8457-2020; Jeanniard, Tiphaine/ABF-8836-2020</t>
  </si>
  <si>
    <t>Jeanniard, Tiphaine/0000-0003-1985-8325</t>
  </si>
  <si>
    <t>Institut Paul-Emile Victor program [109]; NSERC</t>
  </si>
  <si>
    <t>Institut Paul-Emile Victor program; NSERC(Natural Sciences and Engineering Research Council of Canada (NSERC))</t>
  </si>
  <si>
    <t>We thank Nory El Ksabi, Jade Vacquie-Garcia, and numerous other field assistants from the Kerguelen 62 Mission for their help in collecting the data. Fieldwork was conducted as part of the Institut Paul-Emile Victor program No 109 (PI. H. Weimerkirch) who provided their logistic and financial support to the Kerguelen field season, and NSERC for funding part of this project. This paper represents HIMB and SOEST contribution numbers 1763 and 10739, respectively. All data were collected under the U.S. NMFS permit #14329-01, the ethical regulations approval from the French Polar Institute (IPEV), and the University of British Columbia animal care permit #A10-0364.</t>
  </si>
  <si>
    <t>0824-0469</t>
  </si>
  <si>
    <t>1748-7692</t>
  </si>
  <si>
    <t>MAR MAMMAL SCI</t>
  </si>
  <si>
    <t>Mar. Mamm. Sci.</t>
  </si>
  <si>
    <t>10.1111/mms.12635</t>
  </si>
  <si>
    <t>KA1RX</t>
  </si>
  <si>
    <t>WOS:000476019400001</t>
  </si>
  <si>
    <t>Wohl, C; Capelle, D; Jones, A; Sturges, WT; Nightingale, PD; Else, BGT; Yang, MX</t>
  </si>
  <si>
    <t>Wohl, Charel; Capelle, David; Jones, Anna; Sturges, William T.; Nightingale, Philip D.; Else, Brent G. T.; Yang, Mingxi</t>
  </si>
  <si>
    <t>Segmented flow coil equilibrator coupled to a proton-transfer-reaction mass spectrometer for measurements of a broad range of volatile organic compounds in seawater</t>
  </si>
  <si>
    <t>HENRYS LAW CONSTANTS; SHIPBOARD ANALYSIS; GAS-EXCHANGE; AIR; WATER; ATLANTIC; METHANOL; ACETONE; CARBON; ACETALDEHYDE</t>
  </si>
  <si>
    <t>We present a technique that utilises a segmented flow coil equilibrator coupled to a proton-transfer-reaction mass spectrometer to measure a broad range of dissolved volatile organic compounds. Thanks to its relatively large surface area for gas exchange, small internal volume, and smooth headspace-water separation, the equilibrator is highly efficient for gas exchange and has a fast response time (under 1 min) The system allows for both continuous and discrete measurements of volatile organic compounds in seawater due to its low sample water flow (100 cm(3) min(-1)) and the ease of changing sample intake. The equilibrator setup is both relatively inexpensive and compact. Hence, it can be easily reproduced and installed on a variety of oceanic platforms, particularly where space is limited. The internal area of the equilibrator is smooth and unreactive. Thus, the segmented flow coil equilibrator is expected to be less sensitive to biofouling and easier to clean than membrane-based equilibration systems. The equilibrator described here fully equilibrates for gases that are similarly soluble or more soluble than toluene and can easily be modified to fully equilibrate for even less soluble gases. The method has been successfully deployed in the Canadian Arctic. Some example data from underway surface water and Niskin bottle measurements in the sea ice zone are presented to illustrate the efficacy of this measurement system.</t>
  </si>
  <si>
    <t>[Wohl, Charel; Nightingale, Philip D.; Yang, Mingxi] Plymouth Marine Lab, Plymouth PL1 3DH, Devon, England; [Wohl, Charel; Sturges, William T.; Nightingale, Philip D.] Univ East Anglia, Ctr Ocean &amp; Atmospher Sci, Sch Environm Sci, Norwich NR4 7TJ, Norfolk, England; [Wohl, Charel; Jones, Anna] British Antarctic Survey, Madingley Rd, Cambridge CB3 0ET, England; [Capelle, David] Univ Manitoba, Ctr Earth Observat Sci, Winnipeg, MB, Canada; [Nightingale, Philip D.] Rothamsted Res, Sustainable Agr Syst, North Wyke EX20 2SB, Devon, England; [Else, Brent G. T.] Univ Calgary, Dept Geog, Calgary, AB T2N 1N4, Canada</t>
  </si>
  <si>
    <t>Plymouth Marine Laboratory; University of East Anglia; UK Research &amp; Innovation (UKRI); Natural Environment Research Council (NERC); NERC British Antarctic Survey; University of Manitoba; UK Research &amp; Innovation (UKRI); Biotechnology and Biological Sciences Research Council (BBSRC); Rothamsted Research; University of Calgary</t>
  </si>
  <si>
    <t>Yang, MX (corresponding author), Plymouth Marine Lab, Plymouth PL1 3DH, Devon, England.</t>
  </si>
  <si>
    <t>miya@pml.ac.uk</t>
  </si>
  <si>
    <t>Else, Brent G/D-5267-2012; Nightingale, Philip D/I-4324-2012; Yang, Mingxi/ABC-7118-2020</t>
  </si>
  <si>
    <t>Nightingale, Philip D/0000-0001-7177-5469; Yang, Mingxi/0000-0002-8321-5984; Wohl, Charel/0000-0002-6592-6037; Jones, Anna/0000-0002-2040-4841</t>
  </si>
  <si>
    <t>NERC En-vEast DTP [NE/L002582/1]; UK Department for Business, Energy and Industrial Strategy (United Kingdom &amp; Canada Arctic Partnership); NERC [bas0100032] Funding Source: UKRI</t>
  </si>
  <si>
    <t>NERC En-vEast DTP; UK Department for Business, Energy and Industrial Strategy (United Kingdom &amp; Canada Arctic Partnership); NERC(UK Research &amp; Innovation (UKRI)Natural Environment Research Council (NERC))</t>
  </si>
  <si>
    <t>This research has been supported by NERC En-vEast DTP (grant no. NE/L002582/1) and the UK Department for Business, Energy and Industrial Strategy (United Kingdom &amp; Canada Arctic Partnership: 2017 Bursaries Programme).</t>
  </si>
  <si>
    <t>10.5194/os-15-925-2019</t>
  </si>
  <si>
    <t>IJ0XH</t>
  </si>
  <si>
    <t>WOS:000475622800002</t>
  </si>
  <si>
    <t>Hamm, JN; Erdmann, S; Eloe-Fadrosh, EA; Angeloni, A; Zhong, L; Brownlee, C; Williams, TJ; Barton, K; Carswell, S; Smith, MA; Brazendale, S; Hancock, AM; Allen, MA; Raftery, MJ; Cavicchioli, R</t>
  </si>
  <si>
    <t>Hamm, Joshua N.; Erdmann, Susanne; Eloe-Fadrosh, Emiley A.; Angeloni, Allegra; Zhong, Ling; Brownlee, Christopher; Williams, Timothy J.; Barton, Kirston; Carswell, Shaun; Smith, Martin A.; Brazendale, Sarah; Hancock, Alyce M.; Allen, Michelle A.; Raftery, Mark J.; Cavicchioli, Ricardo</t>
  </si>
  <si>
    <t>Unexpected host dependency of Antarctic Nanohaloarchaeota</t>
  </si>
  <si>
    <t>archaea; symbiont; DPANN</t>
  </si>
  <si>
    <t>MICROBIAL ECOLOGY; READ ALIGNMENT; ARCHAEA; GENOME; HALOARCHAEA; PHYLUM; LAKE; WIDESPREAD; EVOLUTION; SOFTWARE</t>
  </si>
  <si>
    <t>In hypersaline environments, Nanohaloarchaeota (Diapherotrites, Parvarchaeota, Aenigmarchaeota, Nanoarchaeota, Nanohaloarchaeota [DPANN] superphylum) are thought to be free-living microorganisms. We report cultivation of 2 strains of Antarctic Nanohaloarchaeota and show that they require the haloarchaeon Halorubrum lacusprofundi for growth. By performing growth using enrichments and fluorescence-activated cell sorting, we demonstrated successful cultivation of Candidatus Nanohaloarchaeum antarcticus, purification of Ca. Nha. antarcticus away from other species, and growth and verification of Ca. Nha. antarcticus with Hrr. lacusprofundi; these findings are analogous to those required for fulfilling Koch's postulates. We use fluorescent in situ hybridization and transmission electron microscopy to assess cell structures and interactions; metagenomics to characterize enrichment taxa, generate metagenome assembled genomes, and interrogate Antarctic communities; and proteomics to assess metabolic pathways and speculate about the roles of certain proteins. Metagenome analysis indicates the presence of a single species, which is endemic to Antarctic hypersaline systems that support the growth of haloarchaea. The presence of unusually large proteins predicted to function in attachment and invasion of hosts plus the absence of key biosynthetic pathways (e.g., lipids) in metagenome assembled genomes of globally distributed Nanohaloarchaeota indicate that all members of the lineage have evolved as symbionts. Our work expands the range of archaeal symbiotic lifestyles and provides a genetically tractable model system for advancing understanding of the factors controlling microbial symbiotic relationships.</t>
  </si>
  <si>
    <t>[Hamm, Joshua N.; Erdmann, Susanne; Angeloni, Allegra; Williams, Timothy J.; Brazendale, Sarah; Hancock, Alyce M.; Allen, Michelle A.; Cavicchioli, Ricardo] Univ New South Wales, Sch Biotechnol &amp; Biomol Sci, Sydney, NSW 2052, Australia; [Eloe-Fadrosh, Emiley A.] Joint Genome Inst, Dept Energy, Walnut Creek, CA 94598 USA; [Zhong, Ling; Raftery, Mark J.] Univ New South Wales, Bioanalyt Mass Spectrometry Facil, Sydney, NSW 2052, Australia; [Brownlee, Christopher] Univ New South Wales, Biol Resources Imaging Lab, Sydney, NSW 2052, Australia; [Barton, Kirston; Carswell, Shaun; Smith, Martin A.] Garvan Inst Med Res, Kinghorn Ctr Clin Genom, Darlinghurst, NSW 2010, Australia; [Smith, Martin A.] Univ New South Wales, St Vincents Clin Sch, Darlinghurst, NSW 2010, Australia; [Erdmann, Susanne] Max Planck Inst Marine Microbiol, Dept Microbiol, D-28359 Bremen, Germany; [Hancock, Alyce M.] Univ Tasmania, Inst Marine &amp; Antarctic Studies, Antarctic Gateway Partnership &amp; Antarctic Climate, Battery Point, Tas 7004, Australia</t>
  </si>
  <si>
    <t>University of New South Wales Sydney; United States Department of Energy (DOE); Joint BioEnergy Institute - JBEI; Joint Genome Institute - JGI; University of New South Wales Sydney; University of New South Wales Sydney; Garvan Institute of Medical Research; University of New South Wales Sydney; St Vincent's Clinic; Max Planck Society; University of Tasmania</t>
  </si>
  <si>
    <t>Cavicchioli, R (corresponding author), Univ New South Wales, Sch Biotechnol &amp; Biomol Sci, Sydney, NSW 2052, Australia.</t>
  </si>
  <si>
    <t>r.cavicchioli@unsw.edu.au</t>
  </si>
  <si>
    <t>Erdmann, Susanne/O-7736-2017; Eloe-Fadrosh, Emiley/AAP-8019-2021; Smith, Martin A./L-5265-2019; Hancock, Alyce M./AAX-3151-2020; Hamm, Joshua Norman/KDM-6673-2024; Cavicchioli, Ricardo/D-4341-2013</t>
  </si>
  <si>
    <t>Erdmann, Susanne/0000-0003-3190-4451; Smith, Martin A./0000-0003-2259-1713; Hancock, Alyce M./0000-0001-6049-5592; Hamm, Joshua Norman/0000-0001-7395-6562; Barton, Kirston/0000-0002-0410-4849; Williams, Timothy/0000-0002-2738-3019; Cavicchioli, Ricardo/0000-0001-8989-6402; Angeloni, Allegra/0000-0002-8104-718X; Eloe-Fadrosh, Emiley/0000-0002-8162-1276; Allen, Michelle/0000-0002-8852-1454</t>
  </si>
  <si>
    <t>Australian Research Council [DP150100244]; Australian Antarctic Science Program Project [4031]; Office of Science of the US DOE [DE-AC02-05CH11231]; European Molecular Biology Organization Long-Term Fellowship - European Commission Grant EMBOCOFUND2012 [ALTF 188-2014, GA-2012-600394]; Marie Curie Actions</t>
  </si>
  <si>
    <t>Australian Research Council(Australian Research Council); Australian Antarctic Science Program Project; Office of Science of the US DOE(United States Department of Energy (DOE)); European Molecular Biology Organization Long-Term Fellowship - European Commission Grant EMBOCOFUND2012; Marie Curie Actions(European Union (EU)Marie Curie Actions)</t>
  </si>
  <si>
    <t>We thank Kate Montgomery and Belinda Ferrari for assistance with FISH; Nicole Shapiro, Simon Roux, and Alicia Clum for assistance with managing and analyzing metagenome data; Jocelyne DiRuggiero for providing access to Ca. Nanopetramus SG9 data; Rhiannon Kuchel, Sigrid Fraser, and Nicholas Ariotti for assistance with electron microscopy; the Helicopter Resources crew, 2014 Rauer Traverse Team, and other expeditioners at Davis Station during the 2014 winter and 2014/2015 summer for their assistance in collecting water samples; and the Australian Antarctic Division for technical and logistical support during the expedition. DNA sequencing of PCR products was performed at the Ramaciotti Centre for Genomics (University of New South Wales, Sydney), and computational analyses were performed on the computational cluster Katana supported by the Faculty of Science (University of New South Wales, Sydney). Mass spectrometry results were obtained at the Bioanalytical Mass Spectrometry Facility, and electron microscopy was at the Electron Microscope Unit, both within the Analytical Centre of the University of New South Wales. Subsidized access to the Bioanalytical Mass Spectrometry Facility is acknowledged. The authors thank the PRIDE team and ProteomeXchange for efficiently processing and hosting the mass spectrometry data. This work was supported by Australian Research Council Grant DP150100244 and Australian Antarctic Science Program Project 4031. The work conducted by the US DOE Joint Genome Institute, a DOE Office of Science User Facility, is supported by Office of Science of the US DOE Contract DE-AC02-05CH11231. S. E. was supported by European Molecular Biology Organization Long-Term Fellowship ALTF 188-2014, which is cofunded by European Commission Grants EMBOCOFUND2012 and GA-2012-600394 and supported by Marie Curie Actions.</t>
  </si>
  <si>
    <t>10.1073/pnas.1905179116</t>
  </si>
  <si>
    <t>IJ0SL</t>
  </si>
  <si>
    <t>Green Published, hybrid, Green Submitted</t>
  </si>
  <si>
    <t>WOS:000475610000042</t>
  </si>
  <si>
    <t>Sequeira, AMM; Heupel, MR; Lea, MA; Eguluz, VM; Duarte, CM; Meekan, MG; Thums, M; Calich, HJ; Carmichael, RH; Costa, DP; Ferreira, LC; Fernandz-Gracia, J; Harcourt, R; Harrison, AL; Jonsen, I; McMahon, CR; Sims, DW; Wilson, RP; Hays, GC</t>
  </si>
  <si>
    <t>Sequeira, A. M. M.; Heupel, M. R.; Lea, M-A; Eguiluz, V. M.; Duarte, C. M.; Meekan, M. G.; Thums, M.; Calich, H. J.; Carmichael, R. H.; Costa, D. P.; Ferreira, L. C.; Fernandez-Gracia, J.; Harcourt, R.; Harrison, A-L; Jonsen, I; McMahon, C. R.; Sims, D. W.; Wilson, R. P.; Hays, G. C.</t>
  </si>
  <si>
    <t>The importance of sample size in marine megafauna tagging studies</t>
  </si>
  <si>
    <t>ECOLOGICAL APPLICATIONS</t>
  </si>
  <si>
    <t>animal welfare; key questions; movement behavior; number of tags; telemetry studies; tracking data</t>
  </si>
  <si>
    <t>DIEL VERTICAL MIGRATION; SATELLITE TRACKING; SEASONAL MOVEMENTS; FORAGING BEHAVIOR; BASKING SHARKS; 1ST RECORDS; SEA; PREDATOR; STRATEGIES; PATTERNS</t>
  </si>
  <si>
    <t>Telemetry is a key, widely used tool to understand marine megafauna distribution, habitat use, behavior, and physiology; however, a critical question remains: How many animals should be tracked to acquire meaningful data sets? This question has wide-ranging implications including considerations of statistical power, animal ethics, logistics, and cost. While power analyses can inform sample sizes needed for statistical significance, they require some initial data inputs that are often unavailable. To inform the planning of telemetry and biologging studies of marine megafauna where few or no data are available or where resources are limited, we reviewed the types of information that have been obtained in previously published studies using different sample sizes. We considered sample sizes from one to &gt;100 individuals and synthesized empirical findings, detailing the information that can be gathered with increasing sample sizes. We complement this review with simulations, using real data, to show the impact of sample size when trying to address various research questions in movement ecology of marine megafauna. We also highlight the value of collaborative, synthetic studies to enhance sample sizes and broaden the range, scale, and scope of questions that can be answered.</t>
  </si>
  <si>
    <t>[Sequeira, A. M. M.] Univ Western Australia, Sch Biol Sci, IOMRC, 35 Stirling Highway, Crawley, WA 6009, Australia; [Sequeira, A. M. M.] Univ Western Australia, Sch Biol Sci, Oceans Inst, 35 Stirling Highway, Crawley, WA 6009, Australia; [Heupel, M. R.] Australian Inst Marine Sci, PMB 3, Townsville, Qld 4810, Australia; [Lea, M-A] Univ Tasmania, Inst Marine &amp; Antarctic Studies, 20 Castray Esplanade, Hobart, Tas 7000, Australia; [Eguiluz, V. M.; Fernandez-Gracia, J.] CSIC, UIB, IFISC, E-07122 Palma De Mallorca, Spain; [Duarte, C. M.] King Abdullah Univ Sci &amp; Technol, RSRC, Thuwal 239556900, Saudi Arabia; [Meekan, M. G.; Thums, M.; Ferreira, L. C.] Univ Western Australia, Australian Inst Marine Sci, Indian Ocean Marine Res Ctr M096, 35 Stirling Highway, Crawley, WA 6009, Australia; [Calich, H. J.] Univ Western Australia, Oceans Grad Sch, IOMRC, 35 Stirling Highway, Crawley, WA 6009, Australia; [Calich, H. J.] Univ Western Australia, Oceans Grad Sch Univ, Oceans Inst, 35 Stirling Highway, Crawley, WA 6009, Australia; [Carmichael, R. H.] Dauphin Isl Sea Lab, 101 Bienville Blvd, Dauphin Isl, AL 36528 USA; [Carmichael, R. H.] Univ S Alabama, 101 Bienville Blvd, Dauphin Isl, AL 36528 USA; [Costa, D. P.] Univ Calif Santa Cruz, Dept Ecol &amp; Evolutionary Biol, Santa Cruz, CA 95060 USA; [Harcourt, R.; Jonsen, I; McMahon, C. R.] Macquarie Univ, Dept Biol Sci, Sydney, NSW 2109, Australia; [Harrison, A-L] Natl Zool Pk, Smithsonian Conservat Biol Inst, Migratory Bird Ctr, POB 37012 MRC 5503 MBC, Washington, DC 20013 USA; [McMahon, C. R.] Sydney Inst Marine Sci, 19 Chowder Bay Rd, Mosman, NSW 2088, Australia; [Sims, D. W.] Marine Biol Assoc UK, The Lab, Citadel Hill, Plymouth PL1 2PB, Devon, England; [Sims, D. W.] Univ Southampton, Natl Oceanog Ctr Southampton, Ocean &amp; Earth Sci, Waterfront Campus, Southampton SO14 3ZH, Hants, England; [Wilson, R. P.] Swansea Univ, Dept Biosci, Swansea, W Glam, Wales; [Hays, G. C.] Deakin Univ, Geelong, Vic, Australia</t>
  </si>
  <si>
    <t>University of Western Australia; University of Western Australia; Australian Institute of Marine Science; University of Tasmania; Consejo Superior de Investigaciones Cientificas (CSIC); Universitat de les Illes Balears; CSIC-UIB - Instituto de Fisica Interdisciplinar y Sistemas Complejos (IFISC); King Abdullah University of Science &amp; Technology; University of Western Australia; Australian Institute of Marine Science; University of Western Australia; University of Western Australia; Dauphin Island Sea Lab; University of South Alabama; University of California System; University of California Santa Cruz; Macquarie University; Smithsonian Institution; Smithsonian National Zoological Park &amp; Conservation Biology Institute; Sydney Institute of Marine Science; Marine Biological Association United Kingdom; University of Southampton; NERC National Oceanography Centre; Swansea University; Deakin University</t>
  </si>
  <si>
    <t>Sequeira, AMM (corresponding author), Univ Western Australia, Sch Biol Sci, IOMRC, 35 Stirling Highway, Crawley, WA 6009, Australia.;Sequeira, AMM (corresponding author), Univ Western Australia, Sch Biol Sci, Oceans Inst, 35 Stirling Highway, Crawley, WA 6009, Australia.</t>
  </si>
  <si>
    <t>ana.sequeira@uwa.edu.au</t>
  </si>
  <si>
    <t>Duarte, Carlos M/A-7670-2013; Eguíluz, Víctor M./B-9655-2008; Thums, Michele/A-3850-2013; McMahon, Clive R/D-5713-2013; Sequeira, Ana M M/AAE-9741-2021; Duarte Quesada, Carlos Manuel/ABD-6208-2021; Fernandez-Gracia, Juan/S-4344-2018; Lea, Mary-Anne/E-9054-2013</t>
  </si>
  <si>
    <t>Duarte, Carlos M/0000-0002-1213-1361; Eguíluz, Víctor M./0000-0003-1133-1289; McMahon, Clive R/0000-0001-5241-8917; Sequeira, Ana M M/0000-0001-6906-799X; Harrison, Autumn-Lynn/0000-0002-6213-1765; Fernandez-Gracia, Juan/0000-0001-9728-7666; Lea, Mary-Anne/0000-0001-8318-9299; Calich, Hannah/0000-0001-7541-9584; Jonsen, Ian/0000-0001-5423-6076; Cerqueira Ferreira, Luciana/0000-0001-6755-2799; Harcourt, Robert/0000-0003-4666-2934; Meekan, Mark/0000-0002-3067-9427</t>
  </si>
  <si>
    <t>ARC Grant [DE170100841]; Australian Institute of Marine Science; Bertarelli Foundation as part of the Bertarelli Programme in Marine Science; Australian Government RTP scholarship at UWA; UWA Oceans Institute; Office of Sponsored Research at King Abdullah University of Science and Technology (KAUST).; Australian Research Council [DE170100841] Funding Source: Australian Research Council</t>
  </si>
  <si>
    <t>ARC Grant(Australian Research Council); Australian Institute of Marine Science; Bertarelli Foundation as part of the Bertarelli Programme in Marine Science; Australian Government RTP scholarship at UWA(Australian Government); UWA Oceans Institute; Office of Sponsored Research at King Abdullah University of Science and Technology (KAUST).; Australian Research Council(Australian Research Council)</t>
  </si>
  <si>
    <t>G. C. Hays conceived the study and a first draft was compiled by A. M. M. Sequeira, G. C. Hays, M. Heupel, M.-A. Lea, and V. M. Eguiluz at a workshop organized by M. Thums, A. M. M. Sequeira, C. M. Duarte, M. G. Meekan, and V. M. Eguiluz. A. M. M. Sequeira and G. C. Hays led the writing of the manuscript. A. M. M. Sequeira, G. C. Hays, A.-L. Harrison, and H. J. Calich prepared the figures. All authors contributed to the manuscript and commented on drafts. A. M. M. Sequeira was supported by an ARC Grant (DE170100841), and the Australian Institute of Marine Science, G.C. Hays by the Bertarelli Foundation as part of the Bertarelli Programme in Marine Science, and H. J. Calich by an Australian Government RTP scholarship at UWA. Workshop funding was granted to M. Thums, A. M. M. Sequeira, and C. M. Duarte by the UWA Oceans Institute, the Australian Institute of Marine Science, and the Office of Sponsored Research at King Abdullah University of Science and Technology (KAUST). We thank F. Bailleul, S. Goldsworthy, M. Hindell, and all other workshop attendees for initial discussions.</t>
  </si>
  <si>
    <t>1051-0761</t>
  </si>
  <si>
    <t>1939-5582</t>
  </si>
  <si>
    <t>ECOL APPL</t>
  </si>
  <si>
    <t>Ecol. Appl.</t>
  </si>
  <si>
    <t>e01947</t>
  </si>
  <si>
    <t>10.1002/eap.1947</t>
  </si>
  <si>
    <t>Ecology; Environmental Sciences</t>
  </si>
  <si>
    <t>IU6RX</t>
  </si>
  <si>
    <t>WOS:000476090300001</t>
  </si>
  <si>
    <t>Woodfield, EE; Glauert, SA; Menietti, JD; Averkamp, TF; Horne, RB; Shprits, YY</t>
  </si>
  <si>
    <t>Woodfield, E. E.; Glauert, S. A.; Menietti, J. D.; Averkamp, T. F.; Horne, R. B.; Shprits, Y. Y.</t>
  </si>
  <si>
    <t>Rapid Electron Acceleration in Low-Density Regions of Saturn's Radiation Belt by Whistler Mode Chorus Waves</t>
  </si>
  <si>
    <t>PITCH-ANGLE</t>
  </si>
  <si>
    <t>Electron acceleration at Saturn due to whistler mode chorus waves has previously been assumed to be ineffective; new data closer to the planet show it can be very rapid (factor of 104 flux increase at 1 MeV in 10 days compared to factor of 2). A full survey of chorus waves at Saturn is combined with an improved plasma density model to show that where the plasma frequency falls below the gyrofrequency additional strong resonances are observed favoring electron acceleration. This results in strong chorus acceleration between approximately 2.5 R-S and 5.5 R-S outside which adiabatic transport may dominate. Strong pitch angle dependence results in butterfly pitch angle distributions that flatten over a few days at 100s keV, tens of days at MeV energies which may explain observations of butterfly distributions of MeV electrons near L = 3. Including cross terms in the simulations increases the tendency toward butterfly distributions. Plain Language Summary Radiation belts are hazardous regions found around several of the planets in our Solar System. They consist of very hot, electrically charged particles trapped in the magnetic field of the planet. At Saturn the most important way to heat these particles has for many years been thought to involve the particles drifting closer toward the planet. This paper adds to the emerging idea at Saturn that a different way to heat the particles is also possible where the heating is done by waves, in a similar way to what we find at the Earth. We use recent information from the Cassini spacecraft on the number and location of particles and also of the waves strength and location combined with computer simulations to show that a particular wave called chorus is excellent at heating the particles where the surrounding number of cold particles is low.</t>
  </si>
  <si>
    <t>[Woodfield, E. E.; Glauert, S. A.; Horne, R. B.] British Antarctic Survey, Cambridge, England; [Menietti, J. D.; Averkamp, T. F.] Univ Iowa, Dept Phys &amp; Astron, Iowa City, IA 52242 USA; [Shprits, Y. Y.] GFZ German Res Ctr Geosci, Helmholtz Ctr Potsdam, Potsdam, Germany; [Shprits, Y. Y.] Univ Potsdam, Inst Phys &amp; Astron, Potsdam, Germany; [Shprits, Y. Y.] Univ Calif Los Angeles, Dept Earth Planetary &amp; Space Sci, Los Angeles, CA USA</t>
  </si>
  <si>
    <t>UK Research &amp; Innovation (UKRI); Natural Environment Research Council (NERC); NERC British Antarctic Survey; University of Iowa; Helmholtz Association; Helmholtz-Center Potsdam GFZ German Research Center for Geosciences; University of Potsdam; University of California System; University of California Los Angeles</t>
  </si>
  <si>
    <t>Woodfield, EE (corresponding author), British Antarctic Survey, Cambridge, England.</t>
  </si>
  <si>
    <t>emmwoo@bas.ac.uk</t>
  </si>
  <si>
    <t>Horne, Richard B/U-3764-2019; Shprits, Yuri Y/I-2174-2014; Woodfield, Emma/B-5313-2014</t>
  </si>
  <si>
    <t>Horne, Richard B/0000-0002-0412-6407; Woodfield, Emma/0000-0002-0531-8814; Shprits, Yuri/0000-0002-9625-0834</t>
  </si>
  <si>
    <t>STFC [ST/I001727/1, ST/M00130X/1]; NERC [NE/R016038/1, NE/R016445/1]; NASA [1415150, NNX11AM36G, NNX16AI47G]; EC [H2020 637302]; JPL; NERC [NE/R016038/1, bas0100031, NE/R016445/1] Funding Source: UKRI; STFC [ST/S000496/1, ST/M00130X/1] Funding Source: UKRI; NASA [903205, NNX16AI47G] Funding Source: Federal RePORTER</t>
  </si>
  <si>
    <t>STFC(UK Research &amp; Innovation (UKRI)Science &amp; Technology Facilities Council (STFC)); NERC(UK Research &amp; Innovation (UKRI)Natural Environment Research Council (NERC)); NASA(National Aeronautics &amp; Space Administration (NASA)); EC(European Union (EU)European Commission Joint Research Centre); JPL; NERC(UK Research &amp; Innovation (UKRI)Natural Environment Research Council (NERC)); STFC(UK Research &amp; Innovation (UKRI)Science &amp; Technology Facilities Council (STFC)); NASA(National Aeronautics &amp; Space Administration (NASA))</t>
  </si>
  <si>
    <t>E. E. W., R. B. H., and S. A. G. were funded by STFC grants ST/I001727/1 and ST/M00130X/1. R. B. H. and S. A. G. were funded by NERC grants NE/R016038/1 and NE/R016445/1. J. D. M. and Y. Y. S. were supported by NASA grants NNX11AM36G and NNX16AI47G. University of Iowa (J. D. M. and T. F. A.) was supported by NASA contract 1415150 with JPL. Y. Y. S. was supported by EC grant H2020 637302. E. E. W. thanks Jonathan Lansey for linspecer MATLAB tool based on color schemes by Cynthia Brewer. Cassini RPWS data are archived in calibrated, full resolution at the NASA Planetary Data System website (http://pds.nasa.gov).Data from Figures 2-4 and supporting information figures are available online (https://doi.org/10.5285/ae5116a5-fc16-464c-9c26-e395f897a8e4).</t>
  </si>
  <si>
    <t>10.1029/2019GL083071</t>
  </si>
  <si>
    <t>WOS:000476960100015</t>
  </si>
  <si>
    <t>Parkinson, CL</t>
  </si>
  <si>
    <t>Parkinson, Claire L.</t>
  </si>
  <si>
    <t>A 40-y record reveals gradual Antarctic sea ice increases followed by decreases at rates far exceeding the rates seen in the Arctic</t>
  </si>
  <si>
    <t>sea ice; climate change; satellite Earth observations; climate trends; Antarctic sea ice</t>
  </si>
  <si>
    <t>TRENDS</t>
  </si>
  <si>
    <t>Following over 3 decades of gradual but uneven increases in sea ice coverage, the yearly average Antarctic sea ice extents reached a record high of 12.8 x 10(6) km(2) in 2014, followed by a decline so precipitous that they reached their lowest value in the 40-y 1979-2018 satellite multichannel passive-microwave record, 10.7 x 10(6) km(2), in 2017. In contrast, it took the Arctic sea ice cover a full 3 decades to register a loss that great in yearly average ice extents. Still, when considering the 40-y record as a whole, the Antarctic sea ice continues to have a positive overall trend in yearly average ice extents, although at 11,300 +/- 5,300 km(2).y(-1), this trend is only 50% of the trend for 1979-2014, before the precipitous decline. Four of the 5 sectors into which the Antarctic sea ice cover is divided all also have 40-y positive trends that are well reduced from their 2014-2017 values. The one anomalous sector in this regard, the Bellingshausen/Amundsen Seas, has a 40-y negative trend, with the yearly average ice extents decreasing overall in the first 3 decades, reaching a minimum in 2007, and exhibiting an overall upward trend since 2007 (i.e., reflecting a reversal in the opposite direction from the other 4 sectors and the Antarctic sea ice cover as a whole).</t>
  </si>
  <si>
    <t>[Parkinson, Claire L.] NASA, Cryospher Sci Lab, Goddard Space Flight Ctr, Code 615, Greenbelt, MD 20771 USA</t>
  </si>
  <si>
    <t>National Aeronautics &amp; Space Administration (NASA); NASA Goddard Space Flight Center</t>
  </si>
  <si>
    <t>Parkinson, CL (corresponding author), NASA, Cryospher Sci Lab, Goddard Space Flight Ctr, Code 615, Greenbelt, MD 20771 USA.</t>
  </si>
  <si>
    <t>claire.l.parkinson@nasa.gov</t>
  </si>
  <si>
    <t>Parkinson, Claire/JAC-7676-2023; Parkinson, Claire L/E-1747-2012</t>
  </si>
  <si>
    <t>Parkinson, Claire/0000-0001-6730-4197; Parkinson, Claire L/0000-0001-6730-4197</t>
  </si>
  <si>
    <t>NASA Earth Science Division at NASA Headquarters</t>
  </si>
  <si>
    <t>I thank Nick DiGirolamo (of Science Systems and Applications, Inc.) for his assistance in the generation of the figures. This work was funded by the NASA Earth Science Division at NASA Headquarters.</t>
  </si>
  <si>
    <t>10.1073/pnas.1906556116</t>
  </si>
  <si>
    <t>WOS:000475610000010</t>
  </si>
  <si>
    <t>Cavello, IA; Bezus, B; Martinez, A; Garmendia, G; Vero, S; Cavalitto, S</t>
  </si>
  <si>
    <t>Alejandra Cavello, Ivana; Bezus, Brenda; Martinez, Adalgisa; Garmendia, Gabriela; Vero, Silvana; Cavalitto, Sebastian</t>
  </si>
  <si>
    <t>Yeasts from Tierra Del Fuego Province (Argentina): Biodiversity, Characterization and Bioprospection of Hydrolytic Enzymes</t>
  </si>
  <si>
    <t>GEOMICROBIOLOGY JOURNAL</t>
  </si>
  <si>
    <t>Biodiversity; cold-adapted yeasts; extracellular enzyme activities; Patagonia</t>
  </si>
  <si>
    <t>BETA-GLUCOSIDASE ACTIVITY; EXTRACELLULAR ENZYMATIC-ACTIVITIES; COLD-ADAPTED YEASTS; PHOTOPROTECTIVE COMPOUNDS; COMMUNITY STRUCTURE; DIVERSITY; PATAGONIA; INULINASE; MARINE; SOIL</t>
  </si>
  <si>
    <t>Antarctic and sub-Antarctic regions are - with Polar Regions, mountains and the deep sea - the most extreme environments on Earth because of its low temperatures, dryness, high incidence of solar radiation and low nutrient availability. Nevertheless, microorganisms have successfully colonized these regions. In this study, culturable yeasts from soil samples collected from two different locations, a human-impacted area (Encerrada Bay) and a largely pristine and naturally vegetated area near Lago Escondido city (54 degrees 39 ' 0 '' S, 67 degrees 46 ' 48 '' W) from Tierra del Fuego province, Argentina were identified and characterized at different levels. They were characterized and classified as psychrotolerant and were considered as moderately halotolerant because of their ability to grow in the presence of 1.5 M of NaCl. Yeasts from phylum Ascomycota were affiliated to five genera: Candida, Yarrowia, Debaryomyces, Nadsonia, and Wickerhamiella, whereas from phylum Basidiomycota yeasts were affiliated to six genera: Naganishia, Rhodotorula, Leucosporidum, Tausonia, Cystofilobasidium, and Apiotrichum. Most of the yeasts demonstrated at least one extracellular enzymatic activity (mainly beta-glucosidase, esterase, and protease activities). One isolate identified as Tausonia pullulans showed significant activity across the eight enzyme types tested. In light of these findings, Tierra del Fuego province could be considered as a cold environment with a potential source of cold-adapted yeasts producing industrially relevant cold-active enzymes.</t>
  </si>
  <si>
    <t>[Alejandra Cavello, Ivana; Bezus, Brenda; Cavalitto, Sebastian] UNLP, CONICET La Plata, CINDEFI, Res &amp; Dev Ctr Ind Fermentat, Calle 47 &amp; 115,B1900ASH, La Plata, Buenos Aires, Argentina; [Martinez, Adalgisa; Garmendia, Gabriela; Vero, Silvana] Univ Republica, Fac Quim, Dept Biociencias, Catedra Microbiol, Montevideo, Uruguay</t>
  </si>
  <si>
    <t>Consejo Nacional de Investigaciones Cientificas y Tecnicas (CONICET); National University of La Plata; Universidad de la Republica, Uruguay</t>
  </si>
  <si>
    <t>Cavello, IA (corresponding author), UNLP, CONICET La Plata, CINDEFI, Res &amp; Dev Ctr Ind Fermentat, Calle 47 &amp; 115,B1900ASH, La Plata, Buenos Aires, Argentina.</t>
  </si>
  <si>
    <t>icavello@biotec.quimica.unlp.edu.ar</t>
  </si>
  <si>
    <t>Martínez-Silveira, Adalgisa/M-6469-2019; Vero, Silvana/AAF-1887-2019</t>
  </si>
  <si>
    <t>Martínez-Silveira, Adalgisa/0000-0002-7287-9515; Vero, Silvana/0000-0002-8934-6379</t>
  </si>
  <si>
    <t>Consejo Nacional de Investigaciones Cientificas y Tecnicas (CONICET, PIP) [112-201101-00662]; Agencia Nacional de Promocion Cientifica y Tecnologica [PICT 2014-1655]</t>
  </si>
  <si>
    <t>Consejo Nacional de Investigaciones Cientificas y Tecnicas (CONICET, PIP)(Consejo Nacional de Investigaciones Cientificas y Tecnicas (CONICET)); Agencia Nacional de Promocion Cientifica y Tecnologica(ANPCyTSpanish Government)</t>
  </si>
  <si>
    <t>This work was supported by grants from Consejo Nacional de Investigaciones Cientificas y Tecnicas (CONICET, PIP) [112-201101-00662] and Agencia Nacional de Promocion Cientifica y Tecnologica [PICT 2014-1655].</t>
  </si>
  <si>
    <t>0149-0451</t>
  </si>
  <si>
    <t>1521-0529</t>
  </si>
  <si>
    <t>GEOMICROBIOL J</t>
  </si>
  <si>
    <t>Geomicrobiol. J.</t>
  </si>
  <si>
    <t>OCT 21</t>
  </si>
  <si>
    <t>10.1080/01490451.2019.1641769</t>
  </si>
  <si>
    <t>Environmental Sciences; Geosciences, Multidisciplinary</t>
  </si>
  <si>
    <t>IS0IO</t>
  </si>
  <si>
    <t>WOS:000476147100001</t>
  </si>
  <si>
    <t>Wilson, AP; Genge, MJ; Krzesinska, AM; Tomkins, AG</t>
  </si>
  <si>
    <t>Wilson, Aaron P.; Genge, Matthew J.; Krzesinska, Agata M.; Tomkins, Andrew G.</t>
  </si>
  <si>
    <t>Atmospheric entry heating of micrometeorites at Earth and Mars: Implications for the survival of organics</t>
  </si>
  <si>
    <t>INTERPLANETARY DUST PARTICLES; COSMIC SPHERULES; ANTARCTIC MICROMETEORITES; GRAZING-INCIDENCE; COMET 81P/WILD-2; ACCRETION RATE; SOLAR-SYSTEM; AMINO-ACIDS; COLLECTION; ORIGIN</t>
  </si>
  <si>
    <t>The atmospheric entry heating of micrometeorites (MMs) can significantly alter their pre-existing mineralogy, texture, and organic material. The degree of heating depends predominantly on the gravity and atmospheric density of the planet on which they fall. For particles falling on Earth, the alteration can be significant, leading to the destruction of much of the pre-entry organics; however, the weaker gravity and thinner atmosphere of Mars enhance the survival of MMs and increase the fraction of particles that preserve organic material. This paper investigates the entry heating of MMs on the Earth and Mars in order to examine the MM population on each planet and give insights into the survival of extraterrestrial organic material. The results show that particles reaching the surface of Mars experience a lower peak temperature compared to Earth and, therefore, experience less evaporative mass loss. Of the particles which reach the surface, 68.2% remain unmelted on Mars compared to only 22.8% on Earth. Due to evaporative mass loss, unmelted particles that reach the surface of Earth are restricted to sizes 475 mu m survive unmelted on Mars. Approximately 10% of particles experience temperatures below similar to 800 K, that is, the sublimation temperature of refractory organics found in MMs. On Earth, this fraction is significantly lower with less than 1% expected to remain below this temperature. Lower peak temperatures coupled with the larger sizes of particles surviving without significant heating on Mars suggest a much higher fraction of organic material surviving to the Martian surface.</t>
  </si>
  <si>
    <t>[Wilson, Aaron P.; Genge, Matthew J.] Imperial Coll London, Dept Earth Sci &amp; Engn, Exhibit Rd, London SW7 2AZ, England; [Krzesinska, Agata M.] Univ Oslo, Ctr Earth Evolut &amp; Dynam, Sem Saelands Vei 2A, N-0371 Oslo, Norway; [Tomkins, Andrew G.] Monash Univ, Sch Earth Atmosphere &amp; Environm, Melbourne, Vic 3800, Australia</t>
  </si>
  <si>
    <t>Imperial College London; University of Oslo; Monash University; Melbourne Genomics Health Alliance</t>
  </si>
  <si>
    <t>Wilson, AP (corresponding author), Imperial Coll London, Dept Earth Sci &amp; Engn, Exhibit Rd, London SW7 2AZ, England.</t>
  </si>
  <si>
    <t>apw16@ic.ac.uk</t>
  </si>
  <si>
    <t>Krzesinska, Agata/AAB-2386-2022</t>
  </si>
  <si>
    <t>Krzesinska, Agata/0000-0002-0896-3560; Tomkins, Andrew/0000-0003-2788-331X; Genge, Matthew/0000-0002-9528-5971; Wilson, Aaron/0000-0001-8085-5508</t>
  </si>
  <si>
    <t>[ST/M003167/1]; STFC [ST/N000803/1] Funding Source: UKRI</t>
  </si>
  <si>
    <t>; STFC(UK Research &amp; Innovation (UKRI)Science &amp; Technology Facilities Council (STFC))</t>
  </si>
  <si>
    <t>This study was funded on UKSA/STFC grant ST/M003167/1. This paper was written by the lead author; however, credit for much of the model must first be given to Stanley Love and Don Brownlee following their pioneering work and then Matt Genge for his major contribution in writing the model used in this study. All authors contributed to review and discussion of content. George Flynn, Luigi Folco, and Don Brownlee are all acknowledged for their insightful comments on this manuscript.</t>
  </si>
  <si>
    <t>10.1111/maps.13360</t>
  </si>
  <si>
    <t>WOS:000476324000001</t>
  </si>
  <si>
    <t>Dvornikov, YA; Leibman, MO; Khomutov, AV; Kizyakov, AI; Semenov, P; Bussmann, I; Babkin, EM; Heim, B; Portnov, A; Babkina, EA; Streletskaya, ID; Chetverova, AA; Kozachek, A; Mayer, H</t>
  </si>
  <si>
    <t>Dvornikov, Yury A.; Leibman, Marina O.; Khomutov, Artem, V; Kizyakov, Alexander, I; Semenov, Petr; Bussmann, Ingeborg; Babkin, Evgeny M.; Heim, Birgit; Portnov, Alexey; Babkina, Elena A.; Streletskaya, Irina D.; Chetverova, Antonina A.; Kozachek, Anna; Mayer, Hanno</t>
  </si>
  <si>
    <t>Gas-emission craters of the Yamal and Gydan peninsulas: A proposed mechanism for lake genesis and development of permafrost landscapes</t>
  </si>
  <si>
    <t>gas-emission craters; gydan; lakes; methane; yamal</t>
  </si>
  <si>
    <t>MACKENZIE DELTA REGION; IN-GROUND ICE; NORTHWEST-TERRITORIES; METHANE; SEDIMENTS; CARBON; SHELF; ZONE</t>
  </si>
  <si>
    <t>This paper describes two gas-emission craters (GECs) in permafrost regions of the Yamal and Gydan peninsulas. We show that in three consecutive years after GEC formation (2014-2017), both morphometry and hydrochemistry of the inner crater lakes can become indistinguishable from other lakes. Craters GEC-1 and AntGEC, with initial depths of 50-70 and 15-19 m respectively, have transformed into lakes 3-5 m deep. Crater-like depressions were mapped in the bottom of 13 out of 22 Yamal lakes. However, we found no evidence that these depressions could have been formed as a result of gas emission. Dissolved methane (dCH(4)) concentration measured in the water collected from these depressions was at a background level (45 ppm on average). Yet, the concentration of dCH(4) from the near-bottom layer of lake GEC-1 was significantly higher (824-968 ppm) during initial stages. We established that hydrochemical parameters (dissolved organic carbon, major ions, isotopes) measured in GEC lakes approached values measured in other lakes over time. Therefore, these parameters could not be used to search for Western Siberian lakes that potentially resulted from gas emission. Temperature profiles measured in GEC lakes show that the water column temperatures in GEC-1 are lower than in Yamal lakes and in AntGEC - close to values of Gydan lakes. Given the initial GEC depth &gt; 50 m, we suggest that at least in GEC-1 possible re-freezing of sediments from below might take place. However, with the present data we cannot establish the modern thickness of the closed talik under newly formed GEC lakes.</t>
  </si>
  <si>
    <t>[Dvornikov, Yury A.; Leibman, Marina O.; Khomutov, Artem, V; Babkin, Evgeny M.; Babkina, Elena A.] RAS, Earth Cryosphere Inst, Tyumen Sci Ctr, SB, Tyumen, Russia; [Leibman, Marina O.; Khomutov, Artem, V] Tyumen State Univ, Tyumen, Russia; [Kizyakov, Alexander, I; Streletskaya, Irina D.] Lomonosov Moscow State Univ, Moscow, Russia; [Semenov, Petr] IS Gramberg All Russia Sci Res Inst Geol &amp; Minera, St Petersburg, Russia; [Bussmann, Ingeborg; Heim, Birgit; Mayer, Hanno] Alfred Wegener Inst, Helmholtz Ctr Polar &amp; Marine Res, Potsdam, Germany; [Portnov, Alexey] Ohio State Univ, Sch Earth Sci, Columbus, OH 43210 USA; [Chetverova, Antonina A.; Kozachek, Anna] Arctic &amp; Antarctic Res Inst, St Petersburg, Russia; [Chetverova, Antonina A.] St Petersburg State Univ, Inst Earth Sci, St Petersburg, Russia</t>
  </si>
  <si>
    <t>Tyumen Scientific Center of the Russian Academy of Sciences; Russian Academy of Sciences; Tyumen State University; Lomonosov Moscow State University; Helmholtz Association; Alfred Wegener Institute, Helmholtz Centre for Polar &amp; Marine Research; University System of Ohio; Ohio State University; Arctic &amp; Antarctic Research Institute; Saint Petersburg State University</t>
  </si>
  <si>
    <t>Dvornikov, YA (corresponding author), RAS, Earth Cryosphere Inst, Tyumen Sci Ctr, SB, Tyumen, Russia.</t>
  </si>
  <si>
    <t>ydvornikow@gmail.com</t>
  </si>
  <si>
    <t>Khomutov, Artem V/M-6490-2017; Kozachek, Anna V./Q-4543-2016; Kizyakov, Alexander I/L-6727-2015; Streletskaya, Irina Dmitrievna/L-9207-2015; Kozachek, Anna V./JCE-4791-2023; Semenov, Petr/AAL-8711-2020; Portnov, Alexey/AAC-5448-2022; Dvornikov, Yury/J-5087-2016; Babkina, Elena/AAH-6368-2021; Heim, Birgit/B-2815-2017; Leibman, Marina/V-6577-2017; Cheterova, Antonina/N-1019-2013; Meyer, Hanno/E-2870-2016</t>
  </si>
  <si>
    <t>Kozachek, Anna V./0000-0002-9704-8064; Kizyakov, Alexander I/0000-0003-4912-1850; Semenov, Petr/0000-0002-2758-6975; Portnov, Alexey/0000-0003-4930-8308; Dvornikov, Yury/0000-0003-3491-4487; Heim, Birgit/0000-0003-2614-9391; Leibman, Marina/0000-0003-4634-6413; Bussmann, Ingeborg/0000-0002-1197-7461; Cheterova, Antonina/0000-0001-7461-3617; Meyer, Hanno/0000-0003-4129-4706</t>
  </si>
  <si>
    <t>Russian Science Foundation [16-17-10203]; Russian Foundation for Basic Research (RFBR) [18-05-60222, 18-05-60080]; Russian Science Foundation [16-17-10203] Funding Source: Russian Science Foundation</t>
  </si>
  <si>
    <t>Russian Science Foundation(Russian Science Foundation (RSF)); Russian Foundation for Basic Research (RFBR)(Russian Foundation for Basic Research (RFBR)); Russian Science Foundation(Russian Science Foundation (RSF))</t>
  </si>
  <si>
    <t>Russian Science Foundation, Grant/Award Number: 16-17-10203; Russian Foundation for Basic Research (RFBR), Grant/Award Numbers: 18-05-60222 and 18-05-60080</t>
  </si>
  <si>
    <t>JUL</t>
  </si>
  <si>
    <t>10.1002/ppp.2014</t>
  </si>
  <si>
    <t>IS8HY</t>
  </si>
  <si>
    <t>WOS:000476254700001</t>
  </si>
  <si>
    <t>Bazin, L; Lemieux-Dudon, B; Siani, G; Govin, A; Landais, A; Genty, D; Michel, E; Nomade, S</t>
  </si>
  <si>
    <t>Bazin, L.; Lemieux-Dudon, B.; Siani, G.; Govin, A.; Landais, A.; Genty, D.; Michel, E.; Nomade, S.</t>
  </si>
  <si>
    <t>Construction of a tephra-based multi-archive coherent chronological framework for the last deglaciation in the Mediterranean region</t>
  </si>
  <si>
    <t>Last deglaciation; Mediterranean region; Multi-archive comparison; Coherent chronology; Tephra; Vegetation changes</t>
  </si>
  <si>
    <t>HIGH-RESOLUTION RECORD; LAKE OHRID MACEDONIA; ICE-CORE; CLIMATE OSCILLATIONS; ANTARCTIC ICE; AGE; VARIABILITY; HOLOCENE; SEA; KA</t>
  </si>
  <si>
    <t>Proxy records from different climate archives such as ice cores, speleothems or sediment cores are essential to define the sequence of events over to the last deglaciation. However, multi-archive comparison and compilation of data, necessary to assess the robustness of climate models, are rapidly limited by inconsistencies between archives' chronology. Here we present the development and validation of the Datice chronological integration tool for the construction of multi-archive coherent chronologies. This chronology building tool, first developed to date ice cores only, can now integrate deposition-like archives such as sediment cores and speleothems, independently or coherently. The robustness of this dating method resides in its capacity to build coherent chronologies for multiple archives with a proper calculation of chronological uncertainties. Using this tool, we were able to construct a coherent chronology for the last deglaciation in the Mediterranean region based on volcanic tephra layers correlation in terrestrial and marine sediment cores. We confirm the synchronicity, within chronological errors, of the sequence of events characterizing the last deglaciation between Greenland and the Mediterranean region, independently of any climatic alignment assumptions. Using this chronological framework, we however highlight some regional expression of this transition period in term of vegetation cover over the Mediterranean region. (C) 2019 Elsevier Ltd. All rights reserved.</t>
  </si>
  <si>
    <t>[Bazin, L.; Govin, A.; Landais, A.; Genty, D.; Michel, E.; Nomade, S.] Univ Paris Saclay, UVSQ, CNRS, CEA,IPSL,LSCE, F-91191 Gif Sur Yvette, France; [Lemieux-Dudon, B.] Ctr Euromediterranea Cambiamenti Climatici, Bologna, BO, Italy; [Siani, G.] Univ Paris Sud &amp; Paris Saclay, CNRS, GEOPS UMR 8148, Orsay, France</t>
  </si>
  <si>
    <t>Universite Paris Saclay; Universite Paris Cite; CEA; Centre National de la Recherche Scientifique (CNRS); Centre National de la Recherche Scientifique (CNRS); CNRS - National Institute for Earth Sciences &amp; Astronomy (INSU); Universite Paris Saclay</t>
  </si>
  <si>
    <t>Bazin, L (corresponding author), Univ Paris Saclay, UVSQ, CNRS, CEA,IPSL,LSCE, F-91191 Gif Sur Yvette, France.</t>
  </si>
  <si>
    <t>lucie.bazin@lsce.ipsl.fr</t>
  </si>
  <si>
    <t>; Govin, Aline/E-6354-2013</t>
  </si>
  <si>
    <t>Lemieux-Dudon, Benedicte/0000-0002-0718-2420; nomade, sebastien/0000-0001-7373-0571; Govin, Aline/0000-0001-8512-5571; Bazin, Lucie/0000-0003-4808-4090</t>
  </si>
  <si>
    <t>Labex L-IPSL - ANR [ANR-10-LABX-0018]; French national program LEFE-IMAGO/INSU; Agence Nationale de la Recherche (ANR) [ANR-10-LABX-0018] Funding Source: Agence Nationale de la Recherche (ANR)</t>
  </si>
  <si>
    <t>Labex L-IPSL - ANR(Agence Nationale de la Recherche (ANR)); French national program LEFE-IMAGO/INSU; Agence Nationale de la Recherche (ANR)(Agence Nationale de la Recherche (ANR))</t>
  </si>
  <si>
    <t>We thank the two anonymous reviewers and Anders Svensson for their comments and suggestions that have helped us to improve the manuscript during the review process. This work was supported by Labex L-IPSL, which is funded by the ANR (grant no. ANR-10-LABX-0018). This work was supported by the French national program LEFE-IMAGO/INSU. This is LSCE publication number 6635.</t>
  </si>
  <si>
    <t>JUL 15</t>
  </si>
  <si>
    <t>10.1016/j.quascirev.2019.05.018</t>
  </si>
  <si>
    <t>IJ6FX</t>
  </si>
  <si>
    <t>WOS:000475998900004</t>
  </si>
  <si>
    <t>Maritati, A; Halpin, JA; Whittaker, JM; Daczko, NR</t>
  </si>
  <si>
    <t>Maritati, Alessandro; Halpin, Jacqueline A.; Whittaker, Joanne M.; Daczko, Nathan R.</t>
  </si>
  <si>
    <t>Fingerprinting Proterozoic Bedrock in Interior Wilkes Land, East Antarctica</t>
  </si>
  <si>
    <t>U-PB ZIRCON; HF ISOTOPES; TH-PB; AUSTRALIA IMPLICATIONS; CRUSTAL EVOLUTION; MARINE-SEDIMENTS; WINDMILL ISLANDS; OFFICER BASIN; MONAZITE; PROVENANCE</t>
  </si>
  <si>
    <t>Wilkes Land in East Antarctica remains one of the last geological exploration frontiers on Earth. Hidden beneath kilometres of ice, its bedrock preserves a poorly-understood tectonic history that mirrors that of southern Australia and holds critical insights into past supercontinent cycles. Here, we use new and recently published Australian and Antarctic geological and geophysical data to present a novel interpretation of the age and character of crystalline basement and sedimentary cover of interior Wilkes Land. We combine new zircon U-Pb and Hf isotopic data from remote Antarctic outcrops with aeromagnetic data observations from the conjugate Australian-Antarctic margins to identify two new Antarctic Mesoproterozoic basement provinces corresponding to the continuation of the Coompana and Madura provinces of southern Australia into Wilkes Land. Using both detrital zircon U-Pb-Hf and authigenic monazite U-Th-Pb isotopic data from glacial erratic sandstone samples, we identify the presence of Neoproterozoic sedimentary rocks covering Mesoproterozoic basement. Together, these new geological insights into the ice-covered bedrock of Wilkes Land substantially improve correlations of Antarctic and Australian geological elements and provide key constraints on the tectonic architecture of this sector of the East Antarctic Shield and its role in supercontinent reconstructions.</t>
  </si>
  <si>
    <t>[Maritati, Alessandro; Halpin, Jacqueline A.; Whittaker, Joanne M.] Univ Tasmania, Inst Marine &amp; Antarctic Studies, Private Bag 129, Hobart, Tas 7001, Australia; [Daczko, Nathan R.] Macquarie Univ, Dept Earth &amp; Planetary Sci, ARC Ctr Excellence Core Crust Fluid Syst &amp; GEMOC, Sydney, NSW 2109, Australia</t>
  </si>
  <si>
    <t>University of Tasmania; Macquarie University</t>
  </si>
  <si>
    <t>Maritati, A (corresponding author), Univ Tasmania, Inst Marine &amp; Antarctic Studies, Private Bag 129, Hobart, Tas 7001, Australia.</t>
  </si>
  <si>
    <t>alessandro.maritati@utas.edu.au</t>
  </si>
  <si>
    <t>; Whittaker, Joanne/B-3695-2010; Halpin, Jacqueline/A-3776-2014</t>
  </si>
  <si>
    <t>Daczko, Nathan/0000-0002-3737-3818; Whittaker, Joanne/0000-0002-3170-3935; Halpin, Jacqueline/0000-0002-4992-8681; Maritati, Alessandro/0000-0003-0587-8237</t>
  </si>
  <si>
    <t>National Science Foundation Office of Polar Programs; Australian Government Research Training Program (RTP) Scholarship; Australian Research Council's Special Research Initiative for Antarctic Gateway Partnership [SR140300001]</t>
  </si>
  <si>
    <t>National Science Foundation Office of Polar Programs(National Science Foundation (NSF)NSF - Directorate for Geosciences (GEO)); Australian Government Research Training Program (RTP) Scholarship(Australian GovernmentDepartment of Industry, Innovation and Science); Australian Research Council's Special Research Initiative for Antarctic Gateway Partnership(Australian Research Council)</t>
  </si>
  <si>
    <t>We thank S. Phipps and T. Staal for fieldwork at Chick Island. S. Meffre, J. Mulder, A. Stepanov and J. Thompson (ARC [Australian Research Council] Centre of Excellence in Ore Deposit, CODES, University of Tasmania), K. Goemann and S. Feig (Central Science Laboratory, University of Tasmania) and Y. Greau (ARC Centre of Excellence for Core to Crust Fluid Systems, CCFS, Macquarie University, Australia) are thanked for analytical assistance. This research used samples provided by the Polar Rock Repository (PRR). The PRR is sponsored by the National Science Foundation Office of Polar Programs. A.M. is supported by an Australian Government Research Training Program (RTP) Scholarship. This research is supported by the Australian Research Council's Special Research Initiative for Antarctic Gateway Partnership (Project ID SR140300001). We thank two anonymous reviewers for their constructive reviews on the manuscript.</t>
  </si>
  <si>
    <t>10.1038/s41598-019-46612-y</t>
  </si>
  <si>
    <t>II8UJ</t>
  </si>
  <si>
    <t>WOS:000475467800035</t>
  </si>
  <si>
    <t>Zhang, MM; Gao, W; Yan, JP; Wu, YF; Marandino, CA; Park, K; Chen, LQ; Lin, Q; Tan, GB; Pan, MJ</t>
  </si>
  <si>
    <t>Zhang, Miming; Gao, Wei; Yan, Jinpei; Wu, Yanfang; Marandino, Christa A.; Park, Keyhong; Chen, Liqi; Lin, Qi; Tan, Guobin; Pan, Meijiao</t>
  </si>
  <si>
    <t>An integrated sampler for shipboard underway measurement of dimethyl sulfide in surface seawater and air</t>
  </si>
  <si>
    <t>ATMOSPHERIC ENVIRONMENT</t>
  </si>
  <si>
    <t>Dimethyl sulfide; Shipboard underway measurements; Seawater; Air; Time-of-flight mass spectrometry</t>
  </si>
  <si>
    <t>OCEAN; DMS; DISTRIBUTIONS; SOUTH</t>
  </si>
  <si>
    <t>Dimethyl sulfide (DMS), a marine-derived trace gas, can influence atmospheric compositions and has an impact on the global climate. To date, obtaining continuous and coupled shipboard underway measurements of DMS in seawater and air has been challenging. To address this issue, we report a custom-made sampling device based on the purge-and-trap technique. This sampler, in combination with a time-of-flight mass spectrometer (TOF-MS), was successfully utilized to perform coupled shipboard underway measurements of DMS in surface seawater and air around western Antarctica during the 34th Chinese Antarctic Research Expedition from February 2018 to April 2018. The seawater and air streams were continuously introduced into the sampler unit and subsampled every 10 min. The limits of detection (LODs) of DMS in seawater and air were found to be 0.07 nM and 32 pptv, respectively. The variability in the DMS levels in the surface seawater and air can be distinguished and evaluated based on the variations in the DMS peaks. These results demonstrated that the sampling device was effective for consistent, sensitive underway measurements of DMS.</t>
  </si>
  <si>
    <t>[Zhang, Miming; Yan, Jinpei; Chen, Liqi; Lin, Qi] Minist Nat Resources, Inst Oceanog TIO 3, Key Lab Global Change &amp; Marine Atmospher Chem GCM, Xiamen 361005, Fujian, Peoples R China; [Gao, Wei; Tan, Guobin] Jinan Univ, Inst Mass Spectrometry &amp; Atmospher Environm, Guangzhou 510632, Guangdong, Peoples R China; [Wu, Yanfang] Univ New South Wales, Sch Chem, Australian Ctr Nanomed, Sydney, NSW 2052, Australia; [Wu, Yanfang] Univ New South Wales, Arc Ctr Excellence Convergent Bionano Sci &amp; Techn, Sydney, NSW 2052, Australia; [Marandino, Christa A.] GEOMAR Helmholtz Zentrum Ozeanforsch Kiel, Forsch Bereich Marine Biogeochem, Dusternbrooker Weg 20, D-24105 Kiel, Germany; [Park, Keyhong] Korea Polar Res Inst, Div Polar Ocean Sci, Incheon 21990, South Korea; [Tan, Guobin; Pan, Meijiao] Guangzhou Hexin Instrument Co Ltd, Guangzhou 510663, Guangdong, Peoples R China; [Tan, Guobin] Guangdong Prov Engn Res Ctr Line Source Apportion, Guangzhou 510632, Guangdong, Peoples R China</t>
  </si>
  <si>
    <t>Ministry of Natural Resources of the People's Republic of China; Jinan University; University of New South Wales Sydney; University of New South Wales Sydney; Helmholtz Association; GEOMAR Helmholtz Center for Ocean Research Kiel; Korea Polar Research Institute (KOPRI)</t>
  </si>
  <si>
    <t>Zhang, MM; Yan, JP (corresponding author), Minist Nat Resources, Inst Oceanog TIO 3, Key Lab Global Change &amp; Marine Atmospher Chem GCM, Xiamen 361005, Fujian, Peoples R China.</t>
  </si>
  <si>
    <t>zhangmiming@tio.org.cn; Jpyan@tio.org.cn</t>
  </si>
  <si>
    <t>Marandino, Christa/HLX-5973-2023; Wu, Yanfang/D-9918-2015</t>
  </si>
  <si>
    <t>Marandino, Christa/0000-0001-9947-4377; Wu, Yanfang/0000-0003-4201-2061; Yan, Jin Pei/0000-0002-1273-9422</t>
  </si>
  <si>
    <t>Chinese Arctic and Antarctic Administration (CAA) of the Ministry of Natural Resources (MNR); Guangzhou Hexin Instrument Co., Ltd.; National Natural Science Foundation of China [41706104, 41476172]; International Organizations and Conference and Bilateral Cooperation of Maritime Affairs; Qingdao National Laboratory for Marine Science and Technology Foundation [QNLM2016ORP0109]; Scientific Research Foundation of the Third Institute of Oceanography [2015031, 2018014]; Ministry of Science and Technology and Key Research &amp; Development Programs [2018YFC1406703]; Guangdong Special Branch Project Science and Technology Young Pioneer Foundation [2015TQ01X149]; Provincial Science and Technology Plan Project of Guangdong [2016B030303004]; Korea Polar Research Institute [PE19060]</t>
  </si>
  <si>
    <t>Chinese Arctic and Antarctic Administration (CAA) of the Ministry of Natural Resources (MNR); Guangzhou Hexin Instrument Co., Ltd.; National Natural Science Foundation of China(National Natural Science Foundation of China (NSFC)); International Organizations and Conference and Bilateral Cooperation of Maritime Affairs; Qingdao National Laboratory for Marine Science and Technology Foundation; Scientific Research Foundation of the Third Institute of Oceanography; Ministry of Science and Technology and Key Research &amp; Development Programs; Guangdong Special Branch Project Science and Technology Young Pioneer Foundation; Provincial Science and Technology Plan Project of Guangdong; Korea Polar Research Institute(Korea Polar Research Institute of Marine Research Placement (KOPRI))</t>
  </si>
  <si>
    <t>We thank the Chinese Arctic and Antarctic Administration (CAA) of the Ministry of Natural Resources (MNR) and the crew of the R/V Xue Long for their support with the field operations. We sincerely thank the Guangzhou Hexin Instrument Co., Ltd., for their free support of SPI-TOF-MS 3000and technical help with the Chinese Arctic and Antarctic Research Expedition since July 2017. We sincerely thank Mr. Meijiao Pang from the Hexin Company for his excellent skills in operating the TOF-MS system during the CHINARE ANT34th. We thank the engineer, Mr. Hongzhi Niu, from the Hexin Company for his kindness in preparing the TOF-MS and its periphery materials. Many thanks are extended to my teammate Prof. Zhaocai Wu from the Second Institute of Oceanography for his help with writing the MATLAB instructions. This work was supported by the National Natural Science Foundation of China (41706104, 41476172), with funding from the International Organizations and Conference and Bilateral Cooperation of Maritime Affairs, the Qingdao National Laboratory for Marine Science and Technology Foundation (No. QNLM2016ORP0109), the Scientific Research Foundation of the Third Institute of Oceanography, the SOA under contracts No. 2015031 and No. 2018014, the Ministry of Science and Technology and Key Research &amp; Development Programs No. 2018YFC1406703, Guangdong Special Branch Project Science and Technology Young Pioneer Foundation (No. 2015TQ01X149), Provincial Science and Technology Plan Project of Guangdong (2016B030303004) and the Korea Polar Research Institute grant PE19060. Thank you for the anonymous reviewers and editors giving the useful comments to improve this manuscript.</t>
  </si>
  <si>
    <t>1352-2310</t>
  </si>
  <si>
    <t>1873-2844</t>
  </si>
  <si>
    <t>ATMOS ENVIRON</t>
  </si>
  <si>
    <t>Atmos. Environ.</t>
  </si>
  <si>
    <t>10.1016/j.atmosenv.2019.04.022</t>
  </si>
  <si>
    <t>IC4OT</t>
  </si>
  <si>
    <t>WOS:000470945900008</t>
  </si>
  <si>
    <t>Valente, A; Sathyendranath, S; Brotas, V; Groom, S; Grant, M; Taberner, M; Antoine, D; Arnone, R; Balch, WM; Barker, K; Barlow, R; Bélanger, S; Berthon, JF; Besiktepe, S; Borsheim, Y; Bracher, A; Brando, V; Canuti, E; Chavez, F; Cianca, A; Claustre, H; Clementson, L; Crout, R; Frouin, R; García-Soto, C; Gibb, SW; Gould, R; Hooker, SB; Kahru, M; Kampel, M; Klein, H; Kratzer, S; Kudela, R; Ledesma, J; Loisel, H; Matrai, P; McKee, D; Mitchell, BG; Moisan, T; Muller-Karger, F; O'Dowd, L; Ondrusek, M; Platt, T; Poulton, AJ; Repecaud, M; Schroeder, T; Smythe, T; Smythe-Wright, D; Sosik, HM; Twardowski, M; Vellucci, V; Voss, K; Werdell, J; Wernand, M; Wright, S; Zibordi, G</t>
  </si>
  <si>
    <t>Valente, Andre; Sathyendranath, Shubha; Brotas, Vanda; Groom, Steve; Grant, Michael; Taberner, Malcolm; Antoine, David; Arnone, Robert; Balch, William M.; Barker, Kathryn; Barlow, Ray; Belanger, Simon; Berthon, Jean-Francois; Besiktepe, Suikru; Borsheim, Yngve; Bracher, Astrid; Brando, Vittorio; Canuti, Elisabetta; Chavez, Francisco; Cianca, Andres; Claustre, Herve; Clementson, Lesley; Crout, Richard; Frouin, Robert; Garcia-Soto, Carlos; Gibb, Stuart W.; Gould, Richard; Hooker, Stanford B.; Kahru, Mati; Kampel, Milton; Klein, Holger; Kratzer, Susanne; Kudela, Raphael; Ledesma, Jesus; Loisel, Hubert; Matrai, Patricia; McKee, David; Mitchell, Brian G.; Moisan, Tiffany; Muller-Karger, Frank; O'Dowd, Leonie; Ondrusek, Michael; Platt, Trevor; Poulton, Alex J.; Repecaud, Michel; Schroeder, Thomas; Smythe, Timothy; Smythe-Wright, Denise; Sosik, Heidi M.; Twardowski, Michael; Vellucci, Vincenzo; Voss, Kenneth; Werdell, Jeremy; Wernand, Marcel; Wright, Simon; Zibordi, Giuseppe</t>
  </si>
  <si>
    <t>A compilation of global bio-optical in situ data for ocean-colour satellite applications - version two</t>
  </si>
  <si>
    <t>NORTH-ATLANTIC; TIME-SERIES; WATERS; PERFORMANCE; PHYTOPLANKTON; REFLECTANCE; VALIDATION; IRRADIANCE; SCATTERING; MODEL</t>
  </si>
  <si>
    <t>A global compilation of in situ data is useful to evaluate the quality of ocean-colour satellite data records. Here we describe the data compiled for the validation of the ocean-colour products from the ESA Ocean Colour Climate Change Initiative (OC-CCI). The data were acquired from several sources (including, inter alia, MOBY, BOUSSOLE, AERONET-OC, SeaBASS, NOMAD, MERMAID, AMT, ICES, HOT and GeP&amp;CO) and span the period from 1997 to 2018. Observations of the following variables were compiled: spectral remote-sensing reflectances, concentrations of chlorophyll a, spectral inherent optical properties, spectral diffuse attenuation coefficients and total suspended matter. The data were from multi-project archives acquired via open internet services or from individual projects, acquired directly from data providers. Methodologies were implemented for homogenization, quality control and merging of all data. No changes were made to the original data, other than averaging of observations that were close in time and space, elimination of some points after quality control and conversion to a standard format. The final result is a merged table designed for validation of satellite-derived ocean-colour products and available in text format. Metadata of each in situ measurement (original source, cruise or experiment, principal investigator) was propagated throughout the work and made available in the final table. By making the metadata available, provenance is better documented, and it is also possible to analyse each set of data separately. This paper also describes the changes that were made to the compilation in relation to the previous version (Valente et al., 2016). The compiled data are available at https://doi.org/10.1594/PANGAEA.898188 (Valente et al., 2019).</t>
  </si>
  <si>
    <t>[Valente, Andre; Brotas, Vanda] Univ Lisbon, Fac Ciencias, MARE Marine &amp; Environm Sci Ctr, P-1749016 Lisbon, Portugal; [Sathyendranath, Shubha; Brotas, Vanda; Groom, Steve; Grant, Michael; Platt, Trevor; Smythe, Timothy] Plymouth Marine Lab, Plymouth PL1 3DH, Devon, England; [Grant, Michael; Taberner, Malcolm] EUMETSAT, Eumetsat Allee 1, D-64295 Darmstadt, Germany; [Antoine, David; Claustre, Herve; Vellucci, Vincenzo] Sorbonne Univ, CNRS, LOV, F-06230 Villefranche Sur Mer, France; [Antoine, David] Curtin Univ, Sch Earth &amp; Planetary Sci, Remote Sensing &amp; Satellite Res Grp, Perth, WA 6845, Australia; [Arnone, Robert] Univ Southern Mississippi, Stennis Space Ctr, MS USA; [Balch, William M.; Matrai, Patricia] Bigelow Lab Ocean Sci, 60 Bigelow Dr, East Boothbay, ME 04544 USA; [Barker, Kathryn] ARGANS Ltd, Plymouth, Devon, England; [Barker, Kathryn; Brando, Vittorio; Clementson, Lesley; Schroeder, Thomas] CSIRO Oceans &amp; Atmosphere, Perth, WA, Australia; [Barker, Kathryn] Australian Res Data Commons, Caulfield, Australia; [Barlow, Ray] Bayworld Ctr Res &amp; Educ, Cape Town, South Africa; [Belanger, Simon] Univ Quebec, Rimouski, PQ, Canada; [Berthon, Jean-Francois; Canuti, Elisabetta; Zibordi, Giuseppe] European Commiss, Joint Res Ctr, Ispra, Italy; [Besiktepe, Suikru] Dokuz Eylul Univ, Inst Marine Sci &amp; Technol, Izmir, Turkey; [Borsheim, Yngve] Inst Marine Res, Bergen, Norway; [Bracher, Astrid] Helmholtz Ctr Polar &amp; Marine Res, Alfred Wegener Inst, Bremerhaven, Germany; [Bracher, Astrid] Univ Bremen, Inst Environm Phys, Bremen, Germany; [Brando, Vittorio] CNR ISMAR, Rome, Italy; [Chavez, Francisco] Monterey Bay Aquarium Res Inst, Moss Landing, CA USA; [Cianca, Andres] PLOCAN Ocean Platform Canary Isl, Carretera Taliarte, Telde 35214, Gran Canaria, Spain; [Crout, Richard; Gould, Richard] Naval Res Lab, Stennis Space Ctr, MS USA; [Frouin, Robert; Kahru, Mati; Mitchell, Brian G.] Univ Calif San Diego, Scripps Inst Oceanog, San Diego, CA 92103 USA; [Garcia-Soto, Carlos] Spanish Inst Oceanog IEO, Corazon de Maria 8, Madrid 28002, Spain; [Garcia-Soto, Carlos] PIE EHU, Areatza Zg, Plentzia 48620, Spain; [Gibb, Stuart W.] Univ Highlands &amp; Isl, North Highland Coll, Environm Res Inst, Thurso, Scotland; [Hooker, Stanford B.; Werdell, Jeremy] NASA, Goddard Space Flight Ctr, Greenbelt, MD 20771 USA; [Kampel, Milton] Natl Space Res Inst INPE, Remote Sensing Div, Sao Jose Dos Campos, Brazil; [Klein, Holger] Fed Maritime &amp; Hydrog Agcy, Operat Oceanog Grp, Hamburg, Germany; [Kratzer, Susanne] Stockholm Univ, Dept Ecol Environm &amp; Plant Sci, S-10691 Stockholm, Sweden; [Kudela, Raphael] Univ Calif Santa Cruz, Santa Cruz, CA 95064 USA; [Ledesma, Jesus] Inst Mar Peru, Callao, Peru; [Loisel, Hubert] Univ Lille, Univ Littoral COte dOpale, Lab Oceanol &amp; Geosci, CNRS,UMR 8187,LOG, 32 Ave Foch, Wimereux, France; [McKee, David] Univ Strathclyde, Phys Dept, Glasgow G4 0NG, Lanark, Scotland; [Moisan, Tiffany] NASA, Goddard Space Flight Ctr, Wallops Flight Facil, Wallops Isl, VA 23337 USA; [Muller-Karger, Frank] Univ S Florida, Coll Marine Sci, Inst Marine Remote Sensing ImaRS, St Petersburg, FL USA; [O'Dowd, Leonie] Marine Inst, Fisheries &amp; Ecosyst Advisory Serv, Galway, Ireland; [Ondrusek, Michael] NOAA, NESDIS, STAR, SOCD, College Pk, MD USA; [Poulton, Alex J.] Heriot Watt Univ, Lyell Ctr Earth &amp; Marine Sci &amp; Technol, Edinburgh, Midlothian, Scotland; [Repecaud, Michel] IFREMER, Ctr Brest, Plouzane, France; [Smythe-Wright, Denise] Natl Oceanog Ctr, Ocean Biogeochem &amp; Ecosyst, Waterfront Campus, Southampton, Hants, England; [Sosik, Heidi M.] Woods Hole Oceanog Inst, Dept Biol, Woods Hole, MA 02543 USA; [Twardowski, Michael] Harbor Branch Oceanog Inst Inc, Ft Pierce, FL USA; [Voss, Kenneth] Univ Miami, Coral Gables, FL 33124 USA; [Wernand, Marcel] Royal Netherlands Inst Sea Res, Texel, Netherlands; [Wright, Simon] Australian Antarctic Div, Hobart, Tas, Australia; [Wright, Simon] Antarctic Climate &amp; Ecosyst Cooperat Res Ctr, Hobart, Tas, Australia</t>
  </si>
  <si>
    <t>Universidade de Lisboa; Plymouth Marine Laboratory; European Organisation for the Exploitation of Meteorological Satellites; Centre National de la Recherche Scientifique (CNRS); Sorbonne Universite; Curtin University; University of Southern Mississippi; Commonwealth Scientific &amp; Industrial Research Organisation (CSIRO); University of Quebec; European Commission Joint Research Centre; EC JRC ISPRA Site; Dokuz Eylul University; Institute of Marine Research - Norway; Helmholtz Association; Alfred Wegener Institute, Helmholtz Centre for Polar &amp; Marine Research; University of Bremen; Consiglio Nazionale delle Ricerche (CNR); Istituto di Scienze Marine (ISMAR-CNR); Monterey Bay Aquarium Research Institute; United States Department of Defense; United States Navy; Naval Research Laboratory; University of California System; University of California San Diego; Scripps Institution of Oceanography; UHI Millennium Institute; National Aeronautics &amp; Space Administration (NASA); NASA Goddard Space Flight Center; Instituto Nacional de Pesquisas Espaciais (INPE); Stockholm University; University of California System; University of California Santa Cruz; Instituto del Mar del Peru; Universite du Littoral-Cote-d'Opale; Centre National de la Recherche Scientifique (CNRS); CNRS - National Institute for Earth Sciences &amp; Astronomy (INSU); Universite de Lille; University of Strathclyde; National Aeronautics &amp; Space Administration (NASA); NASA Goddard Space Flight Center; Wallops Flight Facility; State University System of Florida; University of South Florida; Marine Institute Ireland; National Oceanic Atmospheric Admin (NOAA) - USA; Heriot Watt University; Ifremer; NERC National Oceanography Centre; Woods Hole Oceanographic Institution; Harbor Branch Oceanographic Institute Foundation; University of Miami; Utrecht University; Royal Netherlands Institute for Sea Research (NIOZ); Australian Antarctic Division; Antarctic Climate &amp; Ecosystems Cooperative Research Centre (ACE CRC)</t>
  </si>
  <si>
    <t>Valente, A (corresponding author), Univ Lisbon, Fac Ciencias, MARE Marine &amp; Environm Sci Ctr, P-1749016 Lisbon, Portugal.</t>
  </si>
  <si>
    <t>adovalente@fc.ul.pt</t>
  </si>
  <si>
    <t>Schroeder, Thomas T/D-6009-2011; Brando, Vittorio/A-1321-2008; Antoine, David/C-3817-2013; Kratzer, Susanne/ABD-8128-2021; Valente, Andre S. F. G./G-5244-2016; Clementson, Lesley A/M-6905-2013; Bracher, Astrid/I-2672-2013; Gibb, Stuart W/D-5802-2013; Hooker, Stanford B/E-2162-2012; McKee, David J C/D-6244-2013; Smyth, Tim/D-2008-2012; Kampel, Milton/ABH-9478-2020; CLAUSTRE, Herve/E-6877-2011; Bélanger, Simon/ABH-0121-2022; Bracher, Astrid/B-7805-2013; Claustre, Herve/JPL-2367-2023; Garcia-Soto, Carlos/C-4860-2017; Poulton, Alex/A-9859-2012; Brotas, Vanda/A-2410-2012</t>
  </si>
  <si>
    <t>Brando, Vittorio/0000-0002-2193-5695; Antoine, David/0000-0002-9082-2395; Bracher, Astrid/0000-0003-3025-5517; Smyth, Tim/0000-0003-0659-1422; Kampel, Milton/0000-0002-0011-2083; CLAUSTRE, Herve/0000-0001-6243-0258; Bélanger, Simon/0000-0002-9172-8376; Vellucci, Vincenzo/0000-0001-5392-7457; Barker, Kathryn/0000-0002-5152-0319; Sathyendranath, Shubha/0000-0003-3586-192X; Garcia-Soto, Carlos/0000-0002-7080-8545; Poulton, Alex/0000-0002-5149-6961; Mitchell, B. Greg/0000-0002-8550-4333; Grant, Michael/0000-0003-3952-3207; Brotas, Vanda/0000-0001-8612-4167; REPECAUD, Michel/0000-0001-6338-0125; Canuti, Elisabetta/0000-0002-4357-8203; Zibordi, Giuseppe/0000-0002-2253-1828; Kratzer, Susanne/0000-0002-0992-7203; McKee, David/0000-0001-8023-5923</t>
  </si>
  <si>
    <t>ESA Climate Change Initiative - Ocean Colour project [AO-1/6207/09/I-LG]; NERC [noc010009, pml010009, nceo020006, pml010008] Funding Source: UKRI</t>
  </si>
  <si>
    <t>ESA Climate Change Initiative - Ocean Colour project; NERC(UK Research &amp; Innovation (UKRI)Natural Environment Research Council (NERC))</t>
  </si>
  <si>
    <t>This research has been supported by the ESA Climate Change Initiative - Ocean Colour project (ref: AO-1/6207/09/I-LG).</t>
  </si>
  <si>
    <t>10.5194/essd-11-1037-2019</t>
  </si>
  <si>
    <t>II8TW</t>
  </si>
  <si>
    <t>Green Accepted, Green Published, Green Submitted, gold</t>
  </si>
  <si>
    <t>WOS:000475466300001</t>
  </si>
  <si>
    <t>Chu, FM; Wang, D; Liu, T; Han, HY; Yu, YK; Yang, Q</t>
  </si>
  <si>
    <t>Chu, Fangmeng; Wang, Di; Liu, Tian; Han, Hongyu; Yu, Yike; Yang, Qing</t>
  </si>
  <si>
    <t>An optimized cocktail of chitinolytic enzymes to produce N,N′-diacetylchitobiose and N-acetyl-D-glucosamine from defatted krill by-products</t>
  </si>
  <si>
    <t>INTERNATIONAL JOURNAL OF BIOLOGICAL MACROMOLECULES</t>
  </si>
  <si>
    <t>14th International Chitin and Chitosan Conference (ICCC) / 12th Asia-Pacific Chitin and Chitosan Symposium (APCCS)</t>
  </si>
  <si>
    <t>AUG 27-30, 2018</t>
  </si>
  <si>
    <t>Osaka, JAPAN</t>
  </si>
  <si>
    <t>Antarctic krill; Chitin; Chitinase; N-acetyl-D-glucosamine; Protease</t>
  </si>
  <si>
    <t>ANTARCTIC KRILL; HYDROLYSIS; ACETYLGLUCOSAMINE; EFFICIENT; CHITINASES; CHITOSAN</t>
  </si>
  <si>
    <t>Defatted krill powder (DKP), the byproduct of krill oil industry, is a resource of biological macromolecules. Here, one bacterial protease, three bacterial chitinases and one insect N-acetyl-D-hexosaminidase were integratively used to produce peptide, N,N'-diacetylchitobiose [(GlcNAc)(2)] and N-acetyl-D-glucosamine (GlcNAc) from DKP. First, alkaline protease was found to outperform neutral protease in deproteinizing DKP and the resultant krill peptides were rich in essential amino acids (41.4%). Second, the mutant of chitinase A from Serratia marcescens [SmChiA-F232W/F396W (SmChiA-M)] was found to be 32% faster than wild-type SmChiA in hydrolyzing the deproteinized DKP (DDKP) and showed significant synergy with chitinase B from S. marcescens (SmChiB) and chitinase C from S. marcescens (SmChiC). Then two SmChiA-M-based enzyme combinations [SmChiA-M + SmChiB + SmChiC and SmChiA-M + SmChiB + SmChiC + OfHex1 (an insect N-acetyl-D-hexosaminidase from Ostrinia furnacalis)] were designed to produce (GlcNAc)(2) and GlcNAc, respectively, from DDKP. A yield of 2.04 g/L (GlcNAc)(2) or 2.71 g/L GlcNAc (each with 95% purity) could be obtained from 20 g/L DDKP in 24 h. (C) 2019 Elsevier B.V. All rights reserved.</t>
  </si>
  <si>
    <t>[Chu, Fangmeng; Wang, Di; Liu, Tian; Han, Hongyu; Yang, Qing] Dalian Univ Technol, State Key Lab Fine Chem Engn, Dalian 116024, Peoples R China; [Chu, Fangmeng; Wang, Di; Liu, Tian; Han, Hongyu; Yang, Qing] Dalian Univ Technol, Sch Life Sci &amp; Biotechnol, Dalian 116024, Peoples R China; [Yu, Yike] Liaoyu Grp Co Ltd, Dalian 116113, Peoples R China; [Yang, Qing] Chinese Acad Agr Sci, Inst Plant Protect, Beijing 100193, Peoples R China</t>
  </si>
  <si>
    <t>Dalian University of Technology; Dalian University of Technology; Chinese Academy of Agricultural Sciences; Institute of Plant Protection, CAAS</t>
  </si>
  <si>
    <t>Liu, T; Yang, Q (corresponding author), Dalian Univ Technol, State Key Lab Fine Chem Engn, Dalian 116024, Peoples R China.;Liu, T; Yang, Q (corresponding author), Dalian Univ Technol, Sch Life Sci &amp; Biotechnol, Dalian 116024, Peoples R China.;Yang, Q (corresponding author), Chinese Acad Agr Sci, Inst Plant Protect, Beijing 100193, Peoples R China.</t>
  </si>
  <si>
    <t>tianliu@dlut.dut.cn; qingyang@dlut.edu.cn</t>
  </si>
  <si>
    <t>Yang, Qing/GZK-2526-2022; yang, qing/JBR-8440-2023; Liu, Tian/E-2481-2012</t>
  </si>
  <si>
    <t>Yang, Qing/0000-0001-8623-7532; Liu, Tian/0000-0001-9768-5496</t>
  </si>
  <si>
    <t>National Key Research and Development Program of China [2017YFD0200500]; National Natural Science Foundation of China [31871959]</t>
  </si>
  <si>
    <t>This research work was supported by the National Key Research and Development Program of China [2017YFD0200500] and the National Natural Science Foundation of China [31871959].</t>
  </si>
  <si>
    <t>0141-8130</t>
  </si>
  <si>
    <t>1879-0003</t>
  </si>
  <si>
    <t>INT J BIOL MACROMOL</t>
  </si>
  <si>
    <t>Int. J. Biol. Macromol.</t>
  </si>
  <si>
    <t>10.1016/j.ijbiomac.2019.04.114</t>
  </si>
  <si>
    <t>Biochemistry &amp; Molecular Biology; Chemistry, Applied; Polymer Science</t>
  </si>
  <si>
    <t>Biochemistry &amp; Molecular Biology; Chemistry; Polymer Science</t>
  </si>
  <si>
    <t>IE9HO</t>
  </si>
  <si>
    <t>WOS:000472685700110</t>
  </si>
  <si>
    <t>Bao, JQ; Chen, L; Liu, TT</t>
  </si>
  <si>
    <t>Bao, Jiaqi; Chen, Li; Liu, Tiantian</t>
  </si>
  <si>
    <t>Dandelion polysaccharide suppresses lipid oxidation in Antarctic krill (Euphausia superba)</t>
  </si>
  <si>
    <t>Antarctic krill; Lipid; Oxidation</t>
  </si>
  <si>
    <t>QUALITY CHANGES; INHIBITION; ACIDS</t>
  </si>
  <si>
    <t>Antarctic krill (Euphausia superba) are rich in unsaturated lipids that are susceptible to oxidation even under frozen storage. In this study, Antarctic krill was treated with dandelion polysaccharide (DP) and stored frozen at -8 degrees C for 12 months. The changes in thiobarbituric acid reactants (TBARs), peroxide values (PVs), free fatty acid (FFA) content, fatty acid composition and sensory quality score were evaluated. Treatment with DP maintained the PV, TBAR and FFA contents and sensory quality score and increased the unsaturated fatty acid contents. Results showed that DP treatment could be a promising way to suppresses lipid oxidation and extend the shelf life of Antarctic krill. (C) 2019 Published by Elsevier B.V.</t>
  </si>
  <si>
    <t>[Bao, Jiaqi; Chen, Li] Huaihai Inst Technol, Jiangsu Key Lab Marine Bioresources &amp; Environm, 59 Cangwu Rd, Haizhou 222005, Peoples R China; [Bao, Jiaqi; Chen, Li; Liu, Tiantian] Coinnovat Ctr Jiangsu Marine Bioind Technol, 59 Cangwu Rd, Haizhou 222005, Peoples R China; [Liu, Tiantian] Jiangsu Deep Blue Ocean Fishery Co Ltd, 99 Haimen Port Dev Ave, Haimen 226100, Peoples R China; [Bao, Jiaqi; Chen, Li] Huaihai Inst Technol, Jiangsu Marine Resources Dev Res Inst, 59 Cangwu Rd, Lianyungang 222005, Jiangsu, Peoples R China</t>
  </si>
  <si>
    <t>Jiangsu Ocean University; Jiangsu Ocean University</t>
  </si>
  <si>
    <t>Chen, L (corresponding author), Huaihai Inst Technol, Jiangsu Key Lab Marine Bioresources &amp; Environm, 59 Cangwu Rd, Haizhou 222005, Peoples R China.</t>
  </si>
  <si>
    <t>chenli@hhit.edu.cn</t>
  </si>
  <si>
    <t>Priority Academic Program Development of Jiangsu Higher Education Institutions (PAPD)</t>
  </si>
  <si>
    <t>This study was supported by the Priority Academic Program Development of Jiangsu Higher Education Institutions (PAPD).</t>
  </si>
  <si>
    <t>10.1016/j.ijbiomac.2019.04.205</t>
  </si>
  <si>
    <t>WOS:000472685700125</t>
  </si>
  <si>
    <t>Gray, DM; Burton-Johnson, A; Fretwell, PT</t>
  </si>
  <si>
    <t>Gray, D. M.; Burton-Johnson, A.; Fretwell, P. T.</t>
  </si>
  <si>
    <t>Evidence for a lava lake on Mt. Michael volcano, Saunders Island (South Sandwich Islands) from Landsat, Sentinel-2 and ASTER satellite imagery</t>
  </si>
  <si>
    <t>Remote sensing; Volcanology; SWIR; Dual-band; Scotia Sea; Antarctica</t>
  </si>
  <si>
    <t>TEMPERATURE-MEASUREMENTS; THEMATIC MAPPER; AMBRYM VOLCANO; INFRARED DATA</t>
  </si>
  <si>
    <t>Mt. Michael is an active stratovolcano on Saunders Island in the South Sandwich Islands; a remote, oceanic island arc in the southern Atlantic Ocean, bordering the Southern Ocean. The arc contains the only active volcanoes in the South Georgia and South Sandwich Islands British Overseas Territory, yet little is known of their activity. Despite lava lakes being extremely rare with only a few global examples, previous analyses of satellite AVHRR imagery of Mt. Michael in the 1990s showed persistent thermal anomalies not associated with magma overflowing the crater. This suggested the existence of a lava lake inside Mt. Michael's crater. However, their study relied on 1 km resolution imagery, and there have been no long-term investigations to determine if this is a persistent feature. In-situ observations of Mt. Michael are extremely difficult given the location. We used Landsat, Sentinel-2 and ASTER satellite data to monitor activity and detect thermal anomalies within the crater. Persistent volcanic plumes and eruptions were identified throughout the thirty-year period studied. On all 15 occasions that a suitable satellite image was available a thermal anomaly within the crater was detected in the high transmissivity shortwave infrared bands (SWIR) centred on 1.65 mu m and 2.2 mu m. Pixel-integrated surface temperatures over the crater floor yield temperatures of 284-419 degrees C; comparable to lava lakes elsewhere. Unmixing these temperatures using the dual-band method reveals a molten lava component at basaltic temperatures (989-1279 degrees C) among a cooler crust. This is the first evidence for a lava lake within Mt. Michael from data that can resolve the crater floor, and the first evidence for magmatic temperatures. As thermal anomalies were detected in all images showing the crater, we suggest that the lava lake is a common and persistent feature. (C) 2019 Elsevier B.V. All rights reserved.</t>
  </si>
  <si>
    <t>[Gray, D. M.] UCL, Dept Geog, Gower St, London WC1E 6BT, England; [Burton-Johnson, A.; Fretwell, P. T.] British Antarctic Survey, Madingley Rd, Cambridge CB3 0ET, England</t>
  </si>
  <si>
    <t>University of London; University College London; UK Research &amp; Innovation (UKRI); Natural Environment Research Council (NERC); NERC British Antarctic Survey</t>
  </si>
  <si>
    <t>Burton-Johnson, A (corresponding author), British Antarctic Survey, Madingley Rd, Cambridge CB3 0ET, England.</t>
  </si>
  <si>
    <t>alerto@bas.ac.uk</t>
  </si>
  <si>
    <t>Burton-Johnson, Alex/0000-0003-2208-0075</t>
  </si>
  <si>
    <t>NERC [bas0100029, bas010011] Funding Source: UKRI</t>
  </si>
  <si>
    <t>10.1016/j.jvolgeores.2019.05.002</t>
  </si>
  <si>
    <t>ID5TD</t>
  </si>
  <si>
    <t>WOS:000471738000005</t>
  </si>
  <si>
    <t>Wei, YT; Chen, H; Jia, MX; Zhou, HH; Zhang, YJ; Xu, WQ; Zhang, WB; Mai, KS</t>
  </si>
  <si>
    <t>Wei, Yuting; Chen, Hao; Jia, Mingxiu; Zhou, Huihui; Zhang, Yanjiao; Xu, Weiqi; Zhang, Wenbing; Mai, Kangsen</t>
  </si>
  <si>
    <t>Effects of dietary Antarctic krill Euphausia superba meal on growth performance and muscle quality of triploid rainbow trout Oncorhynchus mykiss farmed in sea water</t>
  </si>
  <si>
    <t>Krill meal; Rainbow trout; Sea water; Quality; Safety</t>
  </si>
  <si>
    <t>SALMON SALMO-SALAR; TASTE-ACTIVE COMPONENTS; FATTY-ACID-COMPOSITION; ATLANTIC SALMON; FISH-MEAL; FLESH QUALITY; INTESTINAL MICROBIOTA; SKIN PIGMENTATION; TOTAL REPLACEMENT; BRACKISH-WATER</t>
  </si>
  <si>
    <t>The present study was conducted to investigate the effects of replacement of dietary fish meal by Antarctic krill Euphausia superba meal on growth performance, body composition and organoleptic quality of triploid rainbow trout Oncorhynchus mykiss (initial body weight 102.06 +/- 0.04 g) farmed in sea water. The basal diet contained 51% of fish meal. Based on it, five isonitrogenous and isolipidic experimental diets were formulated with the protein replacement ratio of fish meal by krill meal as 0, 15%, 30%, 60% and 100%, respectively (DM0, DM15, DM30, DM60 and DM100, respectively). After an 8-week feeding trial, results showed that increasing levels of dietary krill meal linearly and quadratically increased significantly FBW, SGR and FI (P &lt; 0.05). Significant positive linear trends were found between the increasing levels of dietary krill meal and carotenoid concentrations, redness (a*), yellowness (b*) and chroma (C*) in muscle; and significant negative trends were found in the lightness (L*) and hue (H*) responses (P &lt; 0.05). The pH and liquid holding capacity (LHC) were not affected by dietary krill meal levels (P &gt; 0.05). A positive quadratic trend was found between the dietary krill meal level and the springiness, and a negative linear trend in cohesiveness occurred (P &lt; 0.05). The content of fluorine in vertebra increased linearly and quadratically significantly (P &lt; 0.05) but the content of fluorine in muscle was not significantly affected by increasing levels of dietary krill meal (P &gt; 0.05). The highest fluorine content in muscle was within the safe edible limit for humans. These results suggested that Antarctic krill meal could improve the growth performance and muscle pigmentation of triploid rainbow trout farmed in seawater.</t>
  </si>
  <si>
    <t>[Wei, Yuting; Chen, Hao; Zhou, Huihui; Zhang, Yanjiao; Xu, Weiqi; Zhang, Wenbing; Mai, Kangsen] Ocean Univ China, Minist Educ, Key Lab Aquaculture Nutr &amp; Feeds, Minist Agr &amp; Rural Affairs,Key Lab Mariculture, Qingdao 266003, Shandong, Peoples R China; [Zhang, Wenbing; Mai, Kangsen] Qingdao Natl Lab Marine Sci &amp; Technol, Lab Marine Fisheries Sci &amp; Food Prod Proc, Wen Hai Rd, Qingdao 266237, Shandong, Peoples R China; [Jia, Mingxiu] China Natl Fisheries Corp, Polar Marine Resources Exploitat Div, Beijing 100160, Peoples R China</t>
  </si>
  <si>
    <t>Ministry of Agriculture &amp; Rural Affairs; Ocean University of China; Laoshan Laboratory</t>
  </si>
  <si>
    <t>Zhang, WB (corresponding author), Ocean Univ China, Minist Educ, Key Lab Aquaculture Nutr &amp; Feeds, Minist Agr &amp; Rural Affairs,Key Lab Mariculture, Qingdao 266003, Shandong, Peoples R China.</t>
  </si>
  <si>
    <t>wzhang@ouc.edu.cn</t>
  </si>
  <si>
    <t>Zhang, Yanjiao/AID-6801-2022</t>
  </si>
  <si>
    <t>Zhang, Yanjiao/0000-0002-7471-9021</t>
  </si>
  <si>
    <t>Key R&amp;D Program of Shandong Province, China [2017CXGC0105, 2016CYJS04A01]</t>
  </si>
  <si>
    <t>Key R&amp;D Program of Shandong Province, China</t>
  </si>
  <si>
    <t>This study was financially supported by the Key R&amp;D Program of Shandong Province, China (2017CXGC0105, 2016CYJS04A01).</t>
  </si>
  <si>
    <t>10.1016/j.aquaculture.2019.05.013</t>
  </si>
  <si>
    <t>ID5XE</t>
  </si>
  <si>
    <t>WOS:000471749800011</t>
  </si>
  <si>
    <t>Liu, A; Pirozzi, I; Codabaccus, B; Hines, B; Simon, C; Sammut, J; Booth, M</t>
  </si>
  <si>
    <t>Liu, Angela; Pirozzi, Igor; Codabaccus, Basseer; Hines, Barney; Simon, Cedric; Sammut, Jesmond; Booth, Mark</t>
  </si>
  <si>
    <t>Digestible choline requirement of juvenile yellowtail kingfish (Seriola lalandi)</t>
  </si>
  <si>
    <t>Choline; Nutrition; Water temperature; Digestibility</t>
  </si>
  <si>
    <t>DIETARY CHOLINE; METHIONINE REQUIREMENTS; ENZYME-ACTIVITIES; GROWTH; PHOSPHATIDYLCHOLINE; TEMPERATURE; BETAINE; TILAPIA; GENE; TRIACYLGLYCEROL</t>
  </si>
  <si>
    <t>The present study was conducted to determine the digestible choline requirement of juvenile yellowtail kingfish (Seriola lalandi; YTK) in the presence of 2-amino-2-methyl-1-propanol (AMP), an inhibitor of choline biosynthesis. The second aim of this study was to determine if choline supplementation of a practical diet made from common raw materials can improve the growth performance of YTK and if choline supplementation dosages are affected by water temperature. Two eight-week experiments were conducted. The first was a doseresponse experiment in which juvenile YTK (156.3 +/- 15.3 g) were reared at 16 degrees C and fed five isonitrogenous and isoenergetic semi-purified diets containing 0.42 (Diet 1), 1.10 (Diet 2), 1.37 (Diet 3), 2.96 (Diet 4) or 6.05 g digestible choline kg(-1) diet (Diet 5) by adding graded concentrations of choline chloride (CC). A sixth diet (Diet 6), comparable to Diet 4, was made without AMP to estimate the de novo synthesis of choline by YTK. The second was a factorial experiment in which juvenile YTK (157.3 +/- 11.9 g) were reared at 16 degrees C and 24 degrees C and fed a practical diet supplemented with 0.0, 3.0 or 6.0 g of CC kg(-1) which equates to a digestible choline concentration of 1.77, 3.54 and 4.66 g kg(-1) diet, respectively. Results from experiment 1 indicated the breakpoint (broken-line regression model) in specific growth rate (SGR) and choline deposition rate occurred when digestible choline intake reached 26.1 mg kgBW(-1)d(-1) and 27.3 mg kgBW(-1)d(-1), respectively. On a dietary basis, the breakpoint in SGR and choline deposition rate occurred when diets provided 1.93 and 1.94 g digestible choline kg(-1) diet, respectively. Experiment 2 results indicated there were no significant interactions between dietary choline and water temperature with respect to production indices such as SGR, food conversion ratio (FCR), whole body composition and nutrient retention. Choline deposition rate, SGR and FCR tended to be better in fish fed the practical diet supplemented with 3.0 g CC kg(-1), but there was no additional advantage of raising the content to 6.0 g CC kg(-1) diet. The present study confirms the necessity of adding CC to practical diets for YTK given that practical diets with no CC supplementation contain lower digestible choline than the estimated requirement established in experiment 1.</t>
  </si>
  <si>
    <t>[Liu, Angela; Sammut, Jesmond] Univ New South Wales, Sch Biol Earth &amp; Environm Sci, Sydney, NSW 2052, Australia; [Pirozzi, Igor; Codabaccus, Basseer; Booth, Mark] Port Stephens Fisheries Inst, NSW Dept Primary Ind, Taylors Beach, NSW 2316, Australia; [Pirozzi, Igor] James Cook Univ, Ctr Sustainable Trop Fisheries &amp; Aquaculture, Townsville, Qld 4811, Australia; [Pirozzi, Igor] James Cook Univ, Coll Sci &amp; Engn, Townsville, Qld 4811, Australia; [Codabaccus, Basseer] Univ Tasmania, Inst Marine &amp; Antarctic Studies, Private Bag 49, Hobart, Tas 7001, Australia; [Hines, Barney; Simon, Cedric] CSIRO Agr &amp; Food, 306 Carmody Rd, St Lucia, Qld 4067, Australia</t>
  </si>
  <si>
    <t>University of New South Wales Sydney; NSW Department of Primary Industries; James Cook University; James Cook University; University of Tasmania; Commonwealth Scientific &amp; Industrial Research Organisation (CSIRO)</t>
  </si>
  <si>
    <t>Sammut, J (corresponding author), Univ New South Wales, Sch Biol Earth &amp; Environm Sci, Sydney, NSW 2052, Australia.</t>
  </si>
  <si>
    <t>j.sammut@unsw.edu.au</t>
  </si>
  <si>
    <t>Booth, Mark A/I-8206-2012; Simon, Cedric/AAX-5264-2020; Simon, Cedric/AET-0945-2022</t>
  </si>
  <si>
    <t>Booth, Mark A/0000-0003-3584-8012; Simon, Cedric/0000-0002-7535-3332; Simon, Cedric/0000-0002-7535-3332; codabaccus, mohamed/0000-0001-5108-373X; Liu, Angela/0000-0002-7389-8881</t>
  </si>
  <si>
    <t>Australian Government Department of Agriculture and Water Resources; Fisheries Research and Development Corporation; Huon Aquaculture; project Growing a profitable, innovative and collaborative Australian Yellowtail Kingfish aquaculture industry: bringing 'white' fish to the market [RnD4Profit-14-01-027]; Australian Government Research Training Program Scholarship; South Australian Research and Development Institute; Clean Seas Seafood (CSS); Department of Primary Industries New South Wales (DPI NSW)</t>
  </si>
  <si>
    <t>Australian Government Department of Agriculture and Water Resources(Australian Government); Fisheries Research and Development Corporation; Huon Aquaculture; project Growing a profitable, innovative and collaborative Australian Yellowtail Kingfish aquaculture industry: bringing 'white' fish to the market; Australian Government Research Training Program Scholarship(Australian GovernmentDepartment of Industry, Innovation and Science); South Australian Research and Development Institute; Clean Seas Seafood (CSS); Department of Primary Industries New South Wales (DPI NSW)</t>
  </si>
  <si>
    <t>This study was supported by funding from the Australian Government Department of Agriculture and Water Resources, the Fisheries Research and Development Corporation, South Australian Research and Development Institute, Clean Seas Seafood (CSS), Department of Primary Industries New South Wales (DPI NSW) and Huon Aquaculture. This study operated under the funded project Growing a profitable, innovative and collaborative Australian Yellowtail Kingfish aquaculture industry: bringing 'white' fish to the market (RnD4Profit-14-01-027). Ridley and Skretting Australia also contributed to the project through the input of technical information and the manufacture of experimental feeds. This research was also supported by an Australian Government Research Training Program Scholarship. Some of the raw materials used in this experiment were kindly provided by Ridley Aquafeed and as such we extend our thanks to Michael Salini and Simon Tabrett for their assistance. The authors thank Ian Russell, Brendan Findlay, Steve Gamble (NSW DPI), Nicholas Bourne and Susan Cheers (CSIRO) for their technical assistance. We are also grateful to Jay Dent (CSS) for feedback on some of the data generated in this study.</t>
  </si>
  <si>
    <t>10.1016/j.aquaculture.2019.05.020</t>
  </si>
  <si>
    <t>WOS:000471749800027</t>
  </si>
  <si>
    <t>Johnson, JS; Nichols, KA; Goehring, BM; Balco, G; Schaefer, JM</t>
  </si>
  <si>
    <t>Johnson, Joanne S.; Nichols, Keir A.; Goehring, Brent M.; Balco, Greg; Schaefer, Joerg M.</t>
  </si>
  <si>
    <t>Abrupt mid-Holocene ice loss in the western Weddell Sea Embayment of Antarctica</t>
  </si>
  <si>
    <t>Holocene; Antarctica; Weddell Sea; ice sheet; cosmogenic dating; in situ C-14</t>
  </si>
  <si>
    <t>SITU COSMOGENIC BE-10; MARIE-BYRD-LAND; EXPOSURE AGES; HOLOCENE DEGLACIATION; GLACIAL GEOMORPHOLOGY; SHACKLETON RANGE; SHEET; HISTORY; SURFACE; SECTOR</t>
  </si>
  <si>
    <t>The glacial history of the westernmost Weddell Sea sector of Antarctica since the Last Glacial Maximum is virtually unknown, and yet it has been identified as critical for improving reliability of glacio-isostatic adjustment models that are required to correct satellite-derived estimates of ice sheet mass balance. Better knowledge of the glacial history of this region is also important for validating ice sheet models that are used to predict future contribution of the Antarctic ice sheet to sea level rise. Here we present a new Holocene deglacial chronology from a site on the Lassiter Coast of the Antarctic Peninsula, which is situated in the western Weddell Sea sector. Samples from 12 erratic cobbles and 18 bedrock surfaces from a series of presently-exposed ridges were analysed for cosmogenic Be-10 exposure dating, and a smaller suite of 7 bedrock samples for in situ C-14 dating. The resulting Be-10 ages are predominantly in the range 80-690 ka, whereas bedrock yielded much younger in situ C-14 ages, in the range 6.0-7.5 ka for samples collected from 138-385 m above the modern ice surface. From these we infer that the ice sheet experienced a period of abrupt thinning over a short time interval (no more than 2700 years) in the mid-Holocene, resulting in lowering of its surface by at least 250 m. Any late Holocene change in ice sheet thickness - such as re-advance, postulated by several modelling studies - must lie below the present ice sheet surface. The substantial difference in exposure ages derived from Be-10 and C-14 dating for the same samples additionally implies ubiquitous Be-10 inheritance acquired during ice-free periods prior to the last deglaciation, an interpretation that is consistent with our glacial-geomorphological field observations for former cold-based ice cover. The results of this study provide evidence for an episode of abrupt ice sheet surface lowering in the mid-Holocene, similar in rate, timing and magnitude to at least two other locations in Antarctica. (C) 2019 The Author(s). Published by Elsevier B.V.</t>
  </si>
  <si>
    <t>[Johnson, Joanne S.] British Antarctic Survey, Madingley Rd, Cambridge CB3 0ET, England; [Nichols, Keir A.; Goehring, Brent M.] Tulane Univ, Dept Earth &amp; Environm Sci, New Orleans, LA 70118 USA; [Balco, Greg] Berkeley Geochronol Ctr, 2455 Ridge Rd, Berkeley, CA 94709 USA; [Schaefer, Joerg M.] Columbia Univ, Lamont Doherty Earth Observ, Route 9W, New York, NY 10964 USA</t>
  </si>
  <si>
    <t>UK Research &amp; Innovation (UKRI); Natural Environment Research Council (NERC); NERC British Antarctic Survey; Tulane University; Berkeley Geochronolgy Center; Columbia University</t>
  </si>
  <si>
    <t>Johnson, JS (corresponding author), British Antarctic Survey, Madingley Rd, Cambridge CB3 0ET, England.</t>
  </si>
  <si>
    <t>jsj@bas.ac.uk</t>
  </si>
  <si>
    <t>Johnson, Joanne/0000-0003-4537-4447; Goehring, Brent/0000-0001-6405-5156</t>
  </si>
  <si>
    <t>NSF-OPP awards [1043681, 1559691]; Natural Environment Research Council, UK; NSF [OPP-1542936]; Columbia Climate Center; Center for Climate and Life; NERC [bas0100030] Funding Source: UKRI</t>
  </si>
  <si>
    <t>NSF-OPP awards(National Science Foundation (NSF)); Natural Environment Research Council, UK(UK Research &amp; Innovation (UKRI)Natural Environment Research Council (NERC)); NSF(National Science Foundation (NSF)); Columbia Climate Center; Center for Climate and Life; NERC(UK Research &amp; Innovation (UKRI)Natural Environment Research Council (NERC))</t>
  </si>
  <si>
    <t>We thank BAS field assistant Roger Stilwell, and members of the 2011-12 Rothera Research Station team and BAS Air Unit for their support to JSJ during the field campaign. Technical laboratory support from Hilary Blagbrough (BAS), Roseanne Schwarz and Jean Hanley (LDEO), and staff at the NOSAMS and UC Davis Stable Isotope Facilities is also gratefully acknowledged. Andrew Fleming, Louise Ireland and Laura Gerrish (BAS) helpfully assisted with accessing REMA data used in Fig. 5, and the Polar Geospatial Center (under NSF-OPP awards 1043681 and 1559691) provided the Landsat-8 image used in Figs. 1 b and 5. This work forms part of the BAS Polar Science for Planet Earth program, funded by the Natural Environment Research Council, UK. JMS acknowledges support by Columbia Climate Center and the Center for Climate and Life. We also acknowledge the financial support of NSF grant OPP-1542936 to GB and BG for in situ 14C measurements. Duanne White and an anonymous reviewer are thanked for their thoughtful and constructive reviews. This is LDEO publication #8295.</t>
  </si>
  <si>
    <t>10.1016/j.epsl.2019.05.002</t>
  </si>
  <si>
    <t>IC8DJ</t>
  </si>
  <si>
    <t>WOS:000471206200012</t>
  </si>
  <si>
    <t>Riley, TR; Carter, A; Leat, PT; Burton-Johnson, A; Bastias, J; Spikings, RA; Tate, AJ; Bristow, CS</t>
  </si>
  <si>
    <t>Riley, Teal R.; Carter, Andrew; Leat, Philip T.; Burton-Johnson, Alex; Bastias, Joaquin; Spikings, Richard A.; Tate, Alex J.; Bristow, Charlie S.</t>
  </si>
  <si>
    <t>Geochronology and geochemistry of the northern Scotia Sea: A revised interpretation of the North and West Scotia ridge junction</t>
  </si>
  <si>
    <t>Scotia Sea; Antarctica; seafloor spreading; geochemistry; Drake Passage; provenance</t>
  </si>
  <si>
    <t>ANTARCTIC PENINSULA; DRAKE PASSAGE; TECTONIC EVOLUTION; MANTLE FLOW; ARC; OCEAN; HISTORY; BASALTS; BASINS; AGE</t>
  </si>
  <si>
    <t>Understanding the tectonic evolution of the Scotia Sea is critical to interpreting how ocean gateways developed during the Cenozoic and their influence on ocean circulation patterns and water exchange between the Atlantic and Southern oceans. We examine the geochronology and detrital age history of lithologies from the prominent, submerged Barker Plateau of the North Scotia Ridge. Metasedimentary rocks of the North Scotia Ridge share a strong geological affinity with the Fuegian Andes and South Georgia, indicating a common geological history and no direct affinity to the Antarctic Peninsula. The detrital zircon geochronology indicates that deposition was likely to have taken place during the mid - Late Cretaceous. A tonalite intrusion from the Barker Plateau has been dated at 49.6 +/- 0.3 Ma and indicates that magmatism of the Patagonian-Fuegian batholith continued into the Eocene. This was coincident with the very early stages of Drake Passage opening, the expansion of the proto Scotia Sea and reorganization of the Fuegian Andes. The West Scotia Ridge is an extinct spreading center that shaped the Scotia Sea and consists of seven spreading segments separated by prominent transform faults. Spreading was active from 30-6 Ma and ceased with activity on the W7 segment at the junction with the North Scotia Ridge. Reinterpretation of the gravity and magnetic anomalies indicate that the architecture of the W7 spreading segment is distinct to the other segments of the West Scotia Ridge. Basaltic lava samples from the eastern flank of the W7 segment have been dated as Early - mid Cretaceous in age (137-93 Ma) and have a prominent arc geochemical signature indicating that seafloor spreading did not occur on the W7 segment. Instead the W7 segment is likely to represent a downfaulted block of the North Scotia Ridge of the Fuegian Andes continental margin arc, or is potentially related to the putative Cretaceous Central Scotia Sea. (C) 2019 The Author(s). Published by Elsevier B.V.</t>
  </si>
  <si>
    <t>[Riley, Teal R.; Leat, Philip T.; Burton-Johnson, Alex; Tate, Alex J.] British Antarctic Survey, Madingley Rd, Cambridge CB3 0ET, England; [Carter, Andrew; Bristow, Charlie S.] Birkbeck Univ London, Dept Earth &amp; Planetary Sci, Malet St, London WC1E 7HX, England; [Leat, Philip T.] Univ Leicester, Sch Geog Geol &amp; Environm, Univ Rd, Leicester LE1 7RH, Leics, England; [Bastias, Joaquin; Spikings, Richard A.] Univ Geneva, Dept Earth Sci, 3 Rue Maraichers, CH-1205 Geneva, Switzerland</t>
  </si>
  <si>
    <t>UK Research &amp; Innovation (UKRI); Natural Environment Research Council (NERC); NERC British Antarctic Survey; University of London; Birkbeck University London; University of Leicester; University of Geneva</t>
  </si>
  <si>
    <t>Riley, TR (corresponding author), British Antarctic Survey, Madingley Rd, Cambridge CB3 0ET, England.</t>
  </si>
  <si>
    <t>trr@bas.ac.uk</t>
  </si>
  <si>
    <t>Bastias, Joaquin/A-6995-2016; Carter, Andrew/C-1371-2008</t>
  </si>
  <si>
    <t>Bastias, Joaquin/0000-0001-6678-3173; Carter, Andrew/0000-0002-0090-5868; Burton-Johnson, Alex/0000-0003-2208-0075; Leat, Philip/0000-0003-3824-8557; Riley, Teal/0000-0002-3333-5021</t>
  </si>
  <si>
    <t>Natural Environment Research Council; NERC [bas0100029, bas010011] Funding Source: UKRI</t>
  </si>
  <si>
    <t>This study is part of the British Antarctic Survey Polar Science for Planet Earth programme, funded by the Natural Environment Research Council. The Officers and Crew of the RRS James Clark Ross are thanked for their support. The constructive reviews of Ian Dalziel and Graeme Eagles considerably helped to improve the manuscript. Nik Odling at the University of Edinburgh performed the XRF analyses and Chris Ottley at the University of Durham performed the ICP-MS analyses.</t>
  </si>
  <si>
    <t>10.1016/j.epsl.2019.04.031</t>
  </si>
  <si>
    <t>WOS:000471206200013</t>
  </si>
  <si>
    <t>Martin, JRV; Davies, BJ; Thorndycraft, VR</t>
  </si>
  <si>
    <t>Martin, Julian R., V; Davies, Bethan J.; Thorndycraft, Varyl R.</t>
  </si>
  <si>
    <t>Glacier dynamics during a phase of Late Quaternary warming in Patagonia reconstructed from sediment-landform associations</t>
  </si>
  <si>
    <t>GEOMORPHOLOGY</t>
  </si>
  <si>
    <t>Patagonian Ice Sheet; Glacial sedimentology; Glacial landsystems; Palaeolakes</t>
  </si>
  <si>
    <t>ANTARCTIC COLD REVERSAL; SOUTHERN LAKE DISTRICT; LAGO BUENOS-AIRES; ICE-DAMMED LAKES; PROGLACIAL LAKES; GENERAL CARRERA; EARLY HOLOCENE; YOUNGER DRYAS; ALLUVIAL FANS; GLEN ROY</t>
  </si>
  <si>
    <t>The geomorphological record in glaciated landscapes can provide important information for the study of the response of glaciers to rapid climate change. This study presents a new reconstruction of the glacial history of the northern Monte San Lorenzo ice cap, southern South America, during a period of accelerated warming and deglaciation following the Antarctic Cold Reversal (14.5-12.8 ka). We present a detailed geomorphological map of the valleys to the north of Monte San Lorenzo. Sediment-landform assemblages identified include lateral and terminal moraine ridges, flutes, deltas, ice-contact fans, palaeoshorelines, kame terraces and outwash plains. We map 14 primary ice-limits, 7 of which are newly identified, and 7 of which are from previous studies, mapped here in greater detail. We devise landsystem models to formalise and document spatial and temporal changes in glacial processes and environments. Our new geomorphological mapping and landsystem reconstructions provide an important insight into the response of temperate Patagonian glaciers to rapidly-warming climate. (C) 2019 The Authors. Published by Elsevier B.V.</t>
  </si>
  <si>
    <t>[Martin, Julian R., V; Davies, Bethan J.; Thorndycraft, Varyl R.] Royal Holloway Univ London, Ctr Quaternary Res, Dept Geog, Egham TW20 0EX, Surrey, England</t>
  </si>
  <si>
    <t>University of London; Royal Holloway University London</t>
  </si>
  <si>
    <t>Martin, JRV (corresponding author), Royal Holloway Univ London, Ctr Quaternary Res, Dept Geog, Egham TW20 0EX, Surrey, England.</t>
  </si>
  <si>
    <t>julian.martin.2016@live.rhul.ac.uk</t>
  </si>
  <si>
    <t>Davies, Bethan/KFR-3266-2024</t>
  </si>
  <si>
    <t>Davies, Bethan/0000-0002-8636-1813; Martin, Julian/0000-0002-2535-1646</t>
  </si>
  <si>
    <t>London NERC DTP PhD award [NE/L002485/1]; Quaternary Research Association</t>
  </si>
  <si>
    <t>London NERC DTP PhD award; Quaternary Research Association</t>
  </si>
  <si>
    <t>Martin, Davies and Thorndycraft undertook fieldwork in November/December 2016 and 2017, funded by London NERC DTP PhD award NE/L002485/1 awarded to Martin. We thank the Quaternary Research Association for additional funding support for fieldwork through the QRA New Research Workers' Award. We thank Dr. Adrian Palmer and two anonymous reviewers for comments which helped improve the quality of the manuscript. We thank all landowners for allowing access to their property during fieldwork.</t>
  </si>
  <si>
    <t>0169-555X</t>
  </si>
  <si>
    <t>1872-695X</t>
  </si>
  <si>
    <t>Geomorphology</t>
  </si>
  <si>
    <t>10.1016/j.geomorph.2019.03.007</t>
  </si>
  <si>
    <t>IB1TT</t>
  </si>
  <si>
    <t>WOS:000470048500008</t>
  </si>
  <si>
    <t>Wang, HR; Guo, Q; Li, A; Liu, G; Guo, HD; Huang, J</t>
  </si>
  <si>
    <t>Wang, Hairong; Guo, Qing; Li, An; Liu, Guang; Guo, Huadong; Huang, Jing</t>
  </si>
  <si>
    <t>Comparative study on the observation duration of the two-polar regions of the Earth from four specific sites on the Moon</t>
  </si>
  <si>
    <t>INTERNATIONAL JOURNAL OF REMOTE SENSING</t>
  </si>
  <si>
    <t>CHANGE-3</t>
  </si>
  <si>
    <t>There are increasing concerns about the Arctic region and the Antarctic region, which are known as indicators of the global change. To conduct research on the global change issue, especially for the two-polar regions of the Earth, the long-term continuous Earth observations are required. However, the existing Earth observation systems lack the ability to meet this need. In this paper, we propose to use the Moon as an Earth observation platform. This Moon-based platform could have large spatial coverage and long temporal duration. In addition, the site selection is a complex issue for the Moon-based platform because of the vast space on the Moon surface. We research this problem by placing the sensor at four potential sites on the Moon, respectively - the North Pole, the South Pole, the Sinus Iridum area and the Mare Nectaris area. Furthermore, the latitude and longitude of nadir point, the time length, the observation duration and the time length during a single observation duration of the four sites are calculated. Analyses are conducted to compare some observation performances of the four sites. Finally, we found that the latitude variation of the nadir point has an impact on the time window and the observation duration. If the sensor is placed at the polar regions of the Moon, there will be an 18.6-year period between the two adjacent longest observation duration. Thus, we give the next best time window to observe the two-polar regions of the Earth, when the sensor is placed at the polar region of the Moon. If the sensor is placed at the lower latitude regions of the Moon, there will be a 9.3-year period between the two adjacent longest observation duration. Moreover, on account of the observation duration and the time length during a single observation duration, the sites with relative low latitudes on the Moon are good choices.</t>
  </si>
  <si>
    <t>[Wang, Hairong; Guo, Qing; Li, An; Liu, Guang; Guo, Huadong; Huang, Jing] Chinese Acad Sci, Aerosp Informat Res Inst, Beijing, Peoples R China; [Wang, Hairong; Huang, Jing] Univ Chinese Acad Sci, Sch Elect Elect &amp; Commun Engn, Beijing, Peoples R China</t>
  </si>
  <si>
    <t>Chinese Academy of Sciences; Aerospace Information Research Institute, CAS; Chinese Academy of Sciences; University of Chinese Academy of Sciences, CAS</t>
  </si>
  <si>
    <t>Guo, Q (corresponding author), Chinese Acad Sci, Aerosp Informat Res Inst, Beijing, Peoples R China.</t>
  </si>
  <si>
    <t>guoqing@radi.ac.cn</t>
  </si>
  <si>
    <t>Wang, Hairong/HGF-1825-2022; Guo, Huadong/G-9388-2017</t>
  </si>
  <si>
    <t>liu, guang/0000-0001-8596-8528; Wang, Hairong/0000-0002-6706-2965; Guo, Huadong/0000-0003-0337-1862</t>
  </si>
  <si>
    <t>National Natural Science Foundation of China [41590853, 61771470]; Director Graduate Student Foundation of the Institute of Remote Sensing and Digital Earth, Chinese Academy of Sciences [Y7SY1400CX]; Key Research Program of Frontier Sciences, Chinese Academy of Sciences [QYZDY-SSW-DQC026]</t>
  </si>
  <si>
    <t>National Natural Science Foundation of China(National Natural Science Foundation of China (NSFC)); Director Graduate Student Foundation of the Institute of Remote Sensing and Digital Earth, Chinese Academy of Sciences; Key Research Program of Frontier Sciences, Chinese Academy of Sciences</t>
  </si>
  <si>
    <t>This work was supported by the National Natural Science Foundation of China [41590853,61771470]; Director Graduate Student Foundation of the Institute of Remote Sensing and Digital Earth, Chinese Academy of Sciences [Y7SY1400CX]; Key Research Program of Frontier Sciences, Chinese Academy of Sciences [QYZDY-SSW-DQC026].</t>
  </si>
  <si>
    <t>0143-1161</t>
  </si>
  <si>
    <t>1366-5901</t>
  </si>
  <si>
    <t>INT J REMOTE SENS</t>
  </si>
  <si>
    <t>Int. J. Remote Sens.</t>
  </si>
  <si>
    <t>10.1080/01431161.2019.1641247</t>
  </si>
  <si>
    <t>Remote Sensing; Imaging Science &amp; Photographic Technology</t>
  </si>
  <si>
    <t>JD3TL</t>
  </si>
  <si>
    <t>WOS:000476205700001</t>
  </si>
  <si>
    <t>Lee, J; Klinth, M; Jung, J</t>
  </si>
  <si>
    <t>Lee, Jeounghee; Klinth, Marten; Jung, Jongwoo</t>
  </si>
  <si>
    <t>Two species of Lumbricillus (Enchytraeidae, Annelida) new to Antarctica</t>
  </si>
  <si>
    <t>King George Island; Clitellata; Lumbricillus sejongensis sp. nov; Lumbricillus antarcticus; intertidal fauna</t>
  </si>
  <si>
    <t>KING-GEORGE ISLAND; SOUTH SHETLAND ISLANDS; POTTER COVE; BARTON PENINSULA; OLIGOCHAETA; TUBIFICIDAE; WORM; INVERTEBRATES; ASSOCIATIONS; COMMUNITIES</t>
  </si>
  <si>
    <t>The intertidal fauna of the Antarctic Peninsula has a relatively high species diversity, due to its warmer environment compared to other parts of Antarctica. Marine oligochaetes are, in general, one of the most diverse and ecologically important benthic organism groups, at least in the littoral zone. Antarctica has been one of the least studied areas with regard to oligochaete diversity. Here we report two Lumbricillus species (Lumbricillus antarcticus Stephenson, 1932 and Lumbricillus sejongensis sp. nov.) new to Antarctica, found in a tidal pool on the Barton Peninsula, King George Island. The diversity of this genus remains poorly known for Antarctica and the Subantarctic islands, and what we know is based on a few patchy studies.</t>
  </si>
  <si>
    <t>[Lee, Jeounghee; Jung, Jongwoo] Ewha Womans Univ, Div EcoCreat, Seoul, South Korea; [Klinth, Marten] Univ Gothenburg, Dept Biol &amp; Environm Sci, Gothenburg, Sweden; [Jung, Jongwoo] Ewha Womans Univ, Dept Sci Educ, Seoul 03760, South Korea</t>
  </si>
  <si>
    <t>Ewha Womans University; University of Gothenburg; Ewha Womans University</t>
  </si>
  <si>
    <t>Jung, J (corresponding author), Ewha Womans Univ, Dept Sci Educ, Seoul 03760, South Korea.</t>
  </si>
  <si>
    <t>jongwoo@ewha.ac.kr</t>
  </si>
  <si>
    <t>Klinth, Mårten/JCE-7204-2023</t>
  </si>
  <si>
    <t>Klinth, Mårten/0000-0003-4755-6682</t>
  </si>
  <si>
    <t>POLAR RES-SWEDEN</t>
  </si>
  <si>
    <t>JUL 12</t>
  </si>
  <si>
    <t>10.33265/polar.v38.3325</t>
  </si>
  <si>
    <t>IL9PG</t>
  </si>
  <si>
    <t>WOS:000477616000001</t>
  </si>
  <si>
    <t>La, HS; Park, K; Wåhlin, A; Arrigo, KR; Kim, DS; Yang, EJ; Atkinson, A; Fielding, S; Im, J; Kim, TW; Shin, HC; Lee, S; Ha, HK</t>
  </si>
  <si>
    <t>La, Hyoung Sul; Park, Keyhong; Wahlin, Anna; Arrigo, Kevin R.; Kim, Dong Seon; Yang, Eun Jin; Atkinson, Angus; Fielding, Sophie; Im, Jungho; Kim, Tae-Wan; Shin, Hyoung Chul; Lee, SangHoon; Ha, Ho Kyung</t>
  </si>
  <si>
    <t>Zooplankton and micronekton respond to climate fluctuations in the Amundsen Sea polynya, Antarctica</t>
  </si>
  <si>
    <t>KRILL EUPHAUSIA-SUPERBA; WARM DEEP-WATER; VERTICAL MIGRATION; COASTAL POLYNYA; ICE; PHYTOPLANKTON; IMPACT; DYNAMICS</t>
  </si>
  <si>
    <t>The vertical migration of zooplankton and micronekton (hereafter 'zooplankton') has ramifications throughout the food web. Here, we present the first evidence that climate fluctuations affect the vertical migration of zooplankton in the Southern Ocean, based on multi-year acoustic backscatter data from one of the deep troughs in the Amundsen Sea, Antarctica. High net primary productivity (NPP) and the annual variation in seasonal ice cover make the Amundsen Sea coastal polynya an ideal site in which to examine how zooplankton behavior responds to climate fluctuations. Our observations show that the timing of the seasonal vertical migration and abundance of zooplankton in the seasonally varying sea ice is correlated with the Southern Annular Mode (SAM) and El Nino Southern Oscillation (ENSO). Zooplankton in this region migrate seasonally and overwinter at depth, returning to the surface in spring. During +SAM/La Nina periods, the at-depth overwintering period is shorter compared to -SAM/El Nino periods, and return to the surface layers starts earlier in the year. These differences may result from the higher sea ice cover and decreased NPP during +SAM/La Nina periods. This observation points to a new link between global climate fluctuations and the polar marine food web.</t>
  </si>
  <si>
    <t>[La, Hyoung Sul; Park, Keyhong; Yang, Eun Jin; Kim, Tae-Wan; Shin, Hyoung Chul; Lee, SangHoon; Ha, Ho Kyung] Korea Polar Res Inst, Incheon, South Korea; [Wahlin, Anna] Univ Gothenburg, Dept Marine Sci, Gothenburg, Sweden; [Arrigo, Kevin R.] Stanford Univ, Dept Earth Syst Sci, Stanford, CA 94305 USA; [Kim, Dong Seon] Korea Inst Ocean Sci &amp; Technol, Busan, South Korea; [Atkinson, Angus] Plymouth Marine Lab, Plymouth, Devon, England; [Fielding, Sophie] British Antarctic Survey, Cambridge, England; [Im, Jungho] Ulsan Natl Inst Sci &amp; Technol, Ulsan, South Korea; [Ha, Ho Kyung] Inha Univ, Dept Ocean Sci, Incheon, South Korea</t>
  </si>
  <si>
    <t>Korea Polar Research Institute (KOPRI); University of Gothenburg; Stanford University; Korea Institute of Ocean Science &amp; Technology (KIOST); Plymouth Marine Laboratory; UK Research &amp; Innovation (UKRI); Natural Environment Research Council (NERC); NERC British Antarctic Survey; Ulsan National Institute of Science &amp; Technology (UNIST); Inha University</t>
  </si>
  <si>
    <t>Ha, HK (corresponding author), Korea Polar Res Inst, Incheon, South Korea.;Ha, HK (corresponding author), Inha Univ, Dept Ocean Sci, Incheon, South Korea.</t>
  </si>
  <si>
    <t>hahk@inha.ac.kr</t>
  </si>
  <si>
    <t>Kim, Tae-Wan/JGM-9981-2023; Im, Jungho/K-6257-2017; Atkinson, Angus/HOH-3417-2023; Fielding, Sophie/E-5137-2012; Ha, Ho Kyung/HCH-4138-2022; Wahlin, Anna/U-3790-2017</t>
  </si>
  <si>
    <t>Kim, Tae-Wan/0000-0001-5257-7256; Wahlin, Anna/0000-0003-1799-6476; Yang, Eun Jin/0000-0002-8639-5968; La, Hyoung Sul/0000-0003-1285-580X; Arrigo, Kevin/0000-0002-7364-876X</t>
  </si>
  <si>
    <t>K-Polar Program of KOPRI [PE19060]; Swedish Research Council [2013-5273]; National Research Foundation of Korea [NRF-2015K2A3A1000201]; NASA Headquarters; NERC [bas0100035, pml010004] Funding Source: UKRI</t>
  </si>
  <si>
    <t>K-Polar Program of KOPRI(Korea Polar Research Institute of Marine Research Placement (KOPRI)); Swedish Research Council(Swedish Research Council); National Research Foundation of Korea(National Research Foundation of Korea); NASA Headquarters(National Aeronautics &amp; Space Administration (NASA)); NERC(UK Research &amp; Innovation (UKRI)Natural Environment Research Council (NERC))</t>
  </si>
  <si>
    <t>This work was supported by the K-Polar Program (PE19060) of KOPRI, Swedish Research Council (2013-5273) and the National Research Foundation of Korea (NRF-2015K2A3A1000201). The authors acknowledge G.L. van Dijken for providing the net primary production data. We acknowledge the use of data products or imagery from the Land, Atmosphere Near real-time Capability for EOS (LANCE) system operated by NASA's Earth Science Data and Information System (ESDIS) with funding provided by NASA Headquarters. We thank all our colleagues on the Amundsen cruise including the captains and crews of the RVIBs Araon and Oden for their enthusiastic support at sea.</t>
  </si>
  <si>
    <t>10.1038/s41598-019-46423-1</t>
  </si>
  <si>
    <t>II6GS</t>
  </si>
  <si>
    <t>WOS:000475292700009</t>
  </si>
  <si>
    <t>Sarkar, S; Basak, C; Frank, M; Berndt, C; Huuse, M; Badhanis, S; Bialas, J</t>
  </si>
  <si>
    <t>Sarkar, Sudipta; Basak, Chandranath; Frank, Martin; Berndt, Christian; Huuse, Mads; Badhanis, Shray; Bialas, Joerg</t>
  </si>
  <si>
    <t>Late Eocene onset of the Proto-Antarctic Circumpolar Current</t>
  </si>
  <si>
    <t>EASTERN NEW-ZEALAND; FOSSIL FISH TEETH; SOUTHERN-OCEAN; DEEP-WATER; PACIFIC-OCEAN; CLIMATE-CHANGE; BOUNTY TROUGH; SEAWATER SR; CIRCULATION; EVOLUTION</t>
  </si>
  <si>
    <t>The formation of the Antarctic Circumpolar Current (ACC) is critical for the evolution of the global climate, but the timing of its onset is not well constrained. Here, we present new seismic evidence of widespread Late Eocene to Oligocene marine diagenetic chert in sedimentary drift deposits east of New Zealand indicating prolonged periods of blooms of siliceous microorganisms starting similar to 36 million years ago (Ma). These major blooms reflect the initiation of the arrival and upwelling of northern-sourced, nutrient-rich deep equatorial Pacific waters at the high latitudes of the South Pacific. We show that this change in circulation was linked to the initiation of a proto-ACC, which occurred similar to 6 Ma earlier than the currently estimated onset of the ACC at 30 Ma. We propose that the associated increased primary productivity and carbon burial facilitated atmospheric carbon dioxide reduction contributing to the expansion of Antarctic Ice Sheet at the Eocene-Oligocene Transition.</t>
  </si>
  <si>
    <t>[Sarkar, Sudipta] Indian Inst Sci Educ &amp; Res Pune, Dept Earth &amp; Climate Sci, Pune 411008, Maharashtra, India; [Basak, Chandranath] Calif State Univ, Dept Geol Sci, Bakersfield, CA 93311 USA; [Frank, Martin; Berndt, Christian; Bialas, Joerg] GEOMAR Helmholtz Ctr Ocean Res, D-24148 Kiel, Germany; [Huuse, Mads] Univ Manchester, Sch Earth &amp; Environm Sci, Manchester M13 9PL, Lancs, England; [Badhanis, Shray] IFREMER, Unite Rech Geosci Marines, Ctr Bretagne, 1625 Route St Anne, F-29280 Plouzane, France</t>
  </si>
  <si>
    <t>Indian Institute of Science Education &amp; Research (IISER) Pune; California State University System; California State University Bakersfield; Helmholtz Association; GEOMAR Helmholtz Center for Ocean Research Kiel; University of Manchester; Universite de Bretagne Occidentale; Ifremer</t>
  </si>
  <si>
    <t>Sarkar, S (corresponding author), Indian Inst Sci Educ &amp; Res Pune, Dept Earth &amp; Climate Sci, Pune 411008, Maharashtra, India.</t>
  </si>
  <si>
    <t>sudipta@iiserpune.ac.in</t>
  </si>
  <si>
    <t>Sarkar, Sudipta/HTR-4449-2023; Sarkar, Sudipta/JFJ-2512-2023; Berndt, Christian/GVS-3279-2022; Huuse, Mads/O-9960-2014; Bialas, Joerg/A-7207-2015</t>
  </si>
  <si>
    <t>Berndt, Christian/0000-0001-5055-0180; Huuse, Mads/0000-0002-1766-4343; Frank, Martin/0000-0002-8606-4421; Bialas, Joerg/0000-0001-8802-5277; Basak, Chandranath/0000-0002-9410-0074; Badhani, Shray/0000-0001-8432-4042; Sarkar, Sudipta/0000-0001-8382-3114</t>
  </si>
  <si>
    <t>German Ministry of Education and Science (BMBF) [03G0226]</t>
  </si>
  <si>
    <t>German Ministry of Education and Science (BMBF)(Federal Ministry of Education &amp; Research (BMBF))</t>
  </si>
  <si>
    <t>Seismic data used in the study can be obtained from http://www.nzpam.govt.nz/. Karsten Gohl and Gabriele Uenzelmann-Neben (Alfred Wegener Institute, Helmholtz-Centre for Polar and Marine Research) are thanked for sharing two seismic profiles. Data analysis was carried out using IHS Kingdom (https://kingdom.ihs.com/), GeoTeric (TM) (ffA, http://www.geoteric.com/), and TemisFlow (http://www.beicip.com/), who all provided educational software licenses to the Indian Institute of Science Education and Research, Pune. S.S. thanks Ingo Klaucke for constructive discussions. We thank Dr. Francisco Javier Hernandez-Molina and an anonymous reviewer for their helpful comments. The German Ministry of Education and Science (BMBF) (grant number 03G0226) funded the RV Sonne cruise SO226. During the cruise, new seismic profiles were collected on the Chatham Rise, and they helped to improve the seismic stratigraphy.</t>
  </si>
  <si>
    <t>NATURE RESEARCH</t>
  </si>
  <si>
    <t>10.1038/s41598-019-46253-1</t>
  </si>
  <si>
    <t>II6GW</t>
  </si>
  <si>
    <t>WOS:000475293200027</t>
  </si>
  <si>
    <t>Schwarz, R; Hoving, HJ; Noever, C; Piatkowski, U</t>
  </si>
  <si>
    <t>Schwarz, Richard; Hoving, Henk-Jan; Noever, Christoph; Piatkowski, Uwe</t>
  </si>
  <si>
    <t>Life histories of Antarctic incirrate octopods (Cephalopoda: Octopoda)</t>
  </si>
  <si>
    <t>AGE VALIDATION; REPRODUCTIVE-BIOLOGY; DEEP-SEA; LEPTONYCHOTES-WEDDELLII; SOUTHERN-OCEAN; GROWTH; ADELIELEDONE; TEMPERATURE; GRANELEDONE; PRECISION</t>
  </si>
  <si>
    <t>As a general trend in the life history of marine organisms, species inhabiting cold waters have reduced growth rates and increased lifespans. Studies based on egg sizes and brooding times of deep-sea and polar octopods support this hypothesis, but empirical data on growth are still scarce. To test the hypothesis that octopods inhabiting cold waters (&lt;3 degrees C) live longer than temperate and warm water species, this study investigated size -at -age, maturation and growth rates in incirrate Antarctic octopods. Octopod age was estimated via the interpretation and quantification of beak growth increments, which in shallow water octopods have been validated to be formed on a daily basis. Specimens from the families Megaleledonidae (Adelieledone spp., Pareledone spp. and Megaleledone setebos) and Enteroctopodidae (Muusoctopus rigbyae) were collected on the shelf and slope regions off the Antarctic Peninsula during a cruise in 2012. Examined specimens included early juveniles to animals in advanced maturity. The total number of growth increments ranged from 192-599 in Pareledone aequipapillae (body mass [BM] 2-109 g), 182-431 in Pareledone charcoti (BM 5-124 g), 98-906 in M. setebos (BM 10-6000 g) and 207-425 in M. rigbyae (BM 24-256 g). After the cruise, eleven specimens of P. charcoti were kept alive in captivity for more than 12 months and these animals had 219-364 growth increments, suggesting that increment formation in this species takes longer than one day. The complex population structure (size, age and maturity range) of the specimens that were captured during a relatively short time, the number of beak increments quantified, and the preliminary validation observations indicate that Antarctic octopods do not deposit increments daily, and may have lifespans exceeding 3 years. These findings corroborate the general trend that cold water molluscs have a longer lifespan than their warm water relatives.</t>
  </si>
  <si>
    <t>[Schwarz, Richard; Hoving, Henk-Jan; Piatkowski, Uwe] GEOMAR Helmholtz Ctr Ocean Res Kiel, Evolutionary Ecol Marine Fishes, Kiel, Germany; [Noever, Christoph] Univ Bergen, Dept Biol Sci, Bergen, Norway</t>
  </si>
  <si>
    <t>Helmholtz Association; GEOMAR Helmholtz Center for Ocean Research Kiel; University of Bergen</t>
  </si>
  <si>
    <t>Schwarz, R (corresponding author), GEOMAR Helmholtz Ctr Ocean Res Kiel, Evolutionary Ecol Marine Fishes, Kiel, Germany.</t>
  </si>
  <si>
    <t>ricschwarz@gmail.com</t>
  </si>
  <si>
    <t>Schwarz, Richard/IQU-3323-2023; Hoving, Henk-Jan T./A-9267-2018; Piatkowski, Uwe/G-4161-2011</t>
  </si>
  <si>
    <t>Schwarz, Richard/0000-0002-0961-5998; Noever, Christoph/0000-0002-1455-4966; Hoving, Henk-Jan T./0000-0002-4330-6507; Piatkowski, Uwe/0000-0003-1558-5817</t>
  </si>
  <si>
    <t>National Council for Scientific and Technological Development (CNPq), Brazil [201585/2015-4]; Land Schleswig-Holstein within the funding program Open Access Publikationsfonds; German Research Foundation (DFG) [HO 5569/1-2]; Cluster of Excellence 80 The Future Ocean [CP1218]; DFG on behalf of the German federal government; DFG on behalf of the German state government</t>
  </si>
  <si>
    <t>National Council for Scientific and Technological Development (CNPq), Brazil(Conselho Nacional de Desenvolvimento Cientifico e Tecnologico (CNPQ)); Land Schleswig-Holstein within the funding program Open Access Publikationsfonds; German Research Foundation (DFG)(German Research Foundation (DFG)); Cluster of Excellence 80 The Future Ocean; DFG on behalf of the German federal government; DFG on behalf of the German state government</t>
  </si>
  <si>
    <t>R.S. was funded by the National Council for Scientific and Technological Development (CNPq), Brazil (grant 201585/2015-4). We acknowledge financial support by Land Schleswig-Holstein within the funding program Open Access Publikationsfonds. We also thank the German Research Foundation (DFG) for providing financial support to HJTH under grants HO 5569/1-2 and a grant CP1218 of the Cluster of Excellence 80 The Future Ocean. The Future Ocean is funded within the framework of the Excellence Initiative by the DFG on behalf of the German federal and state governments.</t>
  </si>
  <si>
    <t>JUL 11</t>
  </si>
  <si>
    <t>e0219694</t>
  </si>
  <si>
    <t>10.1371/journal.pone.0219694</t>
  </si>
  <si>
    <t>IW4LN</t>
  </si>
  <si>
    <t>Green Published, gold, Green Accepted, Green Submitted</t>
  </si>
  <si>
    <t>WOS:000484951800064</t>
  </si>
  <si>
    <t>Penny, SG; Akella, S; Balmaseda, MA; Browne, P; Carton, JA; Chevallier, M; Counillon, F; Dominguess, C; Frolov, S; Heimbach, P; Hogan, P; Hoteit, I; Iovino, D; Laloyaux, P; Martin, MJ; Masina, S; Moore, AM; de Rosnay, P; Schepers, D; Sloyan, BM; Storto, A; Subramanian, A; Nam, S; Vitart, F; Yang, CX; Fujii, Y; Zuo, H; O'Kane, T; Sandery, P; Moore, T; Chapman, CC</t>
  </si>
  <si>
    <t>Penny, Stephen G.; Akella, Santha; Balmaseda, Magdalena A.; Browne, Philip; Carton, James A.; Chevallier, Matthieu; Counillon, Francois; Dominguess, Catia; Frolov, Sergey; Heimbach, Patrick; Hogan, Patrick; Hoteit, Ibrahim; Iovino, Doroteaciro; Laloyaux, Patrick; Martin, Matthew J.; Masina, Simona; Moore, Andrew M.; de Rosnay, Patricia; Schepers, Dinand; Sloyan, Bernadette M.; Storto, Andrea; Subramanian, Aneesh; Nam, SungHyun; Vitart, Frederic; Yang, Chunxue; Fujii, Yosuke; Zuo, Hao; O'Kane, Terry; Sandery, Paul; Moore, Thomas; Chapman, Christopher C.</t>
  </si>
  <si>
    <t>Observational Needs for Improving Ocean and Coupled Reanalysis, S2S Prediction, and Decadal Prediction</t>
  </si>
  <si>
    <t>data assimilation; reanalysis; coupled data assimilation; S2S prediction; decadal prediction; ocean observation network; ocean data assimilation; ocean reanalysis</t>
  </si>
  <si>
    <t>SEA-SURFACE TEMPERATURE; DATA ASSIMILATION SYSTEM; NUMERICAL WEATHER PREDICTION; INTERCOMPARISON PROJECT; OBSERVING SYSTEM; NORTH-ATLANTIC; SALINITY DATA; HEAT-CONTENT; FRESH-WATER; PART 1</t>
  </si>
  <si>
    <t>Developments in observing system technologies and ocean data assimilation (DA) are symbiotic. New observation types lead to new DA methods and new DA methods, such as coupled DA, can change the value of existing observations or indicate where new observations can have greater utility for monitoring and prediction. Practitioners of DA are encouraged to make better use of observations that are already available, for example, taking advantage of strongly coupled DA so that ocean observations can be used to improve atmospheric analyses and vice versa. Ocean reanalyses are useful for the analysis of climate as well as the initialization of operational long-range prediction models. There are many remaining challenges for ocean reanalyses due to biases and abrupt changes in the ocean-observing system throughout its history, the presence of biases and drifts in models, and the simplifying assumptions made in DA solution methods. From a governance point of view, more support is needed to bring the ocean-observing and DA communities together. For prediction applications, there is wide agreement that protocols are needed for rapid communication of ocean-observing data on numerical weather prediction (NWP) timescales. There is potential for new observation types to enhance the observing system by supporting prediction on multiple timescales, ranging from the typical timescale of NWP, covering hours to weeks, out to multiple decades. Better communication between DA and observation communities is encouraged in order to allow operational prediction centers the ability to provide guidance for the design of a sustained and adaptive observing network.</t>
  </si>
  <si>
    <t>[Penny, Stephen G.; Carton, James A.] Univ Maryland, Dept Atmospher &amp; Ocean Sci, College Pk, MD 20742 USA; [Akella, Santha] NOAA, Goddard Space Flight Ctr, Greenbelt, MD USA; [Balmaseda, Magdalena A.; Browne, Philip; Laloyaux, Patrick; de Rosnay, Patricia; Schepers, Dinand; Vitart, Frederic; Zuo, Hao] European Ctr Medium Range Weather Forecasts, Reading, Berks, England; [Chevallier, Matthieu] Meteo France, Toulouse, France; [Counillon, Francois] Nansen Environm &amp; Remote Sensing Ctr, Bergen, Norway; [Dominguess, Catia] Antarctic Climate &amp; Ecosyst Cooperat Res Ctr, Hobart, Tas, Australia; [Frolov, Sergey] Naval Res Lab, Monterey, CA USA; [Heimbach, Patrick] Univ Texas Austin, Austin, TX 78712 USA; [Hogan, Patrick] Naval Res Lab, Stennis Space Ctr, MS USA; [Hoteit, Ibrahim] King Abdullah Univ Sci &amp; Technol, Thuwal, Saudi Arabia; [Iovino, Doroteaciro; Masina, Simona] Euromediterranean Ctr Climate Change, Lecce, Italy; [Martin, Matthew J.] Met Off, Exeter, Devon, England; [Moore, Andrew M.] Univ Calif Santa Cruz, Santa Cruz, CA 95064 USA; [Sloyan, Bernadette M.; O'Kane, Terry; Sandery, Paul; Moore, Thomas; Chapman, Christopher C.] Commonwealth Sci &amp; Ind Res Org, Canberra, ACT, Australia; [Storto, Andrea] NATO Ctr Maritime Res &amp; Expt, La Spezia, Italy; [Subramanian, Aneesh] Univ Colorado, Dept Atmospher &amp; Ocean Sci, Boulder, CO 80309 USA; [Nam, SungHyun] Seoul Natl Univ, Seoul, South Korea; [Yang, Chunxue] CNR, Ist Sci Marine, Rome, Italy; [Fujii, Yosuke] JMA Meteorol Res Inst, Tsukuba, Ibaraki, Japan</t>
  </si>
  <si>
    <t>University System of Maryland; University of Maryland College Park; National Aeronautics &amp; Space Administration (NASA); NASA Goddard Space Flight Center; National Oceanic Atmospheric Admin (NOAA) - USA; European Centre for Medium-Range Weather Forecasts (ECMWF); Nansen Environmental &amp; Remote Sensing Center (NERSC); Antarctic Climate &amp; Ecosystems Cooperative Research Centre (ACE CRC); United States Department of Defense; United States Navy; Naval Research Laboratory; University of Texas System; University of Texas Austin; United States Department of Defense; United States Navy; Naval Research Laboratory; King Abdullah University of Science &amp; Technology; Centro Euro-Mediterraneo sui Cambiamenti Climatici (CMCC); Met Office - UK; University of California System; University of California Santa Cruz; Commonwealth Scientific &amp; Industrial Research Organisation (CSIRO); NATO (North Atlantic Treaty Organisation); University of Colorado System; University of Colorado Boulder; Seoul National University (SNU); Consiglio Nazionale delle Ricerche (CNR); Istituto di Scienze Marine (ISMAR-CNR)</t>
  </si>
  <si>
    <t>Penny, SG (corresponding author), Univ Maryland, Dept Atmospher &amp; Ocean Sci, College Pk, MD 20742 USA.</t>
  </si>
  <si>
    <t>Steve.Penny@noaa.gov</t>
  </si>
  <si>
    <t>Domingues, Catia M./A-2901-2015; Subramanian, Aneesh/AFP-8577-2022; Subramanian, Aneesh/AAD-5486-2021; carton, james/C-4807-2009; Storto, Andrea/AAH-3823-2019; Sloyan, Bernadette/N-8989-2014; Penny, Stephen G./AAM-8531-2020; Iovino, Doroteaciro/E-9759-2015; O'Kane, Terence/AAV-1123-2021; Chapman, Christopher/AAV-2844-2021; de Rosnay, Patricia/AAG-3944-2019; Moore, Thomas/AAU-9480-2021; Yang, Chunxue/ADC-1011-2022; O'Kane, Terence J/B-1655-2009; Nam, SungHyun/M-8610-2019; Heimbach, Patrick/K-3530-2013</t>
  </si>
  <si>
    <t>Domingues, Catia M./0000-0001-5100-4595; Subramanian, Aneesh/0000-0001-7805-0102; carton, james/0000-0003-0598-5198; Storto, Andrea/0000-0003-3856-8905; Sloyan, Bernadette/0000-0003-0250-0167; Penny, Stephen G./0000-0002-5223-8307; Iovino, Doroteaciro/0000-0001-5132-7255; O'Kane, Terence/0000-0002-2137-5915; Chapman, Christopher/0000-0002-0877-4778; de Rosnay, Patricia/0000-0002-7374-3820; Moore, Thomas/0000-0003-3930-1946; Yang, Chunxue/0000-0002-7244-7114; O'Kane, Terence J/0000-0002-2137-5915; Nam, SungHyun/0000-0002-3338-0105; Zuo, Hao/0000-0003-0860-5832; Sandery, Paul/0000-0002-1551-5408; Frolov, Sergey/0000-0002-9081-1979; Heimbach, Patrick/0000-0003-3925-6161; Hoteit, Ibrahim/0000-0002-3751-4393; Fujii, Yosuke/0000-0002-9230-3134; Counillon, Francois/0000-0002-6412-3806</t>
  </si>
  <si>
    <t>National Oceanographic and Atmospheric Administration (NOAA) via the National Environmental Satellite, Data, and Information Service (NESDIS); National Oceanographic and Atmospheric Administration (NOAA) via Next Generation Global Prediction System (NGGPS) Research to Operations (R2O) program; CSIROs Decadal Climate Forecasting Project; NASA [NNH15ZDA001N-MAP]; NSF-OPP [1750035]; Climate Prediction Office (CPO); Office of Polar Programs (OPP); Directorate For Geosciences [1750035] Funding Source: National Science Foundation</t>
  </si>
  <si>
    <t>National Oceanographic and Atmospheric Administration (NOAA) via the National Environmental Satellite, Data, and Information Service (NESDIS); National Oceanographic and Atmospheric Administration (NOAA) via Next Generation Global Prediction System (NGGPS) Research to Operations (R2O) program; CSIROs Decadal Climate Forecasting Project; NASA(National Aeronautics &amp; Space Administration (NASA)); NSF-OPP(National Science Foundation (NSF)NSF - Directorate for Geosciences (GEO)); Climate Prediction Office (CPO); Office of Polar Programs (OPP); Directorate For Geosciences(National Science Foundation (NSF)NSF - Directorate for Geosciences (GEO))</t>
  </si>
  <si>
    <t>SP was supported by the National Oceanographic and Atmospheric Administration (NOAA) via the National Environmental Satellite, Data, and Information Service (NESDIS), and the Next Generation Global Prediction System (NGGPS) Research to Operations (R2O) program, and the Climate Prediction Office (CPO). BS, TO'K, PS, TM, and CC were supported by CSIROs Decadal Climate Forecasting Project. PH is supported in part by NASA #NNH15ZDA001N-MAP and NSF-OPP #1750035.</t>
  </si>
  <si>
    <t>10.3389/fmars.2019.00391</t>
  </si>
  <si>
    <t>II0RM</t>
  </si>
  <si>
    <t>WOS:000474912800001</t>
  </si>
  <si>
    <t>Wang, J; Nie, GG; Gao, SJ; Xue, CH</t>
  </si>
  <si>
    <t>Wang, Jing; Nie, Guigen; Gao, Shengjun; Xue, Changhu</t>
  </si>
  <si>
    <t>Simultaneous state-parameter estimation of rainfall-induced landslide displacement using data assimilation</t>
  </si>
  <si>
    <t>NATURAL HAZARDS AND EARTH SYSTEM SCIENCES</t>
  </si>
  <si>
    <t>HYDROLOGIC DATA ASSIMILATION; 3 GORGES RESERVOIR; PARTICLE FILTER; SLOPE DEFORMATIONS; SOIL-MOISTURE; PREDICTION; MODEL</t>
  </si>
  <si>
    <t>Landslide displacement prediction has great practical engineering significance to landslide stability evaluation and early warning. The evolution of landslide is a complex dynamic process, and applying a classical prediction method will result in significant error. The data assimilation method offers a new way to merge multisource data with the model. However, data assimilation is still deficient in the ability to meet the demand of dynamic landslide systems. In this paper, simultaneous state and parameter estimation (SSPE) using particle-filter-based data assimilation is applied to predict displacement of the landslide. A landslide SSPE assimilation strategy can make use of time-series displacements and hydrological information for the joint estimation of landslide displacement and model parameters, which can improve the performance considerably. We select Xishan Village, Sichuan Province, China, as the experiment site to test the SSPE assimilation strategy. Based on the comparison of actual monitoring data with prediction values, results strongly suggest the effectiveness and feasibility of the SSPE assimilation strategy in short-term landslide displacement estimation.</t>
  </si>
  <si>
    <t>[Wang, Jing; Nie, Guigen; Xue, Changhu] Wuhan Univ, GNSS Res Ctr, Wuhan 430079, Hubei, Peoples R China; [Nie, Guigen] Collaborat Innovat Ctr Geospatial Informat Techno, Wuhan 430079, Hubei, Peoples R China; [Gao, Shengjun] Chinese Antarctic Ctr Surveying &amp; Mapping, Wuhan 430079, Hubei, Peoples R China</t>
  </si>
  <si>
    <t>Wuhan University</t>
  </si>
  <si>
    <t>Nie, GG (corresponding author), Wuhan Univ, GNSS Res Ctr, Wuhan 430079, Hubei, Peoples R China.;Nie, GG (corresponding author), Collaborat Innovat Ctr Geospatial Informat Techno, Wuhan 430079, Hubei, Peoples R China.</t>
  </si>
  <si>
    <t>ggnie@whu.edu.cn</t>
  </si>
  <si>
    <t>National Program on Key Basic Research Project of China [2013CB733205]</t>
  </si>
  <si>
    <t>National Program on Key Basic Research Project of China(National Basic Research Program of China)</t>
  </si>
  <si>
    <t>This research has been supported by the National Program on Key Basic Research Project of China (grant no. 2013CB733205).</t>
  </si>
  <si>
    <t>1561-8633</t>
  </si>
  <si>
    <t>NAT HAZARD EARTH SYS</t>
  </si>
  <si>
    <t>Nat. Hazards Earth Syst. Sci.</t>
  </si>
  <si>
    <t>10.5194/nhess-19-1387-2019</t>
  </si>
  <si>
    <t>Geosciences, Multidisciplinary; Meteorology &amp; Atmospheric Sciences; Water Resources</t>
  </si>
  <si>
    <t>Geology; Meteorology &amp; Atmospheric Sciences; Water Resources</t>
  </si>
  <si>
    <t>II0PW</t>
  </si>
  <si>
    <t>WOS:000474908600002</t>
  </si>
  <si>
    <t>Lucieer, V; Barrett, N; Butler, C; Flukes, E; Ierodiaconou, D; Ingleton, T; Jordan, A; Monk, J; Meeuwig, J; Porter-Smith, R; Smit, N; Walsh, P; Wright, A; Johnson, C</t>
  </si>
  <si>
    <t>Lucieer, Vanessa; Barrett, Neville; Butler, Claire; Flukes, Emma; Ierodiaconou, Daniel; Ingleton, Tim; Jordan, Alan; Monk, Jacquomo; Meeuwig, Jessica; Porter-Smith, Rick; Smit, Neil; Walsh, Peter; Wright, Alison; Johnson, Craig</t>
  </si>
  <si>
    <t>A seafloor habitat map for the Australian continental shelf</t>
  </si>
  <si>
    <t>SCIENTIFIC DATA</t>
  </si>
  <si>
    <t>Here we outline the genesis of Seamap Australia, which integrates spatial data of the seabed of Australia's continental shelf (0-200 m depth) from multiple sources to provide a single national map layer of marine habitat. It is underpinned by a hierarchical classification scheme with registered vocabulary, enabling presentation of nationally consistent information at the highest resolution available for any point in space. The Seamap Australia website enables users to delineate particular areas of interest, overlay habitat maps with many other marine data layers, and to directly access the data and metadata underlying the maps they produce. This unique resource represents a step-change in capacity to access and integrate large and diverse marine data holdings and to readily derive information and products to underpin decision making around marine spatial planning and conservation prioritisation, state-of-environment reporting, and research. It is a world first fully integrated national-scale marine mapping and data service.</t>
  </si>
  <si>
    <t>[Lucieer, Vanessa; Barrett, Neville; Butler, Claire; Flukes, Emma; Monk, Jacquomo; Porter-Smith, Rick; Walsh, Peter; Johnson, Craig] Univ Tasmania, Inst Marine &amp; Antarctic Studies, Private Bag 129, Hobart, Tas 7001, Australia; [Ierodiaconou, Daniel] Deakin Univ, Fac Sci Engn &amp; Built Environm, Sch Life &amp; Environm Sci, Sherwood Pk, Warrnambool, Vic 3280, Australia; [Ingleton, Tim] NSW Off Environm &amp; Heritage OEH, 59-61 Goulburn St, Sydney, NSW 2001, Australia; [Jordan, Alan] Port Stephens Fisheries Inst, NSW Dept Primary Ind DPI, Locked Bag 1, Nelson, Bay New South W 2315, Australia; [Meeuwig, Jessica] Univ Western Australia, Sch Biol Sci, 35 Stirling Highway, Crawley, WA 6008, Australia; [Smit, Neil] Northern Terr Govt, DENR, POB 496, Palmerston, NT 0831, Australia; [Wright, Alison] Sci Grp, Dept Environm Water &amp; Nat Resources, Evaluat &amp; Ecol Sci Unit, Level 7,81 Waymouth St, Adelaide, SA 5001, Australia</t>
  </si>
  <si>
    <t>University of Tasmania; Deakin University; Office of Environment &amp; Heritage - New South Wales; NSW Department of Primary Industries; University of Western Australia; Northern Territory Government</t>
  </si>
  <si>
    <t>Lucieer, V (corresponding author), Univ Tasmania, Inst Marine &amp; Antarctic Studies, Private Bag 129, Hobart, Tas 7001, Australia.</t>
  </si>
  <si>
    <t>vanessa.lucieer@utas.edu.au</t>
  </si>
  <si>
    <t>lucieer, vanessa l/D-1697-2009; Ierodiaconou, Daniel A/B-9915-2008; Barrett, Neville/J-7593-2014</t>
  </si>
  <si>
    <t>Barrett, Neville/0000-0002-6167-1356; Meeuwig, Jessica/0000-0003-1169-8785; Flukes, Emma/0000-0003-2749-834X</t>
  </si>
  <si>
    <t>2052-4463</t>
  </si>
  <si>
    <t>SCI DATA</t>
  </si>
  <si>
    <t>Sci. Data</t>
  </si>
  <si>
    <t>10.1038/s41597-019-0126-2</t>
  </si>
  <si>
    <t>IH9SZ</t>
  </si>
  <si>
    <t>WOS:000474848000001</t>
  </si>
  <si>
    <t>Louropoulou, E; Gledhill, M; Browningi, TJ; Desai, DK; Barraqueta, JLM; Tonnard, M; Sarthou, G; Planquette, H; Bowie, AR; Schmitz, RA; LaRoche, J; Achterberg, EP</t>
  </si>
  <si>
    <t>Louropoulou, Evangelia; Gledhill, Martha; Browningi, Thomas J.; Desai, Dhwani K.; Barraqueta, Jan-Lukas Menzel; Tonnard, Manon; Sarthou, Geraldine; Planquette, Helene; Bowie, Andrew R.; Schmitz, Ruth A.; LaRoche, Julie; Achterberg, Eric P.</t>
  </si>
  <si>
    <t>Regulation of the Phytoplankton Heme b Iron Pool During the North Atlantic Spring Bloom</t>
  </si>
  <si>
    <t>heme b; North Atlantic; phytoplankton; diatoms; iron; limitation; GEOTRACES; GEOVIDE</t>
  </si>
  <si>
    <t>DEEP CHLOROPHYLL MAXIMUM; MARINE-PHYTOPLANKTON; PACIFIC-OCEAN; PRIMARY PRODUCTIVITY; COMMUNITY STRUCTURE; ELECTRON-TRANSPORT; LIGHT INTERACTIONS; IRMINGER BASIN; QUANTUM YIELD; CO-LIMITATION</t>
  </si>
  <si>
    <t>Heme b is an iron-containing co-factor in hemoproteins. Heme b concentrations are low (&lt; 1 pmol L-1) in iron limited phytoplankton in cultures and in the field. Here, we determined heme b in marine particulate material (&gt; 0.7 mu m) from the North Atlantic Ocean (GEOVIDE cruise - GEOTRACES section GA01), which spanned several biogeochemical regimes. We examined the relationship between heme b abundance and the microbial community composition, and its utility for mapping iron limited phytoplankton. Heme b concentrations ranged from 0.16 to 5.1 pmol L-1 (median = 2.0 pmol L-1, n = 62) in the surface mixed layer (SML) along the cruise track, driven mainly by variability in biomass. However, in the Irminger Basin, the lowest heme b levels (SML: median = 0.53 pmol L-1, n = 12) were observed, whilst the biomass was highest (particulate organic carbon, median = 14.2 mu mol L-1, n = 25; chlorophyll a: median = 2.0 nmol L-1, n = 23) pointing to regulatory mechanisms of the heme b pool for growth conservation. Dissolved iron (DFe) was not depleted (SML: median = 0.38 nmol L-1, n = 11) in the Irminger Basin, but large diatoms (Rhizosolenia sp.) dominated. Hence, heme b depletion and regulation is likely to occur during bloom progression when phytoplankton class-dependent absolute iron requirements exceed the available ambient concentration of DFe. Furthermore, high heme b concentrations found in the Iceland Basin and Labrador Sea (median = 3.4 pmol L-1, n = 20), despite having similar DFe concentrations to the Irminger Basin, were attributed to an earlier growth phase of the extant phytoplankton populations. Thus, heme b provides a snapshot of the cellular activity in situ and could both be used as indicator of iron limitation and contribute to understanding phytoplankton adaptation mechanisms to changing iron supplies.</t>
  </si>
  <si>
    <t>[Louropoulou, Evangelia; Gledhill, Martha; Browningi, Thomas J.; Barraqueta, Jan-Lukas Menzel; Achterberg, Eric P.] GEOMAR Helmholtz Ctr Ocean Res Kiel, Kiel, Germany; [Louropoulou, Evangelia; Schmitz, Ruth A.] Christian Albrechts Univ Kiel, Inst Gen Microbiol, Kiel, Germany; [Desai, Dhwani K.; LaRoche, Julie] Dalhousie Univ, Dept Biol, Halifax, NS, Canada; [Barraqueta, Jan-Lukas Menzel] Stellenbosch Univ, Dept Earth Sci, Stellenbosch, South Africa; [Tonnard, Manon; Sarthou, Geraldine; Planquette, Helene] UBO, IFREMER, CNRS, UMR 6539,LEMAR,IUEM,IRD, Brest, France; [Tonnard, Manon; Bowie, Andrew R.] Antarctic Climate &amp; Ecosyst Cooperat Res Ctr, Hobart, Tas, Australia; [Tonnard, Manon; Bowie, Andrew R.] Univ Tasmania, Inst Marine &amp; Antarctic Studies, Hobart, Tas, Australia</t>
  </si>
  <si>
    <t>Helmholtz Association; GEOMAR Helmholtz Center for Ocean Research Kiel; University of Kiel; Dalhousie University; Stellenbosch University; Universite de Bretagne Occidentale; Institut Universitaire Europeen de la Mer (IUEM); Centre National de la Recherche Scientifique (CNRS); Ifremer; Institut de Recherche pour le Developpement (IRD); CNRS - Institute of Ecology &amp; Environment (INEE); Antarctic Climate &amp; Ecosystems Cooperative Research Centre (ACE CRC); University of Tasmania</t>
  </si>
  <si>
    <t>Louropoulou, E (corresponding author), GEOMAR Helmholtz Ctr Ocean Res Kiel, Kiel, Germany.;Louropoulou, E (corresponding author), Christian Albrechts Univ Kiel, Inst Gen Microbiol, Kiel, Germany.</t>
  </si>
  <si>
    <t>elouropoulou@geomar.de</t>
  </si>
  <si>
    <t>Browning, Thomas J/B-8451-2019; Gledhill, Martha/D-2819-2009; LaRoche, Julie/A-1109-2010; Desai, Dhwani/AAA-4237-2020; Barraqueta, Jan-Lukas Menzel/AAI-2093-2019; Achterberg, Eric P/C-5820-2009; Bowie, Andrew/C-8677-2013</t>
  </si>
  <si>
    <t>Browning, Thomas J/0000-0002-2864-6087; Gledhill, Martha/0000-0003-3859-2112; Desai, Dhwani/0000-0002-1447-5360; LaRoche, Julie/0000-0003-4809-6411; Sarthou, Geraldine/0000-0001-6560-6669; Menzel Barraqueta, Jan Lukas/0000-0002-9735-1231; Bowie, Andrew/0000-0002-5144-7799</t>
  </si>
  <si>
    <t>French National Research Agency [ANR-13-BS06-0014, ANR-12-PDOC-0025-01]; French National Center for Scientific Research (CNRS-LEFE-CYBER); LabexMER [ANR-10-LABX-19]; Ifremer; Helmholtz Research School for Ocean System Science and Technology (HOSST); Transatlantic Ocean System Science and Technology (TOSST); Natural Sciences and Engineering Research Council of Canada (NSERC); Ocean Frontier Institute (OFI); Agence Nationale de la Recherche (ANR) [ANR-13-BS06-0014, ANR-12-PDOC-0025] Funding Source: Agence Nationale de la Recherche (ANR)</t>
  </si>
  <si>
    <t>French National Research Agency(Agence Nationale de la Recherche (ANR)); French National Center for Scientific Research (CNRS-LEFE-CYBER); LabexMER; Ifremer; Helmholtz Research School for Ocean System Science and Technology (HOSST); Transatlantic Ocean System Science and Technology (TOSST); Natural Sciences and Engineering Research Council of Canada (NSERC)(Natural Sciences and Engineering Research Council of Canada (NSERC)); Ocean Frontier Institute (OFI); Agence Nationale de la Recherche (ANR)(Agence Nationale de la Recherche (ANR))</t>
  </si>
  <si>
    <t>This work was supported financially by the French National Research Agency (ANR-13-BS06-0014 and ANR-12-PDOC-0025-01), the French National Center for Scientific Research (CNRS-LEFE-CYBER), the LabexMER (ANR-10-LABX-19), the Ifremer, the Helmholtz Research School for Ocean System Science and Technology (HOSST), the Transatlantic Ocean System Science and Technology (TOSST), the Natural Sciences and Engineering Research Council of Canada (NSERC) with a Discovery Grant to JLR, and the Ocean Frontier Institute (OFI).</t>
  </si>
  <si>
    <t>10.3389/fmicb.2019.01566</t>
  </si>
  <si>
    <t>II0WQ</t>
  </si>
  <si>
    <t>WOS:000474926600001</t>
  </si>
  <si>
    <t>Chau, JH; Born, C; McGeoch, MA; Bergstrom, D; Shaw, J; Terauds, A; Mairal, M; Le Roux, JJ; van Vuuren, BJ</t>
  </si>
  <si>
    <t>Chau, John H.; Born, Celine; McGeoch, Melodie A.; Bergstrom, Dana; Shaw, Justine; Terauds, Aleks; Mairal, Mario; Le Roux, Johannes J.; van Vuuren, Bettine Jansen</t>
  </si>
  <si>
    <t>The influence of landscape, climate and history on spatial genetic patterns in keystone plants (Azorella) on sub-Antarctic islands</t>
  </si>
  <si>
    <t>MOLECULAR ECOLOGY</t>
  </si>
  <si>
    <t>direction-dependent dispersal; genetic diversity; Macquarie Island; Marion Island; microsatellites; spatial genetic structure</t>
  </si>
  <si>
    <t>SOUTHERN-OCEAN ISLANDS; MARION-ISLAND; COMPUTER-PROGRAM; MACQUARIE ISLAND; POPULATION; PHYLOGEOGRAPHY; BIOGEOGRAPHY; TERRESTRIAL; VEGETATION; DISPERSAL</t>
  </si>
  <si>
    <t>The distribution of genetic variation in species is governed by factors that act differently across spatial scales. To tease apart the contribution of different processes, especially at intermediate spatial scales, it is useful to study simple ecosystems such as those on sub-Antarctic oceanic islands. In this study, we characterize spatial genetic patterns of two keystone plant species, Azorella selago on sub-Antarctic Marion Island and Azorella macquariensis on sub-Antarctic Macquarie Island. Although both islands experience a similar climate and have a similar vegetation structure, they differ significantly in topography and geological history. We genotyped six microsatellites for 1,149 individuals from 123 sites across Marion Island and 372 individuals from 42 sites across Macquarie Island. We tested for spatial patterns in genetic diversity, including correlation with elevation and vegetation type, and clines in different directional bearings. We also examined genetic differentiation within islands, isolation-by-distance with and without accounting for direction, and signals of demographic change. Marion Island was found to have a distinct northwest-southeast divide, with lower genetic diversity and more sites with a signal of population expansion in the northwest. We attribute this to asymmetric seed dispersal by the dominant northwesterly winds, and to population persistence in a southwestern refugium during the Last Glacial Maximum. No apparent spatial pattern, but greater genetic diversity and differentiation between sites, was found on Macquarie Island, which may be due to the narrow length of the island in the direction of the dominant winds and longer population persistence permitted by the lack of extensive glaciation on the island. Together, our results clearly illustrate the implications of island shape and geography, and the importance of direction-dependent drivers, in shaping spatial genetic structure.</t>
  </si>
  <si>
    <t>[Chau, John H.; van Vuuren, Bettine Jansen] Univ Johannesburg, Ctr Ecol Genom &amp; Wildlife Conservat, Dept Zool, Auckland Pk, South Africa; [Born, Celine; Mairal, Mario] Stellenbosch Univ, Dept Bot &amp; Zool, Stellenbosch, South Africa; [McGeoch, Melodie A.] Monash Univ, Sch Biol Sci, Ecol Res Grp, Melbourne, Vic, Australia; [Bergstrom, Dana; Terauds, Aleks] Australian Antarctic Div, Kingston, Tas, Australia; [Bergstrom, Dana] Univ Wollongong, Global Challenges Program, Wollongong, NSW, Australia; [Shaw, Justine] Univ Queensland, Sch Biol Sci, Environm Decis Grp, Brisbane, Qld, Australia; [Le Roux, Johannes J.] Macquarie Univ, Dept Biol Sci, Sydney, NSW, Australia</t>
  </si>
  <si>
    <t>University of Johannesburg; Stellenbosch University; Monash University; Melbourne Genomics Health Alliance; Australian Antarctic Division; University of Wollongong; University of Queensland; Macquarie University</t>
  </si>
  <si>
    <t>van Vuuren, BJ (corresponding author), Univ Johannesburg, Ctr Ecol Genom &amp; Wildlife Conservat, Dept Zool, Auckland Pk, South Africa.</t>
  </si>
  <si>
    <t>bettinevv@uj.ac.za</t>
  </si>
  <si>
    <t>Mairal, Mario/H-8911-2019; Bergstrom, Dana/AAC-2837-2022; Terauds, Aleks/A-4991-2010; Chau, John/AAP-4219-2020; Jansen van Vuuren, Bettine/E-6227-2013; McGeoch, Melodie/F-8353-2011</t>
  </si>
  <si>
    <t>Mairal, Mario/0000-0002-6588-5634; Bergstrom, Dana/0000-0001-8484-8954; Chau, John/0000-0002-8913-6451; Jansen van Vuuren, Bettine/0000-0002-5334-5358; Terauds, Aleks/0000-0001-7804-6648; McGeoch, Melodie/0000-0003-3388-2241; Le Roux, Johannes/0000-0001-7911-9810</t>
  </si>
  <si>
    <t>National Research Foundation [GUN 110728]; South African National Research Foundation; University of Johannesburg; AXA Research Fund; South African Department of Environmental Affairs and Tourism: Antarctica and Islands through the South African National Antarctic Program; Australian Antarctic Division; Department of Sustainability, Environment, Water, People and Community, Australia; Tasmanian Parks and Wildlife Service; Stellenbosch University</t>
  </si>
  <si>
    <t>National Research Foundation; South African National Research Foundation(National Research Foundation - South Africa); University of Johannesburg; AXA Research Fund(AXA Research Fund); South African Department of Environmental Affairs and Tourism: Antarctica and Islands through the South African National Antarctic Program; Australian Antarctic Division; Department of Sustainability, Environment, Water, People and Community, Australia; Tasmanian Parks and Wildlife Service; Stellenbosch University</t>
  </si>
  <si>
    <t>National Research Foundation, Grant/Award Number: GUN 110728; South African National Research Foundation; University of Johannesburg; Stellenbosch University; AXA Research Fund; South African Department of Environmental Affairs and Tourism: Antarctica and Islands through the South African National Antarctic Program; Australian Antarctic Division; Department of Sustainability, Environment, Water, People and Community, Australia; Tasmanian Parks and Wildlife Service</t>
  </si>
  <si>
    <t>0962-1083</t>
  </si>
  <si>
    <t>1365-294X</t>
  </si>
  <si>
    <t>MOL ECOL</t>
  </si>
  <si>
    <t>Mol. Ecol.</t>
  </si>
  <si>
    <t>10.1111/mec.15147</t>
  </si>
  <si>
    <t>IS4UG</t>
  </si>
  <si>
    <t>WOS:000477398000001</t>
  </si>
  <si>
    <t>Dammann, DO; Eriksson, LEB; Nghiem, SV; Pettit, EC; Kurtz, NT; Sonntag, JG; Busche, TE; Meyer, FJ; Mahoney, AR</t>
  </si>
  <si>
    <t>Dammann, Dyre O.; Eriksson, Leif E. B.; Nghiem, Son V.; Pettit, Erin C.; Kurtz, Nathan T.; Sonntag, John G.; Busche, Thomas E.; Meyer, Franz J.; Mahoney, Andrew R.</t>
  </si>
  <si>
    <t>Iceberg topography and volume classification using TanDEM-X interferometry</t>
  </si>
  <si>
    <t>SEA-ICE; IMPACT; PENETRATION; RESOLUTION; ANTARCTICA; IMAGES; DEPTH; FJORD; OCEAN; LAND</t>
  </si>
  <si>
    <t>Icebergs in polar regions affect water salinity, alter marine habitats, and impose serious hazards on maritime operations and navigation. These impacts mainly depend on the iceberg volume, which remains an elusive parameter to measure. We investigate the capability of TanDEM-X bistatic single-pass synthetic aperture radar interferometry (InSAR) to derive iceberg subaerial morphology and infer total volume. We cross-verify InSAR results with Operation IceBridge (OIB) data acquired near Wordie Bay, Antarctica, as part of the OIB/TanDEM-X Antarctic Science Campaign (OTASC). While icebergs are typically classified according to size based on length or maximum height, we develop a new volumetric classification approach for applications where iceberg volume is relevant. For icebergs with heights exceeding 5 m, we find iceberg volumes derived from TanDEM-X and OIB data match within 7 %. We also derive a range of possible iceberg keel depths relevant to grounding and potential impacts on subsea installations. These results suggest that TanDEM-X could pave the way for future single-pass interferometric systems for scientific and operational iceberg mapping and classification based on iceberg volume and keel depth.</t>
  </si>
  <si>
    <t>[Dammann, Dyre O.; Eriksson, Leif E. B.] Chalmers Univ Technol, Dept Space Earth &amp; Environm, Gothenburg, Sweden; [Dammann, Dyre O.] StormGeo, Bergen, Norway; [Nghiem, Son V.] CALTECH, Jet Prop Lab, Pasadena, CA USA; [Pettit, Erin C.] Oregon State Univ, Coll Earth Ocean &amp; Atmospher Sci, Corvallis, OR 97331 USA; [Kurtz, Nathan T.; Sonntag, John G.] NASA, Goddard Space Flight Ctr, Greenbelt, MD USA; [Busche, Thomas E.] German Aerosp Ctr, Microwaves &amp; Radar Inst, Oberpfaffenhofen, Germany; [Meyer, Franz J.; Mahoney, Andrew R.] Univ Alaska Fairbanks, Inst Geophys, Fairbanks, AK 99775 USA</t>
  </si>
  <si>
    <t>Chalmers University of Technology; National Aeronautics &amp; Space Administration (NASA); NASA Jet Propulsion Laboratory (JPL); California Institute of Technology; Oregon State University; National Aeronautics &amp; Space Administration (NASA); NASA Goddard Space Flight Center; Helmholtz Association; German Aerospace Centre (DLR); University of Alaska System; University of Alaska Fairbanks</t>
  </si>
  <si>
    <t>Dammann, DO (corresponding author), Chalmers Univ Technol, Dept Space Earth &amp; Environm, Gothenburg, Sweden.;Dammann, DO (corresponding author), StormGeo, Bergen, Norway.</t>
  </si>
  <si>
    <t>dyre.dammann@stormgeo.com</t>
  </si>
  <si>
    <t>Eriksson, Leif E. B./A-8238-2013</t>
  </si>
  <si>
    <t>Eriksson, Leif E. B./0000-0001-7155-333X; Meyer, Franz/0000-0002-2491-526X; Pettit, Erin Christine/0000-0002-6765-9841</t>
  </si>
  <si>
    <t>Swedish National Space Agency [192/15]; StormGeo; Swedish National Space Agency (SNSA) [192/15, 192/15] Funding Source: Swedish National Space Agency (SNSA)</t>
  </si>
  <si>
    <t>Swedish National Space Agency(Swedish National Space Agency (SNSA)); StormGeo; Swedish National Space Agency (SNSA)(Swedish National Space Agency (SNSA))</t>
  </si>
  <si>
    <t>This research has been supported by the Swedish National Space Agency (grant no. 192/15) and StormGeo.</t>
  </si>
  <si>
    <t>JUL 10</t>
  </si>
  <si>
    <t>10.5194/tc-13-1861-2019</t>
  </si>
  <si>
    <t>IH8GX</t>
  </si>
  <si>
    <t>WOS:000474744500001</t>
  </si>
  <si>
    <t>Forrest, AL; Lund-Hansen, LC; Sorrell, BK; Bowden-Floyd, I; Lucieer, V; Cossu, R; Lange, BA; Hawes, I</t>
  </si>
  <si>
    <t>Forrest, Alexander L.; Lund-Hansen, Lars C.; Sorrell, Brian K.; Bowden-Floyd, Isak; Lucieer, Vanessa; Cossu, Remo; Lange, Benjamin A.; Hawes, Ian</t>
  </si>
  <si>
    <t>Exploring Spatial Heterogeneity of Antarctic Sea Ice Algae Using an Autonomous Underwater Vehicle Mounted Irradiance Sensor</t>
  </si>
  <si>
    <t>ice algae; Antarctica; McMurdo; autonomous underwater vehicles; biomass; normalized difference indices</t>
  </si>
  <si>
    <t>HORIZONTAL PATCHINESS; LIGHT-ABSORPTION; SPRING GROWTH; MCMURDO SOUND; LARGE-SCALE; BIOMASS; PHYTOPLANKTON; PRODUCTIVITY; VARIABILITY; MICROALGAE</t>
  </si>
  <si>
    <t>Sea ice algae represent a key energy source for many organisms in polar food webs, but estimating their biomass at ecologically appropriate spatiotemporal scales remains a challenge. Attempts to extend ice-core derived biomass to broader scales using remote sensing approaches has largely focused on the use of under-ice spectral irradiance. Normalized difference index (NDI) based algorithms that relate the attenuation of irradiance by the snow-ice-algal ensemble at specific wavelengths to biomass have been used to explain up to 79% of the biomass of algae in limited areas. Application of these algorithms to datasets collected using tethered remotely operated vehicles (ROVs) has begun, generating methods for spatial sampling at scales and spatial resolution not achievable with ice-core sampling. Successful integration of radiometers with untethered autonomous underwater vehicles (AUVs) offers even greater capability to survey broader regions to explore the spatial heterogeneity of sea ice algal communities. This work describes the pilot use of an AUV fitted with a multispectral irradiance sensor to estimate ice-algal biomass along transects beneath land-fast sea ice (similar to 2 m thick with minimal snow cover) in McMurdo Sound, Antarctica. The AUV obtained continuous, repeatable, multi-band irradiance data, suitable for NDI-type approaches, over transects of 500 m, with an instrument footprint of 4 m in diameter. Algorithms were developed using local measurements of ice algae biomass and spectral attenuation of sea ice and were able to explain 40% of biomass variability. Relatively poor performance of the algorithms in predicting biomass limited the confidence that could be placed in biomass estimates from AUV data. This was attributed to the larger footprint size of the optical sensors integrating small-scale biomass variability more effectively than the ice core in the platelet-dominated ice algal habitat. Our results support continued development of remote-sensing of sea ice algal biomass at m-km spatial scales using optical methods, but caution that footprint sizes of calibration data (e.g., coring) must be compatible with optical sensors used. AUVs offer autonomous survey techniques that could be applied to better understand the horizontal variability of sea ice algae from nearshore ice out to the marginal ice zone.</t>
  </si>
  <si>
    <t>[Forrest, Alexander L.] Univ Calif Davis, Civil &amp; Environm Engn, Davis, CA 95616 USA; [Lund-Hansen, Lars C.; Sorrell, Brian K.] Aarhus Univ, Aquat Biol &amp; Arctic Res Ctr, Dept Biosci, Aarhus, Denmark; [Bowden-Floyd, Isak] Univ Tasmania, Australian Maritime Coll, Launceston, Tas, Australia; [Lucieer, Vanessa] Univ Tasmania, Inst Marine &amp; Antarctic Studies, Hobart, Tas, Australia; [Cossu, Remo] Univ Queensland, Sch Civil Engn, St Lucia, Qld, Australia; [Lange, Benjamin A.] Helmholtz Zentrum Polar &amp; Meeresforsch AWl, Alfred Wegener Inst, Bremerhaven, Germany; [Lange, Benjamin A.] Fisheries &amp; Oceans Canada, Freshwater Inst, Winnipeg, MB, Canada; [Hawes, Ian] Univ Waikato, Coastal Marine Field Stn, Hamilton, New Zealand</t>
  </si>
  <si>
    <t>University of California System; University of California Davis; Aarhus University; University of Tasmania; Australian Maritime College; University of Tasmania; University of Queensland; Helmholtz Association; Alfred Wegener Institute, Helmholtz Centre for Polar &amp; Marine Research; Fisheries &amp; Oceans Canada; University of Waikato</t>
  </si>
  <si>
    <t>Forrest, AL (corresponding author), Univ Calif Davis, Civil &amp; Environm Engn, Davis, CA 95616 USA.</t>
  </si>
  <si>
    <t>alforrest@ucdavis.edu</t>
  </si>
  <si>
    <t>Forrest, Alexander L/C-3765-2014; Cossu, Remo/C-6085-2016; Lange, Benjamin/H-4733-2017; lucieer, vanessa l/D-1697-2009; Lund-Hansen, Lars Chresten/J-8888-2013; Sorrell, Brian/L-1351-2013</t>
  </si>
  <si>
    <t>Cossu, Remo/0000-0002-1712-6692; Lund-Hansen, Lars Chresten/0000-0001-5925-322X; Sorrell, Brian/0000-0002-2460-8438</t>
  </si>
  <si>
    <t>Air New Zealand through the New Zealand Antarctic Research Institute [NZARI-2014-3]; Danish Council for Independent Research [DFF - 1323-00335]; Australian Research Council's Special Research Initiative for the Antarctic Gateway Partnership [SR140300001]; Natural Sciences and Engineering Research Council of Canada (NSERC)</t>
  </si>
  <si>
    <t>Air New Zealand through the New Zealand Antarctic Research Institute; Danish Council for Independent Research(Det Frie Forskningsrad (DFF)); Australian Research Council's Special Research Initiative for the Antarctic Gateway Partnership(Australian Research Council); Natural Sciences and Engineering Research Council of Canada (NSERC)(Natural Sciences and Engineering Research Council of Canada (NSERC))</t>
  </si>
  <si>
    <t>This work was supported by the Air New Zealand through the New Zealand Antarctic Research Institute (Project NZARI-2014-3). In addition, the authors would like to thank the ongoing support of the Danish Council for Independent Research (Project DFF - 1323-00335) and the Australian Research Council's Special Research Initiative for the Antarctic Gateway Partnership (Project ID SR140300001). Griffiths University and the Defense Science and Technology Group (Australia) also contributed through equipment support. BL was partly funded during this study by a visiting fellowship from the Natural Sciences and Engineering Research Council of Canada (NSERC).</t>
  </si>
  <si>
    <t>10.3389/feart.2019.00169</t>
  </si>
  <si>
    <t>II0NS</t>
  </si>
  <si>
    <t>WOS:000474903000001</t>
  </si>
  <si>
    <t>West, AR; Torres, CR; Case, JA; Clarke, JA; O'Connor, PM; Lamanna, MC</t>
  </si>
  <si>
    <t>West, Abagael R.; Torres, Christopher R.; Case, Judd A.; Clarke, Julia A.; O'Connor, Patrick M.; Lamanna, Matthew C.</t>
  </si>
  <si>
    <t>An avian femur from the Late Cretaceous of Vega Island, Antarctic Peninsula: removing the record of cursorial landbirds from the Mesozoic of Antarctica</t>
  </si>
  <si>
    <t>Vegavis; Cretaceous; Antarctica; Femur; Cariamiformes; Anseriformes; Lopez de Bertodano Formation; Maastrichtian; Vega Island; Bird</t>
  </si>
  <si>
    <t>FOSSIL EVIDENCE; AVES; PALEOGENE; BIRDS</t>
  </si>
  <si>
    <t>In 2006, a partial avian femur (South Dakota School of Mines and Technology (SDSM) 78247) from the Upper Cretaceous (Maastrichtian) Sandwich Bluff Member of the Lopez de Bertodano Formation of Sandwich Bluff on Vega Island of the northern Antarctic Peninsula was briefly reported as that of a cariamiform-a clade that includes extant and volant South American species and many extinct flightless and cursorial species. Although other authors have since rejected this taxonomic assignment, SDSM 78247 had never been the subject of a detailed description, hindering a definitive assessment of its affinities. Here we provide the first comprehensive description, illustration, and comparative study of this specimen. Comparison of characters that may be assessed in this femur with those of avian taxa scored in published character matrices refutes the inclusion of SDSM 78247 within Cariamiformes, instead supporting its assignment to a new, as-yet unnamed large-bodied species within the genus Vegavis, and therefore its referral to a clade of semiaquatic anseriforms. Important character states diagnostic of Vegavis + Polarornis include strong craniocaudal bowing of the femoral shaft, the presence of a distinct fossa just proximal to the fibular trochlea, and the broad and flat shape of the patellar sulcus. Referral to Vegavis is based on the presence of a distinctive proximocaudal fossa and distolateral scar. This genus was previously known only from Vegavis iaai, a smaller-bodied taxon from the same locality and stratigraphic unit. Our reassignment of SDSM 78247 to Vegavis sp. removes the record of cariamiform landbirds from the Antarctic Cretaceous.</t>
  </si>
  <si>
    <t>[West, Abagael R.; Lamanna, Matthew C.] Carnegie Museum Nat Hist, Sect Vertebrate Paleontol, Pittsburgh, PA 15213 USA; [West, Abagael R.] Carnegie Museum Nat Hist, Sect Mammals, Pittsburgh, PA 15213 USA; [West, Abagael R.] Univ Pittsburgh, Dept Biol Sci, Pittsburgh, PA 15260 USA; [Torres, Christopher R.; Clarke, Julia A.] Univ Texas Austin, Dept Integrat Biol, Austin, TX 78712 USA; [Case, Judd A.] Eastern Washington Univ, Dept Biol, Cheney, WA 99004 USA; [Clarke, Julia A.] Univ Texas Austin, Jackson Sch Geosci, Austin, TX 78712 USA; [O'Connor, Patrick M.] Ohio Univ, Heritage Coll Osteopath Med, Dept Biomed Sci, Athens, OH 45701 USA; [O'Connor, Patrick M.] Ohio Univ, Ohio Ctr Ecol &amp; Evolutionary Studies, Athens, OH 45701 USA</t>
  </si>
  <si>
    <t>Pennsylvania Commonwealth System of Higher Education (PCSHE); University of Pittsburgh; University of Texas System; University of Texas Austin; Eastern Washington University; University of Texas System; University of Texas Austin; University System of Ohio; Ohio University; University System of Ohio; Ohio University</t>
  </si>
  <si>
    <t>West, AR (corresponding author), Carnegie Museum Nat Hist, Sect Vertebrate Paleontol, Pittsburgh, PA 15213 USA.;West, AR (corresponding author), Carnegie Museum Nat Hist, Sect Mammals, Pittsburgh, PA 15213 USA.;West, AR (corresponding author), Univ Pittsburgh, Dept Biol Sci, Pittsburgh, PA 15260 USA.</t>
  </si>
  <si>
    <t>westa@carnegiemnh.org</t>
  </si>
  <si>
    <t>OConnor, Patrick/I-9383-2012; Lamanna, Matthew/E-6045-2019</t>
  </si>
  <si>
    <t>OConnor, Patrick/0000-0002-6762-3806; Lamanna, Matthew/0000-0001-9845-0728</t>
  </si>
  <si>
    <t>Rea Postdoctoral Fellowship of Carnegie Museum of Natural History; National Science Foundation Office of Polar Programs [0003844, 0087972, ANT-1142129, ANT-1141820, ANT-1142104]; Office of Polar Programs (OPP); Directorate For Geosciences [0087972] Funding Source: National Science Foundation; Office of Polar Programs (OPP); Directorate For Geosciences [0003844] Funding Source: National Science Foundation</t>
  </si>
  <si>
    <t>Rea Postdoctoral Fellowship of Carnegie Museum of Natural History; National Science Foundation Office of Polar Programs(National Science Foundation (NSF)NSF - Directorate for Geosciences (GEO)); Office of Polar Programs (OPP); Directorate For Geosciences(National Science Foundation (NSF)NSF - Directorate for Geosciences (GEO)); Office of Polar Programs (OPP); Directorate For Geosciences(National Science Foundation (NSF)NSF - Directorate for Geosciences (GEO))</t>
  </si>
  <si>
    <t>Support was provided by the Rea Postdoctoral Fellowship of Carnegie Museum of Natural History (to Abagael R. West) and by the National Science Foundation Office of Polar Programs grants 0003844 (to Judd A. Case), 0087972 (to James Martin), ANT-1142129 (to Matthew C. Lamanna), ANT-1141820 (to Julia A. Clarke), and ANT-1142104 (to Patrick M. O'Connor). The funders had no role in study design, data collection and analysis, decision to publish, or preparation of the manuscript.</t>
  </si>
  <si>
    <t>e7231</t>
  </si>
  <si>
    <t>10.7717/peerj.7231</t>
  </si>
  <si>
    <t>IH7SC</t>
  </si>
  <si>
    <t>WOS:000474703300002</t>
  </si>
  <si>
    <t>Babanin, AV; Rogers, WE; de Camargo, R; Doble, M; Durrant, T; Filchuk, K; Ewans, K; Hemer, M; Janssen, T; Kelly-Gerreyn, B; Machutchon, K; McComb, P; Qiao, FL; Schulz, E; Skvortsov, A; Thomson, J; Vichi, M; Violante-Carvalho, N; Wang, D; Waseda, T; Williams, G; Young, IR</t>
  </si>
  <si>
    <t>Babanin, Alexander, V; Rogers, W. Erick; de Camargo, Ricardo; Doble, Martin; Durrant, Tom; Filchuk, Kirill; Ewans, Kevin; Hemer, Mark; Janssen, Tim; Kelly-Gerreyn, Boris; Machutchon, Keith; McComb, Peter; Qiao, Fangli; Schulz, Eric; Skvortsov, Alex; Thomson, Jim; Vichi, Marcello; Violante-Carvalho, Nelson; Wang, David; Waseda, Takuji; Williams, Greg; Young, Ian R.</t>
  </si>
  <si>
    <t>Waves and Swells in High Wind and Extreme Fetches, Measurements in the Southern Ocean</t>
  </si>
  <si>
    <t>wind wave and swell; air-sea and air-sea-land interaction processes; wave fetch; extreme wave; extra-tropical anticyclones</t>
  </si>
  <si>
    <t>GLOBAL TRENDS; ARCTIC-OCEAN; SEA; CALIBRATION; SPECTRA; CLIMATE; SPEED; VALIDATION; DISPERSION; ALTIMETER</t>
  </si>
  <si>
    <t>The generation and evolution of ocean waves by wind is one of the most complex phenomena in geophysics, and is of great practical significance. Predictive capabilities of respective wave models, however, are impaired by lack of field in situ observations, particularly in extreme Metocean conditions. The paper outlines and highlights important gaps in understanding the Metocean processes and suggests a major observational program in the Southern Ocean. This large, but poorly investigated part of the World Ocean is home to extreme weather around the year. The observational network would include distributed system of buoys (drifting and stationary) and autonomous surface vehicles (ASV), intended for measurements of waves and air-sea fluxes in the Southern Ocean. It would help to resolve the issues of limiting fetches, extreme Extra-Tropical cyclones, swell propagation and attenuation, wave-current interactions, and address the topics of wave-induced dispersal of floating objects, wave-ice interactions in the Marginal Ice Zone, Metocean climatology and its connection with the global climate.</t>
  </si>
  <si>
    <t>[Babanin, Alexander, V; Ewans, Kevin; Young, Ian R.] Univ Melbourne, Dept Infrastruct Engn, Melbourne, Vic, Australia; [Rogers, W. Erick; Wang, David] US Naval Res Lab, Washington, DC USA; [de Camargo, Ricardo] Univ Sao Paulo, Dept Atmospher Sci, Sao Paulo, Brazil; [Doble, Martin] Polar Sci Ltd, Appin, Argyll, Scotland; [Durrant, Tom; McComb, Peter] Oceanum Ltd, New Plymouth, New Zealand; [Filchuk, Kirill] Arctic &amp; Antarctic Res Inst, St Petersburg, Russia; [Ewans, Kevin] MetOcean Res Ltd, New Plymouth, New Zealand; [Hemer, Mark] Commonwealth Sci &amp; Ind Res Org, Hobart, Tas, Australia; [Janssen, Tim] Spoondrift Technol Inc, San Francisco, CA USA; [Kelly-Gerreyn, Boris; Schulz, Eric] Bur Meteorol, Melbourne, Vic, Australia; [Machutchon, Keith; Vichi, Marcello] Univ Cape Town, Dept Oceanog, Cape Town, South Africa; [Qiao, Fangli] First Inst Oceanog, Qingdao, Shandong, Peoples R China; [Skvortsov, Alex] Def Sci &amp; Technol Grp, Canberra, ACT, Australia; [Thomson, Jim] Univ Washington, Appl Phys Lab, Seattle, WA 98105 USA; [Violante-Carvalho, Nelson] Univ Fed Rio de Janeiro, Program Ocean Engn, Rio De Janeiro, Brazil; [Waseda, Takuji] Univ Tokyo, Grad Sch Frontier Sci, Tokyo, Japan; [Williams, Greg] RPS MetOcean Pty Ltd, Perth, WA, Australia</t>
  </si>
  <si>
    <t>University of Melbourne; Melbourne Genomics Health Alliance; United States Department of Defense; United States Navy; Naval Research Laboratory; Universidade de Sao Paulo; Arctic &amp; Antarctic Research Institute; Commonwealth Scientific &amp; Industrial Research Organisation (CSIRO); Bureau of Meteorology - Australia; University of Cape Town; First Institute of Oceanography, Ministry of Natural Resources; Defence Science &amp; Technology; University of Washington; University of Washington Seattle; Universidade Federal do Rio de Janeiro; University of Tokyo</t>
  </si>
  <si>
    <t>Babanin, AV (corresponding author), Univ Melbourne, Dept Infrastruct Engn, Melbourne, Vic, Australia.</t>
  </si>
  <si>
    <t>a.babanin@unimelb.edu.au</t>
  </si>
  <si>
    <t>Young, Ian/E-7385-2011; Doble, Martin J/A-9915-2012; Rogers, William/GWC-2040-2022; Waseda, Takuji/F-1445-2019; Vichi, Marcello/GLR-9823-2022; Hemer, Mark/M-1905-2013; de Camargo, Ricardo/E-2762-2012</t>
  </si>
  <si>
    <t>Young, Ian/0000-0003-2233-9227; Rogers, William/0000-0001-8235-2218; Vichi, Marcello/0000-0002-0686-9634; Hemer, Mark/0000-0002-7725-3474; de Camargo, Ricardo/0000-0002-9425-5391; McComb, Peter/0000-0002-1855-914X; Durrant, Tom/0000-0003-2128-3604; Waseda, Takuji/0000-0001-5403-5303</t>
  </si>
  <si>
    <t>Grants-in-Aid for Scientific Research [20K20437] Funding Source: KAKEN</t>
  </si>
  <si>
    <t>Grants-in-Aid for Scientific Research(Ministry of Education, Culture, Sports, Science and Technology, Japan (MEXT)Japan Society for the Promotion of ScienceGrants-in-Aid for Scientific Research (KAKENHI))</t>
  </si>
  <si>
    <t>JUL 9</t>
  </si>
  <si>
    <t>10.3389/fmars.2019.00361</t>
  </si>
  <si>
    <t>IH3PI</t>
  </si>
  <si>
    <t>WOS:000474404400001</t>
  </si>
  <si>
    <t>Sutterley, TC; Markus, T; Neumann, TA; van den Broeke, M; van Wessem, JM; Ligtenberg, SRM</t>
  </si>
  <si>
    <t>Sutterley, Tyler C.; Markus, Thorsten; Neumann, Thomas A.; van den Broeke, Michiel; van Wessem, J. Melchior; Ligtenberg, Stefan R. M.</t>
  </si>
  <si>
    <t>Antarctic ice shelf thickness change from multimission lidar mapping</t>
  </si>
  <si>
    <t>SURFACE MASS-BALANCE; GROUNDING LINE RETREAT; AMUNDSEN SEA EMBAYMENT; BASAL MELT RATES; PINE ISLAND; WEST ANTARCTICA; RADAR INTERFEROMETRY; THWAITES GLACIERS; KOHLER GLACIERS; SHEET</t>
  </si>
  <si>
    <t>We calculate rates of ice thickness change and bottom melt for ice shelves in West Antarctica and the Antarctic Peninsula from a combination of elevation measurements from NASA-CECS Antarctic ice mapping campaigns and NASA Operation IceBridge corrected for oceanic processes from measurements and models, surface velocity measurements from synthetic aperture radar, and high-resolution outputs from regional climate models. The ice thickness change rates are calculated in a Lagrangian reference frame to reduce the effects from advection of sharp vertical features, such as cracks and crevasses, that can saturate Eulerian-derived estimates. We use our method over different ice shelves in Antarctica, which vary in terms of size, repeat coverage from airborne altimetry, and dominant processes governing their recent changes. We find that the Larsen-C Ice Shelf is close to steady state over our observation period with spatial variations in ice thickness largely due to the flux divergence of the shelf. Firn and surface processes are responsible for some short-term variability in ice thickness of the Larsen-C Ice Shelf over the time period. The Wilkins Ice Shelf is sensitive to short-timescale coastal and upper-ocean processes, and basal melt is the dominant contributor to the ice thickness change over the period. At the Pine Island Ice Shelf in the critical region near the grounding zone, we find that ice shelf thickness change rates exceed 40 m yr(-1), with the change dominated by strong submarine melting. Regions near the grounding zones of the Dotson and Crosson ice shelves are decreasing in thickness at rates greater than 40 m yr(-1), also due to intense basal melt. NASA-CECS Antarctic ice mapping and NASA Operation IceBridge campaigns provide validation datasets for floating ice shelves at moderately high resolution when coregistered using Lagrangian methods.</t>
  </si>
  <si>
    <t>[Sutterley, Tyler C.; Markus, Thorsten; Neumann, Thomas A.] NASA, Goddard Space Flight Ctr, Greenbelt, MD 20771 USA; [van den Broeke, Michiel; van Wessem, J. Melchior; Ligtenberg, Stefan R. M.] Univ Utrecht, Inst Marine &amp; Atmospher Res, Utrecht, Netherlands</t>
  </si>
  <si>
    <t>National Aeronautics &amp; Space Administration (NASA); NASA Goddard Space Flight Center; Utrecht University</t>
  </si>
  <si>
    <t>Sutterley, TC (corresponding author), NASA, Goddard Space Flight Ctr, Greenbelt, MD 20771 USA.</t>
  </si>
  <si>
    <t>tyler.c.sutterley@nasa.gov</t>
  </si>
  <si>
    <t>Van den Broeke, Michiel R./F-7867-2011; Neumann, Thomas/JLL-4672-2023; van Wessem, Melchior/AAB-1987-2019; Sutterley, Tyler/Q-8325-2016; Ligtenberg, Stefan/AAF-8290-2020</t>
  </si>
  <si>
    <t>Van den Broeke, Michiel R./0000-0003-4662-7565; Sutterley, Tyler/0000-0002-6964-1194; van Wessem, Melchior/0000-0003-3221-791X; Neumann, Thomas/0000-0002-6926-937X</t>
  </si>
  <si>
    <t>NASA</t>
  </si>
  <si>
    <t>NASA(National Aeronautics &amp; Space Administration (NASA))</t>
  </si>
  <si>
    <t>This research has been supported by an appointment to the NASA Postdoctoral Program at NASA Goddard Space Flight Center, administered by Universities Space Research Association under contract with NASA.</t>
  </si>
  <si>
    <t>JUL 8</t>
  </si>
  <si>
    <t>10.5194/tc-13-1801-2019</t>
  </si>
  <si>
    <t>IH4KO</t>
  </si>
  <si>
    <t>WOS:000474461000002</t>
  </si>
  <si>
    <t>Rackow, T; Sein, DV; Semmler, T; Danilov, S; Koldunov, NV; Sidorenko, D; Wang, Q; Jung, T</t>
  </si>
  <si>
    <t>Rackow, Thomas; Sein, Dmitry, V; Semmler, Tido; Danilov, Sergey; Koldunov, Nikolay, V; Sidorenko, Dmitry; Wang, Qiang; Jung, Thomas</t>
  </si>
  <si>
    <t>Sensitivity of deep ocean biases to horizontal resolution in prototype CMIP6 simulations with AWI-CM1.0</t>
  </si>
  <si>
    <t>ANTARCTIC CIRCUMPOLAR CURRENT; NORTH-ATLANTIC OCEAN; SEA-ICE; ARCTIC-OCEAN; MODEL; CIRCULATION; CLIMATE; SUITE; PARAMETERIZATIONS; FORMULATION</t>
  </si>
  <si>
    <t>Models from phase 5 of the Coupled Model Intercomparison Project (CMIP5) show substantial biases in the deep ocean that are larger than the level of natural variability and the response to enhanced greenhouse gas concentrations. Here, we analyze the influence of horizontal resolution in a hierarchy of five multi-resolution simulations with the AWI Climate Model (AWI-CM), the climate model used at the Alfred Wegener Institute, Helmholtz Centre for Polar and Marine Research, which employs a sea ice-ocean model component formulated on unstructured meshes. The ocean grid sizes considered range from a nominal resolution of similar to 1 degrees (CMIP5 type) up to locally eddy resolving. We show that increasing ocean resolution locally to resolve ocean eddies leads to reductions in deep ocean biases, although these improvements are not strictly monotonic for the five different ocean grids. A detailed diagnosis of the simulations allows to identify the origins of the biases. We find that two key regions at the surface are responsible for the development of the deep bias in the Atlantic Ocean: the northeastern North Atlantic and the region adjacent to the Strait of Gibraltar. Furthermore, the Southern Ocean density structure is equally improved with locally explicitly resolved eddies compared to parameterized eddies. Part of the bias reduction can be traced back towards improved surface biases over outcropping regions, which are in contact with deeper ocean layers along isopycnal surfaces. Our prototype simulations provide guidance for the optimal choice of ocean grids for AWI-CM to be used in the final runs for phase 6 of CMIP (CMIP6) and for the related flagship simulations in the High Resolution Model Intercomparison Project (HighResMIP). Quite remarkably, retaining resolution only in areas of high eddy activity along with excellent scalability characteristics of the unstructured-mesh sea ice-ocean model enables us to perform the multi-centennial climate simulations needed in a CMIP context at (locally) eddy-resolving resolution with a throughput of 5-6 simulated years per day.</t>
  </si>
  <si>
    <t>[Rackow, Thomas; Sein, Dmitry, V; Semmler, Tido; Danilov, Sergey; Koldunov, Nikolay, V; Sidorenko, Dmitry; Wang, Qiang; Jung, Thomas] Helmholtz Ctr Polar &amp; Marine Res, AWI, Bremerhaven, Germany; [Sein, Dmitry, V] Russian Acad Sci, Shirshov Inst Oceanol, Moscow, Russia; [Koldunov, Nikolay, V] Univ Bremen, MARUM, Bremen, Germany; [Jung, Thomas] Univ Bremen, Inst Environm Phys, Bremen, Germany</t>
  </si>
  <si>
    <t>Helmholtz Association; Alfred Wegener Institute, Helmholtz Centre for Polar &amp; Marine Research; Russian Academy of Sciences; Shirshov Institute of Oceanology; University of Bremen; University of Bremen</t>
  </si>
  <si>
    <t>Rackow, T (corresponding author), Helmholtz Ctr Polar &amp; Marine Res, AWI, Bremerhaven, Germany.</t>
  </si>
  <si>
    <t>thomas.rackow@awi.de</t>
  </si>
  <si>
    <t>Jung, Thomas/J-5239-2012; Sein, Dmitry V/GLS-0252-2022; Sein, Dmitry/P-6419-2018; Atmosphere and Ocean, Collaborative Research Center TRR 181- Energy Transfers in/AAY-2721-2020; Danilov, Sergey/S-6184-2016; Koldunov, Nikolay V. V./A-5439-2011; Semmler, Tido/AAH-4808-2020; Rackow, Thomas/AAP-2735-2020; Sein, Dmitry/AAI-1352-2021</t>
  </si>
  <si>
    <t>Jung, Thomas/0000-0002-2651-1293; Sein, Dmitry/0000-0002-1190-3622; Danilov, Sergey/0000-0001-8098-182X; Koldunov, Nikolay V. V./0000-0002-3365-8146; Semmler, Tido/0000-0002-2254-4901; Rackow, Thomas/0000-0002-5468-575X; Sein, Dmitry/0000-0002-1190-3622; Wang, Qiang/0000-0002-2704-5394; Sidorenko, Dmitry/0000-0001-8579-6068</t>
  </si>
  <si>
    <t>European Commission [641727]; Deutsche Forschungsgemeinschaft [274762653]; Helmholtz Association (REKLIM grant), FASO Russia [0149-2019-0015]; Bundesministerium fur Bildung und Forschung [01DJ15029, 01DJ16016]</t>
  </si>
  <si>
    <t>European Commission(European Union (EU)European Commission Joint Research Centre); Deutsche Forschungsgemeinschaft(German Research Foundation (DFG)); Helmholtz Association (REKLIM grant), FASO Russia; Bundesministerium fur Bildung und Forschung(Federal Ministry of Education &amp; Research (BMBF))</t>
  </si>
  <si>
    <t>This research has been supported by the European Commission (PRIMAVERA; grant no. 641727), the Deutsche Forschungsgemeinschaft (project no. 274762653), the Helmholtz Association (REKLIM grant), FASO Russia (grant no. 0149-2019-0015), and the Bundesministerium fur Bildung und Forschung (grant nos. 01DJ15029, 01DJ16016).</t>
  </si>
  <si>
    <t>JUL 5</t>
  </si>
  <si>
    <t>10.5194/gmd-12-2635-2019</t>
  </si>
  <si>
    <t>IH1WW</t>
  </si>
  <si>
    <t>WOS:000474285800001</t>
  </si>
  <si>
    <t>Bonnet-Lebrun, AS; Karamanlidis, AA; Hernando, MD; Renner, I; Gimenez, O</t>
  </si>
  <si>
    <t>Bonnet-Lebrun, A-S; Karamanlidis, A. A.; de Gabriel Hernando, M.; Renner, I; Gimenez, O.</t>
  </si>
  <si>
    <t>Identifying priority conservation areas for a recovering brown bear population in Greece using citizen science data</t>
  </si>
  <si>
    <t>ANIMAL CONSERVATION</t>
  </si>
  <si>
    <t>Greece; large carnivores; Poisson point process; presence-only data; Ursus arctos; citizen science; protected areas; population recovery</t>
  </si>
  <si>
    <t>HABITAT SUITABILITY; ECOLOGICAL RESEARCH; LARGE CARNIVORE; MODELS; BIAS; TOOL</t>
  </si>
  <si>
    <t>Understanding the processes related to wildlife recoveries is not only essential in solving human - wildlife conflicts, but also for identifying priority conservation areas and in turn, for effective conservation planning. We used data from a citizen science program to study spatial aspects of the demographic and genetic recovery of brown bears in Greece and to identify new areas for their conservation. We visually compared our data with an estimation of the past distribution of brown bears in Greece and used a point process approach to model habitat suitability. We then compared our results with the current distribution of brown bear records and with that of protected areas. Our results indicate that in the last 15 years bears may have increased their range by as much as 100%, by occupying mainly anthropogenic landscapes and areas with suitable habitat that are currently not legally protected, thus creating a new conservation reality for the species in Greece. This development dictates the re-evaluation of the national management and conservation priorities for brown bears in Greece by focusing in establishing new protected areas that will safeguard their recovery. Our conservation approach is a swift and cheap way of identifying priority conservation areas, while gaining important insights on spatial aspects of population recovery. It will help prioritize conservation actions for brown bears in Greece and may serve as a model conservation approach to countries facing similar financial and logistic constraints in the monitoring of local biodiversity or facing challenges in managing rapid population recoveries. Our conservation approach appeared to be particularly suited to identifying priority areas for conservation in areas with recovering wildlife populations and may therefore be used as an 'early-warning' conservation system.</t>
  </si>
  <si>
    <t>[Bonnet-Lebrun, A-S; Gimenez, O.] Univ Montpellier, CNRS, CEFE, Montpellier, France; [Karamanlidis, A. A.; de Gabriel Hernando, M.] ARCTUROS, Civil Soc Protect &amp; Management Wildlife &amp; Nat Env, Aetos 53075, Florina, Greece; [Karamanlidis, A. A.] Norwegian Univ Life Sci, Fac Environm Sci &amp; Nat Resource Management, As, Norway; [de Gabriel Hernando, M.] Univ Leon, Fac Biol &amp; Environm Sci, Dept Biodivers &amp; Environm Management, Leon, Spain; [Renner, I] Univ Newcastle, Sch Math &amp; Phys Sci, Callaghan, NSW, Australia; [Renner, I] British Antarctic Survey, Madingley Rd, Cambridge CB3 0ET, England</t>
  </si>
  <si>
    <t>Universite PSL; Ecole Pratique des Hautes Etudes (EPHE); Institut Agro; Montpellier SupAgro; CIRAD; Centre National de la Recherche Scientifique (CNRS); Institut de Recherche pour le Developpement (IRD); Universite Paul-Valery; Universite de Montpellier; Norwegian University of Life Sciences; Universidad de Leon; University of Newcastle; UK Research &amp; Innovation (UKRI); Natural Environment Research Council (NERC); NERC British Antarctic Survey</t>
  </si>
  <si>
    <t>Karamanlidis, AA (corresponding author), ARCTUROS, Civil Soc Protect &amp; Management Wildlife &amp; Nat Env, Aetos 53075, Florina, Greece.</t>
  </si>
  <si>
    <t>akaramanlidis@gmail.com</t>
  </si>
  <si>
    <t>Gimenez, Olivier/G-4281-2010; Bonnet-Lebrun, Anne-Sophie/GYU-2977-2022; Renner, Ian/JAD-0394-2023</t>
  </si>
  <si>
    <t>Bonnet-Lebrun, Anne-Sophie/0000-0002-7587-615X; Renner, Ian/0000-0003-3116-2486; de Gabriel Hernando, Miguel/0000-0002-8722-6146; Gimenez, Olivier/0000-0001-7001-5142</t>
  </si>
  <si>
    <t>1367-9430</t>
  </si>
  <si>
    <t>1469-1795</t>
  </si>
  <si>
    <t>ANIM CONSERV</t>
  </si>
  <si>
    <t>Anim. Conserv.</t>
  </si>
  <si>
    <t>10.1111/acv.12522</t>
  </si>
  <si>
    <t>KI6GC</t>
  </si>
  <si>
    <t>WOS:000474144400001</t>
  </si>
  <si>
    <t>Villa-Alfageme, M; Chamizo, E; Kenna, TC; López-Lora, M; Casacuberta, N; Chang, C; Masqué, P; Christl, M</t>
  </si>
  <si>
    <t>Villa-Alfageme, M.; Chamizo, E.; Kenna, T. C.; Lopez-Lora, M.; Casacuberta, N.; Chang, C.; Masque, P.; Christl, M.</t>
  </si>
  <si>
    <t>Distribution of 236U in the US GEOTRACES Eastern Pacific Zonal Transect and its use as a water mass tracer</t>
  </si>
  <si>
    <t>U-236; Deep waters; Ocean circulation; Pacific Ocean; Accelerator Mass Spectrometry</t>
  </si>
  <si>
    <t>MV AMS SYSTEM; ANTHROPOGENIC U-236; FANGATAUFA ATOLLS; DEPTH PROFILE; SOUTH-PACIFIC; OCEAN; MURUROA; PLUTONIUM; RADIONUCLIDES; ACELERADORES</t>
  </si>
  <si>
    <t>We report dissolved concentrations of the long-lived radioisotope U-236 measured in the water column along the 2013 US GEOTRACES Eastern Pacific Zonal Transect (GP16). This transect followed a 10-15 degrees S line from Manta, Ecuador, to Papeete, Haiti, French Polynesia, crossing the southern East Pacific Rise, intercepting one of the largest hydrothermal plumes as well as a productivity gradient, which includes the upwelling zone and associated low oxygen waters offshore from Peru and the oligotrophic sub-tropical gyre. Accelerator Mass Spectrometry was used to measure dissolved seawater U-236 concentrations as low as 1 x 10(3) atom kg(-1), which are among the lowest levels reported to date. Differences in upper water column U-236 distributions from east to west are a result of variable contributions from different surface and intermediate waters encountered along the transect. The distribution of U-236, both in depth and geographically, provides complementary information to that obtained from Delta C-14 and helium isotopes, demonstrating that U-236 concentrations are diagnostic in the identification of and contributions from the different deep and bottom water masses encountered along the EPZT (Jenkins a al., 2017). For example, we observe minimum U-236 concentrations along the EPZT between 2000 and 3000 m that are consistent with contributions attributed to Pacific Deep Water. We also observe increases in U-236 below 3000 m at the eastern and western termini of the EPZT. This is consistent with contributions associated with Antarctic Bottom Water and Lower Circumpolar Deep Water. Our results indicate that U-236 may be used in conjunction with Delta C-14 and He-3 isotopes as an additional tool with which to identify and resolve contributions from different water masses in the Pacific Ocean. This article is part of a special issue entitled: Cycles of trace elements and isotopes in the ocean - GEOTRACES and beyond - edited by Tim M. Conway, Tristan Homer, Yves Plancherel, and Aridane G. Gonzalez.</t>
  </si>
  <si>
    <t>[Villa-Alfageme, M.] Univ Seville, Dept Fis Aplicada 2, ETSIE, Av Reina Mercedes 4A, E-41012 Seville, Spain; [Chamizo, E.] Univ Seville, CNA, Seville, Spain; [Kenna, T. C.; Chang, C.] Columbia Univ, Lamont Doherty Earth Observ, New York, NY 10027 USA; [Lopez-Lora, M.] Univ Seville, Escuela Politecn Super, Dept Fis Aplicada 1, Virgen de Africa 7, Seville 41011, Spain; [Casacuberta, N.; Christl, M.] ETH, Ion Beam Phys, Zurich, Switzerland; [Masque, P.] Edith Cowan Univ, Ctr Marine Ecosyst Res, Sch Nat Sci, Joondalup, WA, Australia; [Masque, P.] Univ Autonoma Barcelona, Dept Fis, Bellaterra 08193, Spain; [Masque, P.] Univ Autonoma Barcelona, Inst Ciencia &amp; Tecnol Ambientals, Bellaterra 08193, Spain; [Masque, P.] Univ Western Australia, Oceans Inst, 35 Stirling Highway, Crawley, WA 6009, Australia; [Masque, P.] Univ Western Australia, Sch Phys, 35 Stirling Highway, Crawley, WA 6009, Australia</t>
  </si>
  <si>
    <t>University of Sevilla; Consejo Superior de Investigaciones Cientificas (CSIC); University of Sevilla; CSIC - Centro Nacional de Aceleradores (CNA); Columbia University; University of Sevilla; Swiss Federal Institutes of Technology Domain; ETH Zurich; Edith Cowan University; Autonomous University of Barcelona; Autonomous University of Barcelona; University of Western Australia; University of Western Australia</t>
  </si>
  <si>
    <t>Villa-Alfageme, M (corresponding author), Univ Seville, Dept Fis Aplicada 2, ETSIE, Av Reina Mercedes 4A, E-41012 Seville, Spain.</t>
  </si>
  <si>
    <t>mvilla@us.es</t>
  </si>
  <si>
    <t>Christl, Marcus/J-4769-2016; Villa-Alfageme, Maria/AAG-2363-2020; López Lora, Mercedes/AIB-6730-2022; Masque, Pere/B-7379-2008; López-Lora, Mercedes/AAE-3924-2019; Masque, Pere/AAC-9349-2022; Chamizo, Elena/G-5100-2015</t>
  </si>
  <si>
    <t>Christl, Marcus/0000-0002-3131-6652; Villa-Alfageme, Maria/0000-0001-7157-8588; Masque, Pere/0000-0002-1789-320X; López-Lora, Mercedes/0000-0003-2124-5077; Masque, Pere/0000-0002-1789-320X; Chamizo, Elena/0000-0001-8266-6129; Chang, Clara/0000-0001-7310-639X</t>
  </si>
  <si>
    <t>Spanish Ministerio de Economia y Competitividad [FIS2015-69673-P]; Fundacion Camara Sevilla; NSF [OCE-1235233]</t>
  </si>
  <si>
    <t>Spanish Ministerio de Economia y Competitividad(Spanish Government); Fundacion Camara Sevilla; NSF(National Science Foundation (NSF))</t>
  </si>
  <si>
    <t>This work was partially supported by project FIS2015-69673-P of the Spanish Ministerio de Economia y Competitividad: Resolucion de problemas ambientales marinos y terrestre clave mediante nuevos desarrollos en Espectrometria de Masas con Acelerador de Baja Energia (LEAMS) en el Centro Nacional de Aceleradores (CNA) and by Fundacion Camara Sevilla through a Grant for Graduate Studies of M. Lopez-Lora. This work was made possible with funding from NSF Chemical Oceanography award OCE-1235233. We thank you Marty Fleisher and Leo Pena, ODF group members Susan Becker, Melissa Miller, Rob Palomares, and Mary Johnson. Captain and crew of R/V Thomas G. Thompson (TGT303). Chief Scientist: Dr. James Moffett, and Co-Chief Scientists Dr. Christopher German and Dr. Gregory Cutter. We sincerely thank two anonymous reviewers for their valuable inputs.</t>
  </si>
  <si>
    <t>10.1016/j.chemgeo.2019.04.003</t>
  </si>
  <si>
    <t>HY0MU</t>
  </si>
  <si>
    <t>WOS:000467806900005</t>
  </si>
  <si>
    <t>Watanabe, YY; Payne, NL; Semmens, JM; Fox, A; Huveneers, C</t>
  </si>
  <si>
    <t>Watanabe, Yuuki Y.; Payne, Nicholas L.; Semmens, Jayson M.; Fox, Andrew; Huveneers, Charlie</t>
  </si>
  <si>
    <t>Hunting behaviour of white sharks recorded by animal-borne accelerometers and cameras</t>
  </si>
  <si>
    <t>Carcharodon carcharias; Biologging; Locomotion; Predator-prey relationship; Swimming behaviour</t>
  </si>
  <si>
    <t>PREDATOR-PREY INTERACTIONS; CARCHARODON-CARCHARIAS; SWIMMING BEHAVIOR; SPEED; CAPTURE; DEPTH; VIDEO; FISH</t>
  </si>
  <si>
    <t>Hunting large, fast-moving mammals by top predators often involves highly energetic burst locomotion, and studying such behaviour can reveal how physiological capacity shapes predator-prey relationships. Although increasingly sophisticated animal-borne devices have allowed the recording of terrestrial predators' behaviour (e.g. cheetahs) hunting herbivorous mammals, similar approaches have rarely been applied to marine predators hunting mammals. Here, we deployed video cameras (lasting for 6 h) and accelerometers (lasting for 2 d) on 8 white sharks Carcharodon carcharias aggregating near colonies of long-nosed fur seals Arctocephalus forsteri. Video showed one shark attacking a seal, during which an intensive swimming event (lateral acceleration: 3.7 x g, tailbeat frequency: 3.3 Hz, estimated swim speed: 6.7 m s(-1)) was recorded. Based on this confirmed event, 7 potential predation events were identified from 150 h of acceleration data. The events occurred at various depths (0-53 m) and primarily at nighttime and during crepuscular periods, partly contrasting with well documented seal-hunting breaching behaviour that occurs primarily during crepuscular periods. This study demonstrates that, despite inherent difficulties, recording infrequent hunting events of top marine predators provides insight into their hunting strategies and maximum locomotor performance.</t>
  </si>
  <si>
    <t>[Watanabe, Yuuki Y.] Natl Inst Polar Res, Tachikawa, Tokyo 1908518, Japan; [Watanabe, Yuuki Y.] SOKENDAI Grad Univ Adv Studies, Dept Polar Sci, Tachikawa, Tokyo 1908518, Japan; [Payne, Nicholas L.] Univ Roehampton, Holybourne Ave, London SW15 4JD, England; [Payne, Nicholas L.] Trinity Coll Dublin, Dublin 2, Ireland; [Semmens, Jayson M.] Univ Tasmania, Fisheries &amp; Aquaculture Ctr, Inst Marine &amp; Antarctic Studies, Private Bag 49, Hobart, Tas 7001, Australia; [Fox, Andrew] Fox Shark Res Fdn, Adelaide, SA 5070, Australia; [Huveneers, Charlie] Flinders Univ S Australia, Coll Sci &amp; Engn, Bedford Pk, SA 5042, Australia</t>
  </si>
  <si>
    <t>Research Organization of Information &amp; Systems (ROIS); National Institute of Polar Research (NIPR) - Japan; Graduate University for Advanced Studies - Japan; Roehampton University; Trinity College Dublin; University of Tasmania; Flinders University South Australia</t>
  </si>
  <si>
    <t>Watanabe, YY (corresponding author), Natl Inst Polar Res, Tachikawa, Tokyo 1908518, Japan.;Watanabe, YY (corresponding author), SOKENDAI Grad Univ Adv Studies, Dept Polar Sci, Tachikawa, Tokyo 1908518, Japan.</t>
  </si>
  <si>
    <t>watanabe.yuuki@nipr.ac.jp</t>
  </si>
  <si>
    <t>Payne, Nicholas L/E-7811-2013</t>
  </si>
  <si>
    <t>Payne, Nicholas/0000-0002-5274-471X; Huveneers, Charlie/0000-0001-8937-1358; Semmens, Jayson/0000-0003-1742-6692</t>
  </si>
  <si>
    <t>Japan Society for the Promotion of Science (JSPS) [25850138, 16H04973]; Winifred Scott Violet Foundation; Neiser Foundation; Nature Films Production; JSPS [L15560]; Grants-in-Aid for Scientific Research [16H04973, 25850138] Funding Source: KAKEN</t>
  </si>
  <si>
    <t>Japan Society for the Promotion of Science (JSPS)(Ministry of Education, Culture, Sports, Science and Technology, Japan (MEXT)Japan Society for the Promotion of Science); Winifred Scott Violet Foundation; Neiser Foundation; Nature Films Production;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</si>
  <si>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R. Hall, L. Meyer, R. Mulloy, L. Nazimi, S. Payne, W. Robbins, A. Schilds, M. Ward, and S. Whitmarsh for their support during fieldwork, and 3 anonymous reviewers and the handling editor for helpful comments on the draft. This work was funded by Grants-in-Aids for Scientific Research from the Japan Society for the Promotion of Science (JSPS) (25850138 and 16H04973), the Winifred Scott Violet Foundation, the Neiser Foundation, Nature Films Production, and supporters of the study through the crowdfunding campaign on Pozible. All necessary permits were obtained from the Department of Environment, Water and Natural Resources (DEWNR) (M26292), Marine Parks (MR000 47), PIRSA Exemption (9902693 and 990 2777), and the Flinders University ethics committee (E398). J.M.S. held a JSPS In vitation Fellowship for Research in Japan (L15560) during part of this work.</t>
  </si>
  <si>
    <t>JUL 4</t>
  </si>
  <si>
    <t>10.3354/meps12981</t>
  </si>
  <si>
    <t>IX5OT</t>
  </si>
  <si>
    <t>WOS:000485734200016</t>
  </si>
  <si>
    <t>Woodworth-Jefcoats, PA; Blanchard, JL; Drazen, JC</t>
  </si>
  <si>
    <t>Woodworth-Jefcoats, Phoebe A.; Blanchard, Julia L.; Drazen, Jeffrey C.</t>
  </si>
  <si>
    <t>Relative Impacts of Simultaneous Stressors on a Pelagic Marine Ecosystem</t>
  </si>
  <si>
    <t>climate change; fishing; pelagic; bigeye tuna; size-based model; food web model</t>
  </si>
  <si>
    <t>CLIMATE-CHANGE; NORTH PACIFIC; VERTICAL MOVEMENT; DAILY INCREMENTS; FISH PRODUCTION; SIZE SPECTRA; GROWTH; OCEAN; FISHERIES; AGE</t>
  </si>
  <si>
    <t>Climate change and fishing are two of the greatest anthropogenic stressors on marine ecosystems. We investigate the effects of these stressors on Hawaii's deep-set longline fishery for bigeye tuna (Thunnus obesus) and the ecosystem which supports it using a size-based food web model that incorporates individual species and captures the metabolic effects of rising ocean temperatures. We find that when fishing and climate change are examined individually, fishing is the greater stressor. This suggests that proactive fisheries management could be a particularly effective tool for mitigating anthropogenic stressors either by balancing or outweighing climate effects. However, modeling these stressors jointly shows that even large management changes cannot completely offset climate effects. Our results suggest that a decline in Hawaii's longline fishery yield may be inevitable. The effect of climate change on the ecosystem depends primarily upon the intensity of fishing mortality. Management measures which take this into account can both minimize fishery decline and support at least some level of ecosystem resilience.</t>
  </si>
  <si>
    <t>[Woodworth-Jefcoats, Phoebe A.] NOAA Fisheries, Pacific Isl Fisheries Sci Ctr, Honolulu, HI 96818 USA; [Woodworth-Jefcoats, Phoebe A.; Drazen, Jeffrey C.] Univ Hawaii Manoa, Dept Oceanog, Honolulu, HI 96822 USA; [Blanchard, Julia L.] Univ Tasmania, Inst Marine &amp; Antarctic Studies, Hobart, Tas, Australia</t>
  </si>
  <si>
    <t>National Oceanic Atmospheric Admin (NOAA) - USA; University of Hawaii System; University of Hawaii Manoa; University of Tasmania</t>
  </si>
  <si>
    <t>Woodworth-Jefcoats, PA (corresponding author), NOAA Fisheries, Pacific Isl Fisheries Sci Ctr, Honolulu, HI 96818 USA.;Woodworth-Jefcoats, PA (corresponding author), Univ Hawaii Manoa, Dept Oceanog, Honolulu, HI 96822 USA.</t>
  </si>
  <si>
    <t>phoebe.woodworth-jefcoats@noaa.gov</t>
  </si>
  <si>
    <t>Blanchard, Julia L/E-4919-2010; Drazen, Jeffrey/C-1197-2013</t>
  </si>
  <si>
    <t>Woodworth-Jefcoats, Phoebe/0000-0001-9353-923X; Blanchard, Julia/0000-0003-0532-4824; Drazen, Jeffrey/0000-0001-9613-3833</t>
  </si>
  <si>
    <t>Fernando Gabriel Leonida Memorial Scholarship; Denise B. Evans Fellowship for Oceanographic Research at the University of Hawaii</t>
  </si>
  <si>
    <t>PW-J was funded in part by the Fernando Gabriel Leonida Memorial Scholarship and the Denise B. Evans Fellowship for Oceanographic Research at the University of Hawaii.</t>
  </si>
  <si>
    <t>10.3389/fmars.2019.00383</t>
  </si>
  <si>
    <t>IG4IH</t>
  </si>
  <si>
    <t>WOS:000473766800001</t>
  </si>
  <si>
    <t>Koutsoyiannis, D</t>
  </si>
  <si>
    <t>Koutsoyiannis, Demetris</t>
  </si>
  <si>
    <t>Time's arrow in stochastic characterization and simulation of atmospheric and hydrological processes</t>
  </si>
  <si>
    <t>HYDROLOGICAL SCIENCES JOURNAL-JOURNAL DES SCIENCES HYDROLOGIQUES</t>
  </si>
  <si>
    <t>time's arrow; irreversibility; causation; chance; randomness; stochastic simulation</t>
  </si>
  <si>
    <t>VOSTOK ICE CORE; ANTARCTIC TEMPERATURE; REVERSIBILITY; MOMENTS; CLIMATE; SERIES; FLOW; CO2</t>
  </si>
  <si>
    <t>Time's arrow has important philosophical, scientific and technical connotations and is closely related to randomness as well as to causality. Stochastics offers a frame to explore, characterize and simulate irreversibility in natural processes. Indicators of irreversibility are different if we study a single process alone, or more processes simultaneously. In the former case, description of irreversibility requires at least third-order properties, while in the latter lagged second-order properties may suffice to reveal causal relations. Several examined data sets indicate that in atmospheric processes irreversibility is negligible at hydrologically relevant time scales, but may appear at the finest scales. However, the irreversibility of streamflow is marked for scales of several days and this highlights the need to reproduce it in flood simulations. For this reason, two methods of generating time series with irreversibility are developed, from which one, based on an asymmetric moving average scheme, proves to be satisfactory.</t>
  </si>
  <si>
    <t>[Koutsoyiannis, Demetris] Natl Tech Univ Athens, Sch Civil Engn, Dept Water Resources &amp; Environm Engn, Zografos, Greece</t>
  </si>
  <si>
    <t>National Technical University of Athens</t>
  </si>
  <si>
    <t>Koutsoyiannis, D (corresponding author), Natl Tech Univ Athens, Sch Civil Engn, Dept Water Resources &amp; Environm Engn, Zografos, Greece.</t>
  </si>
  <si>
    <t>dk@itia.ntua.gr</t>
  </si>
  <si>
    <t>Koutsoyiannis, Demetris/B-7400-2009</t>
  </si>
  <si>
    <t>Koutsoyiannis, Demetris/0000-0002-6226-0241</t>
  </si>
  <si>
    <t>0262-6667</t>
  </si>
  <si>
    <t>2150-3435</t>
  </si>
  <si>
    <t>HYDROLOG SCI J</t>
  </si>
  <si>
    <t>Hydrol. Sci. J.-J. Sci. Hydrol.</t>
  </si>
  <si>
    <t>10.1080/02626667.2019.1600700</t>
  </si>
  <si>
    <t>Water Resources</t>
  </si>
  <si>
    <t>IF0HC</t>
  </si>
  <si>
    <t>WOS:000472756200001</t>
  </si>
  <si>
    <t>Duffy, JE; Benedetti-Cecchi, L; Trinanes, J; Muller-Karger, FE; Ambo-Rappe, R; Boström, C; Buschmann, AH; Byrnes, J; Coles, RG; Creed, J; Cullen-Unsworth, LC; Diaz-Pulido, G; Duarte, CM; Edgar, GJ; Fortes, M; Goni, G; Hu, CM; Huang, XP; Hurd, CL; Johnson, C; Konar, B; Krause-Jensen, D; Krumhansl, K; Macreadie, P; Marsh, H; McKenzie, LJ; Mieszkowska, N; Miloslavich, P; Montes, E; Nakaoka, M; Norderhaug, KM; Norlund, LM; Orth, RJ; Prathep, A; Putman, NF; Samper-Villarreal, J; Serrao, EA; Short, F; Pinto, IS; Steinberg, P; Stuart-Smith, R; Unsworth, RKF; van Keulen, M; van Tussenbroek, BI; Wang, MQ; Waycott, M; Weatherdon, LV; Wernberg, T; Yaakub, SM</t>
  </si>
  <si>
    <t>Duffy, J. Emmett; Benedetti-Cecchi, Lisandro; Trinanes, Joaquin; Muller-Karger, Frank E.; Ambo-Rappe, Rohani; Bostrom, Christoffer; Buschmann, Alejandro H.; Byrnes, Jarrett; Coles, Robert G.; Creed, Joel; Cullen-Unsworth, Leanne C.; Diaz-Pulido, Guillermo; Duarte, Carlos M.; Edgar, Graham J.; Fortes, Miguel; Goni, Gustavo; Hu, Chuanmin; Huang, Xiaoping; Hurd, Catriona L.; Johnson, Craig; Konar, Brenda; Krause-Jensen, Dorte; Krumhansl, Kira; Macreadie, Peter; Marsh, Helene; McKenzie, Len J.; Mieszkowska, Nova; Miloslavich, Patricia; Montes, Enrique; Nakaoka, Masahiro; Norderhaug, Kjell Magnus; Norlund, Lina M.; Orth, Robert J.; Prathep, Anchana; Putman, Nathan F.; Samper-Villarreal, Jimena; Serrao, Ester A.; Short, Frederick; Pinto, Isabel Sousa; Steinberg, Peter; Stuart-Smith, Rick; Unsworth, Richard K. F.; van Keulen, Mike; van Tussenbroek, Brigitta, I; Wang, Mengqiu; Waycott, Michelle; Weatherdon, Lauren, V; Wernberg, Thomas; Yaakub, Siti Maryam</t>
  </si>
  <si>
    <t>Toward a Coordinated Global Observing System for Seagrasses and Marine Macroalgae</t>
  </si>
  <si>
    <t>biodiversity; seagrass; network; macroalgae; biodiversity observation network (BON); essential ocean variables (EOV)</t>
  </si>
  <si>
    <t>LOCAL ECOLOGICAL KNOWLEDGE; POPULATION GENETIC-STRUCTURE; VEGETATED COASTAL HABITATS; GULF-OF-MEXICO; CLIMATE-CHANGE; KELP FORESTS; ECOSYSTEM SERVICES; BLUE CARBON; NUTRIENT ENRICHMENT; PELAGIC SARGASSUM</t>
  </si>
  <si>
    <t>In coastal waters around the world, the dominant primary producers are benthic macrophytes, including seagrasses and macroalgae, that provide habitat structure and food for diverse and abundant biological communities and drive ecosystem processes. Seagrass meadows and macroalgal forests play key roles for coastal societies, contributing to fishery yields, storm protection, biogeochemical cycling and storage, and important cultural values. These socio-economically valuable services are threatened worldwide by human activities, with substantial areas of seagrass and macroalgal forests lost over the last half-century. Tracking the status and trends in marine macrophyte cover and quality is an emerging priority for ocean and coastal management, but doing so has been challenged by limited coordination across the numerous efforts to monitor macrophytes, which vary widely in goals, methodologies, scales, capacity, governance approaches, and data availability. Here, we present a consensus assessment and recommendations on the current state of and opportunities for advancing global marine macrophyte observations, integrating contributions from a community of researchers with broad geographic and disciplinary expertise. With the increasing scale of human impacts, the time is ripe to harmonize marine macrophyte observations by building on existing networks and identifying a core set of common metrics and approaches in sampling design, field measurements, governance, capacity building, and data management. We recommend a tiered observation system, with improvement of remote sensing and remote underwater imaging to expand capacity to capture broad-scale extent at intervals of several years, coordinated with strati fied in situ sampling annually to characterize the key variables of cover and taxonomic or functional group composition, and to provide ground-truth. A robust networked system of macrophyte observations will be facilitated by establishing best practices, including standard protocols, documentation, and sharing of resources at all stages of work flow, and secure archiving of open-access data. Because such a network is necessarily distributed, sustaining it depends on close engagement of local stakeholders and focusing on building and long-term maintenance of local capacity, particularly in the developing world. Realizing these recommendations will producemore effective, efficient, and responsive observing, a more accurate global picture of change in vegetated coastal systems, and stronger international capacity for sustaining observations.</t>
  </si>
  <si>
    <t>[Duffy, J. Emmett] Smithsonian Inst, Edgewater, MD 21037 USA; [Benedetti-Cecchi, Lisandro] Univ Pisa, Dept Biol, Pisa, Italy; [Benedetti-Cecchi, Lisandro] CoNISMa, Pisa, Italy; [Trinanes, Joaquin] Univ Santiago de Compostela, Inst Invest Tecnolox, Santiago, Spain; [Trinanes, Joaquin] NOAA, Phys Oceanog Div, Atlantic Oceanog &amp; Meteorol Lab, Miami, FL USA; [Trinanes, Joaquin] Univ Miami, Rosenstiel Sch Marine &amp; Atmospher Sci, Cooperat Inst Marine &amp; Atmospher Studies, 4600 Rickenbacker Causeway, Miami, FL 33149 USA; [Muller-Karger, Frank E.; Hu, Chuanmin; Montes, Enrique; Wang, Mengqiu] Univ S Florida, Coll Marine Sci, St Petersburg, FL USA; [Ambo-Rappe, Rohani] Hasanuddin Univ, Dept Marine Sci, Makassar, Indonesia; [Bostrom, Christoffer] Abo Akad Univ, Fac Sci &amp; Engn, Environm &amp; Marine Biol, Turku, Finland; [Buschmann, Alejandro H.] Univ Los Lagos, Ctr I Mar, Puerto Montt, Chile; [Buschmann, Alejandro H.] Univ Los Lagos, Ctr Biotecnol &amp; Bioingn CeBiB, Puerto Montt, Chile; [Byrnes, Jarrett] Univ Massachusetts, Dept Biol, Boston, MA 02125 USA; [Coles, Robert G.; McKenzie, Len J.] James Cook Univ, Ctr Trop Water &amp; Aquat Ecosyst Res, Douglas, Qld, Australia; [Creed, Joel] Univ Estado Rio de Janeiro, Dept Ecol, Rio De Janeiro, Brazil; [Cullen-Unsworth, Leanne C.] Cardiff Univ, Sustainable Pl Res Inst, Cardiff, S Glam, Wales; [Diaz-Pulido, Guillermo] Griffith Univ, Sch Environm &amp; Sci, Brisbane, Qld, Australia; [Diaz-Pulido, Guillermo] Griffith Univ, Australian Rivers Inst Coast &amp; Estuaries, Brisbane, Qld, Australia; [Duarte, Carlos M.] King Abdullah Univ Sci &amp; Technol, Red Sea Res Ctr, Thuwal, Saudi Arabia; [Edgar, Graham J.; Johnson, Craig; Stuart-Smith, Rick] Univ Tasmania, Hobart, Tas, Australia; [Fortes, Miguel] Univ Philippines, Marine Sci Inst CS, Quezon City, Philippines; [Goni, Gustavo] NOAA, Atlantic Oceanog &amp; Meteorol Lab, Miami, FL 33149 USA; [Huang, Xiaoping] Chinese Acad Sci, South China Sea Inst Oceanol, Guangzhou, Guangdong, Peoples R China; [Hurd, Catriona L.; Miloslavich, Patricia] Univ Tasmania, Inst Marine &amp; Antarctic Studies, Hobart, Tas, Australia; [Konar, Brenda] Univ Alaska Fairbanks, Coll Fisheries &amp; Ocean Sci, Fairbanks, AK USA; [Krause-Jensen, Dorte] Aarhus Univ, Dept Biosci, Silkeborg, Denmark; [Krause-Jensen, Dorte] Aarhus Univ, Arctic Res Ctr, Aarhus, Denmark; [Krumhansl, Kira] Bedford Inst Oceanog, Dartmouth, NS, Canada; [Macreadie, Peter] Deakin Univ, Ctr Integrat Ecol, Burwood, Vic, Australia; [Marsh, Helene] James Cook Univ, Div Trop Environm &amp; Soc, Townsville, Qld, Australia; [Mieszkowska, Nova] Marine Biol Assoc UK, Plymouth, Devon, England; [Miloslavich, Patricia] Univ Simon Bolivar, Dept Estudios Ambientales, Caracas, Venezuela; [Nakaoka, Masahiro] Hokkaido Univ, Akkeshi Marine Stn, Field Sci Ctr Northern Biosphere, Sapporo, Hokkaido, Japan; [Norderhaug, Kjell Magnus] IMR, Bergen, Norway; [Norlund, Lina M.] Uppsala Univ, Dept Earth Sci, Uppsala, Sweden; [Orth, Robert J.] Virginia Inst Marine Sci, Coll William &amp; Mary, Gloucester Point, VA 23062 USA; [Prathep, Anchana] Pince Songkla Univ, Fac Sci, Dept Biol, Hat Yai, Thailand; [Putman, Nathan F.] LGL Ecol Res Associates, Bryan, TX USA; [Samper-Villarreal, Jimena] Univ Costa Rica, Ctr Invest Ciencias Mar &amp; Limnol, San Jose, CA USA; [Serrao, Ester A.] Univ Algarve, Ctr Marine Sci CCMAR, Interdisciplinary Ctr Marine &amp; Environm Res CIMAR, Faro, Portugal; [Short, Frederick] Univ New Hampshire, Nat Resources &amp; Environm, Durham, NH 03824 USA; [Pinto, Isabel Sousa] Univ Porto, Fac Sci, Interdisciplinary Ctr Marine &amp; Environm Res CIIMA, Porto, Portugal; [Steinberg, Peter] Sydney Inst Marine Sci, Mosman, NSW, Australia; [Unsworth, Richard K. F.] Swansea Univ, Seagrass Ecosyst Res Grp, Swansea, W Glam, Wales; [van Keulen, Mike] Murdoch Univ, Ctr Sustainable Aquat Ecosyst Environm &amp; Conserva, Murdoch, WA, Australia; [van Tussenbroek, Brigitta, I] Univ Nacl Autonoma Mexico, ICML, Puerto Morelos, Mexico; [Waycott, Michelle] Univ Adelaide, Dept Environm &amp; Water, Adelaide, SA, Australia; [Waycott, Michelle] State Herbarium South Australia, Adelaide, SA, Australia; [Weatherdon, Lauren, V] UN Environm World Conservat Monitoring Ctr, Cambridge, England; [Wernberg, Thomas] Univ Western Australia, Oceans Inst, Perth, WA, Australia; [Wernberg, Thomas] Univ Western Australia, Sch Biol Sci, Perth, WA, Australia; [Yaakub, Siti Maryam] DHI Water &amp; Environm, Ecol Habitats &amp; Proc Dept, Singapore, Singapore</t>
  </si>
  <si>
    <t>Smithsonian Institution; Smithsonian Environmental Research Center; University of Pisa; CoNISMa; Universidade de Santiago de Compostela; National Oceanic Atmospheric Admin (NOAA) - USA; Atlantic Oceanographic &amp; Meteorological Laboratory (AOML); University of Miami; State University System of Florida; University of South Florida; Universitas Hasanuddin; Abo Akademi University; Universidad de Los Lagos; Universidad de Los Lagos; University of Massachusetts System; University of Massachusetts Boston; James Cook University; Universidade do Estado do Rio de Janeiro; Cardiff University; Griffith University; Griffith University; King Abdullah University of Science &amp; Technology; University of Tasmania; University of the Philippines System; University of the Philippines Diliman; National Oceanic Atmospheric Admin (NOAA) - USA; Atlantic Oceanographic &amp; Meteorological Laboratory (AOML); Chinese Academy of Sciences; South China Sea Institute of Oceanology, CAS; University of Tasmania; University of Alaska System; University of Alaska Fairbanks; Aarhus University; Aarhus University; Bedford Institute of Oceanography; Deakin University; James Cook University; Marine Biological Association United Kingdom; Simon Bolivar University; Hokkaido University; Institute of Marine Research - Norway; Uppsala University; William &amp; Mary; Virginia Institute of Marine Science; Universidade do Algarve; University System Of New Hampshire; University of New Hampshire; Universidade do Porto; Sydney Institute of Marine Science; Swansea University; Murdoch University; Universidad Nacional Autonoma de Mexico; University of Adelaide; University of Western Australia; University of Western Australia; Danish Hydraulic Institute (DHI)</t>
  </si>
  <si>
    <t>Duffy, JE (corresponding author), Smithsonian Inst, Edgewater, MD 21037 USA.</t>
  </si>
  <si>
    <t>duffye@si.edu</t>
  </si>
  <si>
    <t>Boström, Christoffer/U-6679-2017; Putman, Nathan F./AAC-8967-2020; Duarte, Carlos M/A-7670-2013; Duffy, J. Emmett/ABF-9200-2020; Creed, Joel Christopher/C-4764-2013; Cullen-Unsworth, Leanne C/A-6810-2011; Unsworth, Richard K.F./C-1266-2009; Duarte Quesada, Carlos Manuel/ABD-6208-2021; McKenzie, Leonard J/O-5674-2014; Buschmann, Alejandro H./B-4770-2012; Waycott, Michelle/JTU-3077-2023; Rappe, Rohani Ambo/M-1071-2019; Serrao, Ester A/C-6686-2012; Edgar, Graham/AAY-3797-2020; Nakaoka, Masahiro/I-9237-2019; Huang, xp/JRX-2837-2023; Stuart-Smith, Rick/I-5214-2019; Waycott, Michelle/AAR-8809-2021; Hu, Chuanmin/AAB-9604-2021; , Mike/IZE-8874-2023; Yaakub, Siti Maryam/V-2246-2017; Goni, Gustavo J/D-2017-2012; Diaz-Pulido, Guillermo/B-3648-2013; Pinto, Isabel Sousa/W-1591-2019; Wernberg, Thomas/B-4172-2010; Trinanes, Joaquin/B-3881-2015; Krause-Jensen, Dorte/J-5666-2013; Hurd, Catriona/J-2411-2013</t>
  </si>
  <si>
    <t>Putman, Nathan F./0000-0001-8485-7455; Duarte, Carlos M/0000-0002-1213-1361; Duffy, J. Emmett/0000-0001-8595-6391; Creed, Joel Christopher/0000-0002-1722-0806; McKenzie, Leonard J/0000-0003-1294-3770; Buschmann, Alejandro H./0000-0003-3246-681X; Waycott, Michelle/0000-0002-0822-0564; Rappe, Rohani Ambo/0000-0001-9276-7492; Serrao, Ester A/0000-0003-1316-658X; Edgar, Graham/0000-0003-0833-9001; Nakaoka, Masahiro/0000-0002-5722-3585; Stuart-Smith, Rick/0000-0002-8874-0083; Hu, Chuanmin/0000-0003-3949-6560; Yaakub, Siti Maryam/0000-0002-5703-5189; Pinto, Isabel Sousa/0000-0002-9231-0553; Wernberg, Thomas/0000-0003-1185-9745; Trinanes, Joaquin/0000-0003-1529-3371; Diaz-Pulido, Guillermo/0000-0002-0901-3727; Montes, Enrique/0000-0002-3103-4479; Benedetti-Cecchi, Lisandro/0000-0001-5244-5202; Weatherdon, Lauren V./0000-0002-3989-027X; Orth, Robert/0000-0003-2491-7430; Miloslavich, Patricia/0000-0001-5409-1401; Krause-Jensen, Dorte/0000-0001-9792-256X; Mieszkowska, Nova/0000-0002-9570-7759; Steinberg, Peter/0000-0002-1781-0726; Hurd, Catriona/0000-0001-9965-4917; Norderhaug, Kjell Magnus/0000-0001-6374-4275; Samper-Villarreal, Jimena/0000-0002-7513-7293</t>
  </si>
  <si>
    <t>US National Science Foundation [OCE-1829922]</t>
  </si>
  <si>
    <t>US National Science Foundation(National Science Foundation (NSF))</t>
  </si>
  <si>
    <t>This review was supported by US National Science Foundation award OCE-1829922 to JD, as well as a large number of sources to the 47 co-authors.</t>
  </si>
  <si>
    <t>10.3389/fmars.2019.00317</t>
  </si>
  <si>
    <t>IG4HR</t>
  </si>
  <si>
    <t>WOS:000473765200001</t>
  </si>
  <si>
    <t>Rugenstein, JKC; Ibarra, DE; von Blanckenburg, F</t>
  </si>
  <si>
    <t>Rugenstein, Jeremy K. Caves; Ibarra, Daniel E.; von Blanckenburg, Friedhelm</t>
  </si>
  <si>
    <t>Neogene cooling driven by land surface reactivity rather than increased weathering fluxes</t>
  </si>
  <si>
    <t>NATURE</t>
  </si>
  <si>
    <t>ANTARCTIC ICE-SHEET; CENOZOIC SEAWATER; ATMOSPHERIC O-2; ORGANIC-CARBON; MASS-BALANCE; TERRESTRIAL BIOSPHERE; SULFIDE OXIDATION; PHYSICAL EROSION; PHANEROZOIC TIME; LITHIUM ISOTOPES</t>
  </si>
  <si>
    <t>The long-term cooling, decline in the partial pressure of carbon dioxide, and the establishment of permanent polar ice sheets during the Neogene period(1,2) have frequently been attributed to increased uplift and erosion of mountains and consequent increases in silicate weathering, which removes atmospheric carbon dioxide(3,4). However, geological records of erosion rates are potentially subject to averaging biases(5,6), and the magnitude of the increase in weathering fluxes-and even its existence-remain debated(7-9). Moreover, an increase in weathering scaled to the proposed erosional increase would have removed nearly all carbon from the atmosphere(10), which has led to suggestions of compensatory carbon fluxes(11-13) in order to preserve mass balance in the carbon cycle. Alternatively, an increase in land surface reactivity-resulting from greater fresh-mineral surface area or an increase in the supply of reactive minerals-rather than an increase in the weathering flux, has been proposed to reconcile these disparate views(8,9). Here we use a parsimonious carbon cycle model that tracks two weathering-sensitive isotopic tracers (stable Li-7/Li-6 and cosmogenic Be-10/Be-9) to show that an increase in land surface reactivity is necessary to simultaneously decrease atmospheric carbon dioxide, increase seawater Li-7/Li-6 and retain constant seawater Be-10/Be-9 over the past 16 million years. We find that the global silicate weathering flux remained constant, even as the global silicate weathering intensity-the fraction of the total denudation flux that is derived from silicate weathering-decreased, sustained by an increase in erosion. Long-term cooling during the Neogene thus reflects a change in the partitioning of denudation into weathering and erosion. Variable partitioning of denudation and consequent changes in silicate weathering intensity reconcile marine isotope and erosion records with the need to maintain mass balance in the carbon cycle and without requiring increases in the silicate weathering flux.</t>
  </si>
  <si>
    <t>[Rugenstein, Jeremy K. Caves] Swiss Fed Inst Technol, Dept Earth Sci, Zurich, Switzerland; [Ibarra, Daniel E.] Stanford Univ, Dept Geol Sci, Stanford, CA 94305 USA; [von Blanckenburg, Friedhelm] GFZ German Res Ctr Geosci, Earth Surface Geochem, Potsdam, Germany; [von Blanckenburg, Friedhelm] Free Univ Berlin, Inst Geol Sci, Berlin, Germany; [Rugenstein, Jeremy K. Caves] Max Planck Inst Meteorol, Hamburg, Germany; [Rugenstein, Jeremy K. Caves] Senckenberg Biodivers &amp; Climate Res Ctr, Frankfurt, Germany</t>
  </si>
  <si>
    <t>Swiss Federal Institutes of Technology Domain; ETH Zurich; Stanford University; Helmholtz Association; Helmholtz-Center Potsdam GFZ German Research Center for Geosciences; Free University of Berlin; Max Planck Society; Senckenberg Biodiversitat &amp; Klima- Forschungszentrum (BiK-F); Senckenberg Gesellschaft fur Naturforschung (SGN)</t>
  </si>
  <si>
    <t>Rugenstein, JKC (corresponding author), Swiss Fed Inst Technol, Dept Earth Sci, Zurich, Switzerland.;Rugenstein, JKC (corresponding author), Max Planck Inst Meteorol, Hamburg, Germany.;Rugenstein, JKC (corresponding author), Senckenberg Biodivers &amp; Climate Res Ctr, Frankfurt, Germany.</t>
  </si>
  <si>
    <t>jeremy.rugenstein@mpimet.mpg.de</t>
  </si>
  <si>
    <t>Ibarra, Daniel E/E-6141-2013; von Blanckenburg, Friedhelm/K-4711-2013; Rugenstein, Jeremy/I-4743-2015</t>
  </si>
  <si>
    <t>Ibarra, Daniel E/0000-0002-9980-4599; von Blanckenburg, Friedhelm/0000-0002-2964-717X; Rugenstein, Jeremy/0000-0003-4123-3305</t>
  </si>
  <si>
    <t>ETH Fellowship; Heising-Simons Foundation</t>
  </si>
  <si>
    <t>We thank S. Gallen, K. Lau, K. Maher, D. Stolper, S. Willett and M. Winnick for discussions regarding erosion, weathering and lithium isotopes. J.K.C.R. is funded by an ETH Fellowship. D.E.I. is supported by the Heising-Simons Foundation.</t>
  </si>
  <si>
    <t>0028-0836</t>
  </si>
  <si>
    <t>1476-4687</t>
  </si>
  <si>
    <t>Nature</t>
  </si>
  <si>
    <t>10.1038/s41586-019-1332-y</t>
  </si>
  <si>
    <t>IG4DV</t>
  </si>
  <si>
    <t>WOS:000473755200037</t>
  </si>
  <si>
    <t>Bustamante, DE; Mansilla, A; Calderon, MS; Rosenfeld, S; Rodriguez, JP; Mendez, F; Bahamonde, F; Gerard, K; Lopez, Z; Ceroni, C; Aros, V; Perez, C</t>
  </si>
  <si>
    <t>Bustamante, Danilo E.; Mansilla, Andres; Calderon, Martha S.; Rosenfeld, Sebastian; Rodriguez, Juan P.; Mendez, Fabio; Bahamonde, Francisco; Gerard, Karin; Lopez, Zambra; Ceroni, Constanza; Aros, Veronica; Perez, Carolina</t>
  </si>
  <si>
    <t>Next-generation sequencing yields the complete organellar genomes of kelp Lessonia flavicans (Lessoniaceae, Phaeophyceae) from the Sub-Antarctic ecoregion of Magallanes, Chile</t>
  </si>
  <si>
    <t>MITOCHONDRIAL DNA PART B-RESOURCES</t>
  </si>
  <si>
    <t>Chile; kelp; mitogenome; plastid genome; Sub-Antarctic Magellanic ecoregion</t>
  </si>
  <si>
    <t>COMPLETE MITOCHONDRIAL GENOME; LAMINARIALES</t>
  </si>
  <si>
    <t>The generitype Lessonia flavicans Bory is an endemic and important kelp from Sub-Antarctic Magellanic ecoregion that shows affinity to extreme salinity, temperature, and photoperiod conditions. Genomic analysis of L. flavicans from Rinconada Bulnes, Punta Arenas, Chile, resulted in the assembly of its organellar genomes. The L. flavicans complete mitogenome is 37,226 base pairs (bp) in length and contains 66 genes (GenBank accession number MN561186), the complete plastid genome is 130,085 bp and has 173 genes (MN561187) and the data assembled 8205 bp of the nuclear ribosomal cistron (MN561188). The organellar genomes are similar in structure and content to L. spicata (Suhr) Santelices and other Laminariales.</t>
  </si>
  <si>
    <t>[Bustamante, Danilo E.; Calderon, Martha S.] Univ Nacl Toribio Rodriguez de Mendoza, Inst Invest Desarrollo Sustentable Ceja Selva IND, Amazonas 01001, Peru; [Mansilla, Andres; Calderon, Martha S.; Rosenfeld, Sebastian; Rodriguez, Juan P.; Mendez, Fabio; Bahamonde, Francisco; Gerard, Karin; Ceroni, Constanza; Aros, Veronica; Perez, Carolina] Univ Magallanes, LEMAS, Punta Arenas, Chile; [Mansilla, Andres; Rosenfeld, Sebastian] Inst Ecol &amp; Biodiversidad, Punta Arenas, Chile; [Gerard, Karin] Univ Magallanes, CIGA, Punta, Chile; [Lopez, Zambra] Ctr Invest Dinam Ecosistemas Marinos Altas Latitu, Punta Arenas, Chile; [Perez, Carolina] Univ Magallanes, Lab Wankara, Puerto Williams, Chile</t>
  </si>
  <si>
    <t>Universidad Nacional Toribio Rodriguez De Mendoza De Amazonas; Universidad de Magallanes; Universidad de Magallanes; Universidad de Magallanes</t>
  </si>
  <si>
    <t>Bustamante, DE (corresponding author), Univ Nacl Toribio Rodriguez de Mendoza, Inst Invest Desarrollo Sustentable Ceja Selva IND, Amazonas 01001, Peru.</t>
  </si>
  <si>
    <t>ddanilobm@gmail.com</t>
  </si>
  <si>
    <t>Gérard, Karin/AAC-4911-2021; Bustamante, Danilo E./A-8619-2012</t>
  </si>
  <si>
    <t>Gérard, Karin/0000-0003-0596-1348; Bustamante, Danilo E./0000-0002-5979-6993; Perez-Troncoso, Carolina/0000-0002-0185-5874; Mansilla, Andres/0000-0003-3505-7018; Rosenfeld, Sebastian/0000-0002-4363-8018; Calderon, Martha S./0000-0003-3611-140X</t>
  </si>
  <si>
    <t>FONDECYT [1180433, 3180539]; Proyecto Conicyt PIA Apoyo CCTE Instituto de Ecologia y Biodiversidad (IEB) [AFB170008]</t>
  </si>
  <si>
    <t>FONDECYT(Comision Nacional de Investigacion Cientifica y Tecnologica (CONICYT)CONICYT FONDECYT); Proyecto Conicyt PIA Apoyo CCTE Instituto de Ecologia y Biodiversidad (IEB)</t>
  </si>
  <si>
    <t>This study was supported by FONDECYT [3180539] to M.S.C. and by FONDECYT [1180433] and Proyecto Conicyt PIA Apoyo CCTE [AFB170008] Instituto de Ecolog~ia y Biodiversidad (IEB) to A.M.</t>
  </si>
  <si>
    <t>2380-2359</t>
  </si>
  <si>
    <t>MITOCHONDRIAL DNA B</t>
  </si>
  <si>
    <t>Mitochondrial DNA Part B-Resour.</t>
  </si>
  <si>
    <t>10.1080/23802359.2019.1688123</t>
  </si>
  <si>
    <t>Genetics &amp; Heredity</t>
  </si>
  <si>
    <t>JM4HG</t>
  </si>
  <si>
    <t>WOS:000496176900001</t>
  </si>
  <si>
    <t>Andriyono, S; Alam, MJ; Lee, SR; Choi, SG; Chung, S; Kim, HW</t>
  </si>
  <si>
    <t>Andriyono, Sapto; Alam, Md Jobaidul; Lee, Soo Rin; Choi, Seok-Gwan; Chung, Sangdeok; Kim, Hyun-Woo</t>
  </si>
  <si>
    <t>Characterization of the complete mitochondrial genome of Chionobathyscus dewitti (Perciformes, Channichthyidae)</t>
  </si>
  <si>
    <t>Icefish; next-generation sequencing; Chionobathyscus dewitti; Antarctic</t>
  </si>
  <si>
    <t>The complete mitochondrial genome sequence of the Icefish, Chionobathyscus dewitti was determined by the Next Generation Sequencing (NGS) analysis. The complete mitogenome was 17,452 bp in length, which encoded the canonical 13 protein-coding genes, 22 tRNAs, two rRNAs, and two non-coding regions. As shown in the other notothenids, translocation of ND6 and an additional non-coding region were identified, which is different from the typical vertebrate mitochondrial genomes. The C. dewitti was clustered distinctly from the those in the Chinodraco and Chaenocephalus, which supported the idea that this species should be classified in the different genus, Chionobathyscus in the family Channichthyidae.</t>
  </si>
  <si>
    <t>[Andriyono, Sapto; Alam, Md Jobaidul; Lee, Soo Rin; Kim, Hyun-Woo] Pukyong Natl Univ, Interdisciplinary Program Biomed Mech &amp; Elect Eng, Busan, South Korea; [Andriyono, Sapto] Univ Airlangga, Fisheries &amp; Marine Fac, Surabaya, Indonesia; [Choi, Seok-Gwan; Chung, Sangdeok] NIFS, Busan, South Korea; [Kim, Hyun-Woo] Pukyong Natl Univ, Dept Marine Biol, Busan 48513, South Korea</t>
  </si>
  <si>
    <t>Pukyong National University; Airlangga University; National Institute of Fisheries Science; Pukyong National University</t>
  </si>
  <si>
    <t>Kim, HW (corresponding author), Pukyong Natl Univ, Dept Marine Biol, Busan 48513, South Korea.</t>
  </si>
  <si>
    <t>kimhw@pknu.ac.kr</t>
  </si>
  <si>
    <t>Kim, Hyun-Woo/AFN-9184-2022; Andriyono, Sapto/AAB-7229-2021</t>
  </si>
  <si>
    <t>Kim, Hyun-Woo/0000-0003-1357-5893; Andriyono, Sapto/0000-0002-2566-1636; Alam, Md. Jobaidul/0000-0002-3594-8147</t>
  </si>
  <si>
    <t>National Institute of Fisheries Science (NIFS) in Republic of Korea [R2019021]</t>
  </si>
  <si>
    <t>National Institute of Fisheries Science (NIFS) in Republic of Korea</t>
  </si>
  <si>
    <t>This study was supported by a grant from the National Institute of Fisheries Science (NIFS) in Republic of Korea [R2019021].</t>
  </si>
  <si>
    <t>10.1080/23802359.2019.1688112</t>
  </si>
  <si>
    <t>JL5NZ</t>
  </si>
  <si>
    <t>WOS:000495578800001</t>
  </si>
  <si>
    <t>Kocot, KM; Wollesen, T; Varney, RM; Schwartz, ML; Steiner, G; Wanninger, A</t>
  </si>
  <si>
    <t>Kocot, Kevin M.; Wollesen, Tim; Varney, Rebecca M.; Schwartz, Megan L.; Steiner, Gerhard; Wanninger, Andreas</t>
  </si>
  <si>
    <t>Complete mitochondrial genomes of two scaphopod molluscs</t>
  </si>
  <si>
    <t>Scaphopoda; Dentaliida; Gadilida; Mollusca; Antalis entalis</t>
  </si>
  <si>
    <t>SEQUENCES</t>
  </si>
  <si>
    <t>Complete mitochondrial genomes were determined for two scaphopod molluscs: the dentaliid Antalis entalis and an unidentified Antarctic gadilid. Both genomes are complete except, in Gadilida sp. indet., a short stretch of nad5 was undetermined and trnR could not be annotated. Organization of the Gadilida sp. genome is nearly identical to that previously reported for the gadilid Siphonodentalium whereas trnK, nad5, trnD, nad4, and nad4l are transposed to the opposite strand in the previously published Graptacme genome relative to that of Antalis. Phylogenetic analysis of the 13 protein-coding and 2 rRNA genes recovered Scaphopoda, Gadilida, and Dentaliida monophyletic with maximal support.</t>
  </si>
  <si>
    <t>[Kocot, Kevin M.; Varney, Rebecca M.] Univ Alabama, Dept Biol Sci, Campus Box 870344, Tuscaloosa, AL 35487 USA; [Wollesen, Tim] European Mol Biol Lab, Dev Biol Unit, Heidelberg, Germany; [Schwartz, Megan L.] Univ Washington, Sch Interdisciplinary Arts &amp; Sci, Tacoma, WA USA; [Steiner, Gerhard; Wanninger, Andreas] Univ Vienna, Dept Integrat Zool, Vienna, Austria</t>
  </si>
  <si>
    <t>University of Alabama System; University of Alabama Tuscaloosa; European Molecular Biology Laboratory (EMBL); University of Washington; University of Washington Tacoma; University of Vienna</t>
  </si>
  <si>
    <t>Kocot, KM (corresponding author), Univ Alabama, Dept Biol Sci, Campus Box 870344, Tuscaloosa, AL 35487 USA.</t>
  </si>
  <si>
    <t>kmkocot@ua.edu</t>
  </si>
  <si>
    <t>Wanninger, Andreas/F-3878-2014; Kocot, Kevin/K-9087-2016</t>
  </si>
  <si>
    <t>Wanninger, Andreas/0000-0002-3266-5838; Steiner, Gerhard/0000-0001-9845-1026; Kocot, Kevin/0000-0002-8673-2688; Wollesen, Tim/0000-0003-0464-1254</t>
  </si>
  <si>
    <t>University of Alabama College of Arts and Sciences; University of Alabama Department of Biological Sciences start-up funds; ASSEMBLE (Association of European Marine Biological Laboratories) [835 SBR-1]</t>
  </si>
  <si>
    <t>University of Alabama College of Arts and Sciences; University of Alabama Department of Biological Sciences start-up funds; ASSEMBLE (Association of European Marine Biological Laboratories)</t>
  </si>
  <si>
    <t>This work was supported by University of Alabama College of Arts and Sciences and Department of Biological Sciences start-up funds to KMK. Sampling of Antalis entalis was supported by ASSEMBLE (Association of European Marine Biological Laboratories) grant no. [835 SBR-1] to TW.</t>
  </si>
  <si>
    <t>10.1080/23802359.2019.1666689</t>
  </si>
  <si>
    <t>IZ6VX</t>
  </si>
  <si>
    <t>WOS:000487223900001</t>
  </si>
  <si>
    <t>Yang, HM; Ji, SJ; Min, GS</t>
  </si>
  <si>
    <t>Yang, Hee-Min; Ji, Su-Jung; Min, Gi-Sik</t>
  </si>
  <si>
    <t>The complete mitochondrial genome of the Antarctic marine triclad, Obrimoposthia Wandeli (Platyhelminthes, Tricladida, Maricola)</t>
  </si>
  <si>
    <t>Mitogenome; Platyhelminthes; marine Tricladida; Obrimoposthia wandeli</t>
  </si>
  <si>
    <t>SERIATA</t>
  </si>
  <si>
    <t>For the first time, we report the complete mitochondrial genome (mitogenome) sequence of the marine triclad species, Obrimoposthia wandeli. The complete mitogenome of O. wandeli was 15,185 bp in length, contains 12 protein-coding genes (PCGs), 22 transfer RNAs (tRNAs), and 2 ribosomal RNAs (rRNAs). Compared to previously reported gene orders from the order Tricladida, O. wandeli had unique gene order. We constructed a phylogenetic tree based on the mitogenomes belonging to Rhabdocoela, Polycladida, and Tricladida and confirmed that O. wandeli is located in the basal position in the Tricladida.</t>
  </si>
  <si>
    <t>[Yang, Hee-Min; Ji, Su-Jung; Min, Gi-Sik] Inha Univ, Dept Biol Sci, Incheon 22212, South Korea</t>
  </si>
  <si>
    <t>Inha University</t>
  </si>
  <si>
    <t>Min, GS (corresponding author), Inha Univ, Dept Biol Sci, Incheon 22212, South Korea.</t>
  </si>
  <si>
    <t>mingisik@inha.ac.kr</t>
  </si>
  <si>
    <t>This work was supported by a grant from Inha University.</t>
  </si>
  <si>
    <t>10.1080/23802359.2019.1640093</t>
  </si>
  <si>
    <t>II6WS</t>
  </si>
  <si>
    <t>WOS:000475334600001</t>
  </si>
  <si>
    <t>Kim, SC; Byun, MY; Kim, JH; Lee, H</t>
  </si>
  <si>
    <t>Kim, Seok Cheol; Byun, Mi Young; Kim, Ji Hee; Lee, Hyoungseok</t>
  </si>
  <si>
    <t>The complete chloroplast genome of an Antarctic moss Syntrichia filaris (Mull.Hal.) RH Zander</t>
  </si>
  <si>
    <t>Antarctic; Pottiales; chloroplast genome; Syntrichia filaris</t>
  </si>
  <si>
    <t>COMPLETE MITOCHONDRIAL GENOME</t>
  </si>
  <si>
    <t>Syntrichia filaris is one of the common mosses in the northern maritime Antarctic. In this study, we determined the complete chloroplast genome of S. filaris (GenBank accession number MK852705) to provide a genetic resource for phylogenetic study on Bryophytes. It is of 136,227 bp length, containing 8 ribosomal RNA (rRNA), 37 transfer RNA, and 85 protein-coding genes. The chloroplast genome structure and gene order were similar to other bryophytes. Phylogenetic tree based on combined amino acids sequences of 72 chloroplast genes common in S. filaris, 7 Bryophyta, 1 Anthocerotophyta, and 2 Marchantiophyta, was congruent with the traditional position of Pottiales in Bryophytes.</t>
  </si>
  <si>
    <t>[Kim, Seok Cheol; Kim, Ji Hee] Korea Polar Res Inst, Div Polar Life Sci, Incheon, South Korea; [Byun, Mi Young; Lee, Hyoungseok] Korea Polar Res Inst, Unit Polar Genom, Incheon 21990, South Korea; [Lee, Hyoungseok] Univ Sci &amp; Technol, Polar Sci, Incheon, South Korea</t>
  </si>
  <si>
    <t>Korea Polar Research Institute (KOPRI); Korea Polar Research Institute (KOPRI)</t>
  </si>
  <si>
    <t>Lee, H (corresponding author), Korea Polar Res Inst, Unit Polar Genom, Incheon 21990, South Korea.</t>
  </si>
  <si>
    <t>soulaid@kopri.re.kr</t>
  </si>
  <si>
    <t>Korea Polar Research Institute [PE19090]</t>
  </si>
  <si>
    <t>This work was supported by Korea Polar Research Institute [PE19090].</t>
  </si>
  <si>
    <t>10.1080/23802359.2019.1627945</t>
  </si>
  <si>
    <t>II6TD</t>
  </si>
  <si>
    <t>WOS:000475325300001</t>
  </si>
  <si>
    <t>Bohoyo, F; Larter, RD; Galindo-Zaldívar, J; Leat, PT; Maldonado, A; Tate, AJ; Flexas, MM; Gowland, EJM; Arndt, JE; Dorschel, B; Kim, YD; Hong, JK; López-Martínez, J; Maestro, A; Bermúdez, O; Nitsche, FO; Livermore, RA; Riley, TR</t>
  </si>
  <si>
    <t>Bohoyo, F.; Larter, R. D.; Galindo-Zaldivar, J.; Leat, P. T.; Maldonado, A.; Tate, A. J.; Flexas, M. M.; Gowland, E. J. M.; Arndt, J. E.; Dorschel, B.; Kim, Y. D.; Hong, J. K.; Lopez-Martinez, J.; Maestro, A.; Bermudez, O.; Nitsche, F. O.; Livermore, R. A.; Riley, T. R.</t>
  </si>
  <si>
    <t>Morphological and geological features of Drake Passage, Antarctica, from a new digital bathymetric model</t>
  </si>
  <si>
    <t>JOURNAL OF MAPS</t>
  </si>
  <si>
    <t>Bathymetry; seafloor; Drake Passage; Scotia-Arc; Antarctica</t>
  </si>
  <si>
    <t>SHACKLETON FRACTURE-ZONE; TECTONIC EVOLUTION; SCOTIA SEA; PLATE BOUNDARY; MANTLE FLOW; RIDGE; OCEAN; ARC; PACIFIC; MARGIN</t>
  </si>
  <si>
    <t>The Drake Passage is an oceanic gateway of about 850 km width located between South America and the Antarctic Peninsula that connects the southeastern Pacific Ocean with the southwestern Atlantic Ocean. It is an important gateway for mantle flow, oceanographic water masses, and migrations of biota. This sector developed within the framework of the geodynamic evolution of the Scotia Arc, including continental fragmentation processes and oceanic crust creation, since the oblique divergence of the South American plate to the north and the Antarctic plate to the south started in the Eocene. As a consequence of its complex tectonic evolution and subsequent submarine processes, as sedimentary infill and erosion mainly controlled by bottom currents and active tectonics, this region shows a varied physiography. We present a detailed map of the bathymetry and geological setting of the Drake Passage that is mainly founded on a new compilation of precise multibeam bathymetric data obtained on 120 cruises between 1992 and 2015, resulting in a new Digital Bathymetric Model with 200 x 200 m cell spacing. The map covers an area of 1,465,000 km(2) between parallels 52 degrees S and 63 degrees S and meridians 70 degrees W and 50 degrees W at scale 1:1,600,000 allowing the identification of the main seafloor features. In addition, the map includes useful geological information related to magnetism, seismicity and tectonics. This work constitutes an international cooperative effort and is part of the International Bathymetric Chart of the Southern Ocean project, under the Scientific Committee on Antarctic Research umbrella.</t>
  </si>
  <si>
    <t>[Bohoyo, F.; Maestro, A.; Bermudez, O.] Inst Geol &amp; Minero Espana, Rios Rosas 23, Madrid 28003, Spain; [Larter, R. D.; Leat, P. T.; Tate, A. J.; Gowland, E. J. M.; Riley, T. R.] British Antarctic Survey, Cambridge, England; [Galindo-Zaldivar, J.] Univ Granada, Dept Geodinam, Granada, Spain; [Galindo-Zaldivar, J.; Maldonado, A.] IACT, Granada, Spain; [Flexas, M. M.] Jet Prop Lab, Pasadena, CA USA; [Arndt, J. E.; Dorschel, B.] Alfred Wegener Inst, Bremerhaven, Germany; [Kim, Y. D.; Hong, J. K.] Korea Polar Res Inst, Incheon, South Korea; [Lopez-Martinez, J.; Maestro, A.] Univ Autonoma Madrid, Dept Geol &amp; Geoquim, Madrid, Spain; [Nitsche, F. O.] Columbia Univ, Lamont Doherty Earth Observ, Palisades, NY USA; [Livermore, R. A.] Open Univ, Milton Keynes, Bucks, England</t>
  </si>
  <si>
    <t>UK Research &amp; Innovation (UKRI); Natural Environment Research Council (NERC); NERC British Antarctic Survey; University of Granada; Consejo Superior de Investigaciones Cientificas (CSIC); CSIC - Instituto Andaluz de Ciencias de la Tierra (IACT); National Aeronautics &amp; Space Administration (NASA); NASA Jet Propulsion Laboratory (JPL); Helmholtz Association; Alfred Wegener Institute, Helmholtz Centre for Polar &amp; Marine Research; Korea Polar Research Institute (KOPRI); Autonomous University of Madrid; Columbia University; Open University - UK</t>
  </si>
  <si>
    <t>Bohoyo, F (corresponding author), Inst Geol &amp; Minero Espana, Rios Rosas 23, Madrid 28003, Spain.</t>
  </si>
  <si>
    <t>f.bohoyo@igme.es</t>
  </si>
  <si>
    <t>Bohoyo, Fernando/C-1062-2011; Maestro, Adolfo/ABG-7268-2021; Bohoyo, Fernando/AAZ-5990-2021; Nitsche, Frank O/A-9343-2009; Flexas, Mar/GOV-3308-2022; Lopez-Martinez, Jeronimo/C-5744-2011; Galindo-Zaldivar, Jesus/K-3640-2012; Maestro Gonzalez, Adolfo/K-2434-2014</t>
  </si>
  <si>
    <t>Bohoyo, Fernando/0000-0002-1044-8816; Bohoyo, Fernando/0000-0002-1044-8816; Nitsche, Frank O/0000-0002-4137-547X; Lopez-Martinez, Jeronimo/0000-0002-1750-8287; Galindo-Zaldivar, Jesus/0000-0002-3493-2637; Arndt, Jan Erik/0000-0002-9413-1612; Larter, Robert/0000-0002-8414-7389; Riley, Teal/0000-0002-3333-5021; Maestro Gonzalez, Adolfo/0000-0002-7474-725X; Flexas, Mar/0000-0002-0617-3004</t>
  </si>
  <si>
    <t>Ministerio de Ciencia, Innovacion y Universidades of Spain [CTM2014-60451-C2-02/01, CTM2017-89711-C2-2/1-P, CTM2011-13970-E]; Scientific Committee on Antarctic Research; Natural Environment Research Council; NERC [bas010011, bas0100029, bas0100030] Funding Source: UKRI</t>
  </si>
  <si>
    <t>Ministerio de Ciencia, Innovacion y Universidades of Spain; Scientific Committee on Antarctic Research; Natural Environment Research Council(UK Research &amp; Innovation (UKRI)Natural Environment Research Council (NERC)); NERC(UK Research &amp; Innovation (UKRI)Natural Environment Research Council (NERC))</t>
  </si>
  <si>
    <t>This work was supported through projects CTM2014-60451-C2-02/01, CTM2017-89711-C2-2/1-P and special action CTM2011-13970-E from Ministerio de Ciencia, Innovacion y Universidades of Spain. This study is part of the British Antarctic Survey Polar Science for Planet Earth Programme funded by the Natural Environment Research Council. This work was also supported by the Scientific Committee on Antarctic Research.</t>
  </si>
  <si>
    <t>1744-5647</t>
  </si>
  <si>
    <t>J MAPS</t>
  </si>
  <si>
    <t>J. Maps</t>
  </si>
  <si>
    <t>10.1080/17445647.2018.1543618</t>
  </si>
  <si>
    <t>Geography; Geography, Physical</t>
  </si>
  <si>
    <t>Geography; Physical Geography</t>
  </si>
  <si>
    <t>HU2PY</t>
  </si>
  <si>
    <t>WOS:000465114800001</t>
  </si>
  <si>
    <t>Yang, X; Frey, MM; Rhodes, RH; Norris, SJ; Brooks, IM; Anderson, PS; Nishimura, K; Jones, AE; Wolff, EW</t>
  </si>
  <si>
    <t>Yang, Xin; Frey, Markus M.; Rhodes, Rachael H.; Norris, Sarah J.; Brooks, Ian M.; Anderson, Philip S.; Nishimura, Kouichi; Jones, Anna E.; Wolff, Eric W.</t>
  </si>
  <si>
    <t>Sea salt aerosol production via sublimating wind-blown saline snow particles over sea ice: parameterizations and relevant microphysical mechanisms</t>
  </si>
  <si>
    <t>FROST FLOWERS; IN-SITU; MODEL; GREENLAND; ANTARCTICA; ATLANTIC; RECORDS; PROXY; FRACTIONATION; THRESHOLD</t>
  </si>
  <si>
    <t>Blowing snow over sea ice has been proposed as a significant source of sea salt aerosol (SSA) (Yang et al., 2008). In this study, using snow salinity data and blowing snow and aerosol particle measurements collected in the Weddell Sea sea ice zone (SIZ) during a winter cruise, we perform a comprehensive model-data comparison with the aim of validating proposed parameterizations. Additionally, we investigate possible physical mechanisms involved in SSA production from blowing snow. A global chemical transport model, p-TOMCAT, is used to examine the model sensitivity to key parameters involved, namely blowing-snow size distribution, snow salinity, sublimation function, surface wind speed, relative humidity, air temperature and ratio of SSA formed per snow particle. As proposed in the parameterizations of Yang et al. (2008), the SSA mass flux is proportional to the bulk sublimation flux of blowing snow and snow salinity. To convert the bulk sublimation flux to SSA size distribution requires (1) sublimation function for snow particles, (2) blowing-snow size distribution, (3) snow salinity and (4) ratio of SSA formed per snow particle. The optimum model-cruise aerosol data agreement (in diameter range of 0.4-12 mu m) indicates two possible microphysical processes that could be associated with SSA production from blowing snow. The first one assumes that one SSA is formed per snow particle after sublimation, and snow particle sublimation is controlled by the curvature effect or the so-called air ventilation effect. The second mechanism allows multiple SSAs to form per snow particle and assumes snow particle sublimation is controlled by the moisture gradient between the surface of the particle and the ambient air (moisture diffusion effect). With this latter mechanism the model reproduces the observations assuming that one snow particle produces similar to 10 SSA during the sublimation process. Although both mechanisms generate very consistent results with respect to observed aerosol number densities, they correspond to completely different microphysical processes and show quite different SSA size spectra, mainly in ultra-fine and coarse size modes. However, due to the lack of relevant data, we could not, so far, conclude confidently which one is more realistic, highlighting the necessity of further investigation.</t>
  </si>
  <si>
    <t>[Yang, Xin; Frey, Markus M.; Jones, Anna E.] British Antarctic Survey, Nat Environm Res Council, Cambridge, England; [Rhodes, Rachael H.; Wolff, Eric W.] Univ Cambridge, Dept Earth Sci, Cambridge, England; [Rhodes, Rachael H.] Northumbria Univ, Dept Geog &amp; Environm Sci, Newcastle Upon Tyne, Tyne &amp; Wear, England; [Norris, Sarah J.; Brooks, Ian M.] Univ Leeds, Sch Earth &amp; Environm, Leeds, W Yorkshire, England; [Anderson, Philip S.] Scottish Assoc Marine Sci, Oban, Argyll, Scotland; [Nishimura, Kouichi] Nagoya Univ, Grad Sch Environm Studies, Nagoya, Aichi, Japan</t>
  </si>
  <si>
    <t>UK Research &amp; Innovation (UKRI); Natural Environment Research Council (NERC); NERC British Antarctic Survey; University of Cambridge; Northumbria University; University of Leeds; UHI Millennium Institute; Nagoya University</t>
  </si>
  <si>
    <t>Yang, X (corresponding author), British Antarctic Survey, Nat Environm Res Council, Cambridge, England.</t>
  </si>
  <si>
    <t>xinyang55@bas.ac.uk</t>
  </si>
  <si>
    <t>Wolff, Eric W/D-7925-2014; Brooks, Ian M/E-1378-2012; Frey, Markus/G-1756-2012; Yang, Xin/AGB-3514-2022</t>
  </si>
  <si>
    <t>Wolff, Eric W/0000-0002-5914-8531; Frey, Markus/0000-0003-0535-0416; Yang, Xin/0000-0002-3838-9758; Dennis, Sarah/0000-0002-9815-6892; Brooks, Ian/0000-0002-5051-1322; NISHIMURA, Kouichi/0000-0003-2521-2491; Rhodes, Rachael/0000-0001-7511-1969; Jones, Anna/0000-0002-2040-4841</t>
  </si>
  <si>
    <t>Natural Environment Research (NERC) in the UK [NE/J023051/1, NE/J020303/1]; European Commission Horizon 2020 Marie Sklodowska-Curie Individual Fellowship (SEADOG) [658120]; Royal Society Professorship [RP120096, RP/R/180003]; NERC [NE/J020303/1, NE/S00257X/1, NE/M005852/1, bas0100032, NE/J021172/1, NE/J023051/1] Funding Source: UKRI; Marie Curie Actions (MSCA) [658120] Funding Source: Marie Curie Actions (MSCA); Royal Society [RP120096] Funding Source: Royal Society</t>
  </si>
  <si>
    <t>Natural Environment Research (NERC) in the UK; European Commission Horizon 2020 Marie Sklodowska-Curie Individual Fellowship (SEADOG); Royal Society Professorship(Royal Society); NERC(UK Research &amp; Innovation (UKRI)Natural Environment Research Council (NERC)); Marie Curie Actions (MSCA)(Marie Curie Actions); Royal Society(Royal Society)</t>
  </si>
  <si>
    <t>This research has been supported by the Natural Environment Research (NERC) in the UK (grant nos. NE/J023051/1 and NE/J020303/1), the European Commission Horizon 2020 Marie Sklodowska-Curie Individual Fellowship (SEADOG (grant no. 658120)) and the Royal Society Professorship (grant nos. RP120096 and RP/R/180003).</t>
  </si>
  <si>
    <t>JUL 2</t>
  </si>
  <si>
    <t>10.5194/acp-19-8407-2019</t>
  </si>
  <si>
    <t>LK4RM</t>
  </si>
  <si>
    <t>WOS:000530852700004</t>
  </si>
  <si>
    <t>Liu, YH; Li, F; Hao, WF; Barriot, JP; Wang, YT</t>
  </si>
  <si>
    <t>Liu, Yihui; Li, Fei; Hao, Weifeng; Barriot, Jean-Pierre; Wang, Yetang</t>
  </si>
  <si>
    <t>Evaluation of Synoptic Snowfall on the Antarctic Ice Sheet Based on CloudSat, In-Situ Observations and Atmospheric Reanalysis Datasets</t>
  </si>
  <si>
    <t>CloudSat; snowfall; snow accumulation; reanalysis</t>
  </si>
  <si>
    <t>SURFACE MASS-BALANCE; MCMURDO DRY VALLEYS; GLOBAL ENERGY; PRECIPITATION; RADAR; ACCUMULATION; OCEAN; VARIABILITY; PERFORMANCE; SATELLITE</t>
  </si>
  <si>
    <t>Snowfall data are vital in calculating the surface mass balance of the Antarctic Ice Sheet (AIS), where in-situ and satellite measurements are sparse at synoptic timescales. CloudSat data are used to construct Antarctic snowfall data at synoptic timescales to compensate for the sparseness of synoptic snowfall data on the AIS and to better understand its surface mass balance. Synoptic CloudSat snowfall data are evaluated by comparison with daily snow accumulation measurements from ten automatic weather stations (AWSs) and the fifth generation of the European Centre for Medium-Range Weather Forecasts climate reanalysis (ERA5) snowfall. Synoptic snowfall data were constructed based on the CloudSat measurements within a radius of 1.41 degrees. The results show that reconstructed CloudSat snowfall at daily and two-day resolutions cover about 28% and 29% of the area of the AIS, respectively. Daily CloudSat snowfall and AWS snow accumulation have similar trends at all stations. While influenced by stronger winds, &gt;73.3% of extreme snow accumulation events correspond to snowfall at eight stations. Even if the CloudSat snowfall data have not been assimilated into the ERA5 dataset, the synoptic CloudSat snowfall data are almost identical to the daily ERA5 snowfall with only small biases (average root mean square error and mean absolute error &lt; 3.9 mm/day). Agreement among the three datasets suggests that the CloudSat data can provide reliable synoptic snowfall data in most areas of the AIS. The ERA5 dataset captures a large number of extreme snowfall events at all AWSs, with capture rates varying from 56% to 88%. There are still high uncertainties in ERA5. Nevertheless, the result suggests that ERA5 can be used to represent actual snowfall events on the AIS at synoptic timescale.</t>
  </si>
  <si>
    <t>[Liu, Yihui; Li, Fei; Hao, Weifeng] Wuhan Univ, Chinese Antarctic Ctr Surveying &amp; Mapping, Wuhan 430079, Hubei, Peoples R China; [Li, Fei; Hao, Weifeng; Barriot, Jean-Pierre] State Key Lab Informat Engn Surveying Mapping &amp; R, Wuhan 430079, Hubei, Peoples R China; [Li, Fei] Wuhan Univ, Collaborat Innovat Ctr Terr Sovereignty &amp; Maritim, Wuhan 430079, Hubei, Peoples R China; [Barriot, Jean-Pierre] Univ French Polynesia, Observ Geodes Tahiti, F-98702 Tahiti, French Polynesi, France; [Wang, Yetang] Shandong Normal Univ, Coll Geog &amp; Environm, Jinan 250014, Shandong, Peoples R China</t>
  </si>
  <si>
    <t>Wuhan University; Wuhan University; Shandong Normal University</t>
  </si>
  <si>
    <t>Li, F (corresponding author), Wuhan Univ, Chinese Antarctic Ctr Surveying &amp; Mapping, Wuhan 430079, Hubei, Peoples R China.;Li, F (corresponding author), State Key Lab Informat Engn Surveying Mapping &amp; R, Wuhan 430079, Hubei, Peoples R China.;Li, F (corresponding author), Wuhan Univ, Collaborat Innovat Ctr Terr Sovereignty &amp; Maritim, Wuhan 430079, Hubei, Peoples R China.</t>
  </si>
  <si>
    <t>fli@whu.edu.cn</t>
  </si>
  <si>
    <t>Barriot, Jean-Pierre/AAD-6709-2021; Liu, Yihui/Q-3030-2018</t>
  </si>
  <si>
    <t>Barriot, Jean-Pierre/0000-0002-2112-9685;</t>
  </si>
  <si>
    <t>National Key R&amp;D Program of China [2017YFA0603104]; Strategic Priority Research Program of the Chinese Academy of Sciences [XAD19070103]; Natural Science Foundation of China [41574004, 41531069]</t>
  </si>
  <si>
    <t>National Key R&amp;D Program of China; Strategic Priority Research Program of the Chinese Academy of Sciences(Chinese Academy of Sciences); Natural Science Foundation of China(National Natural Science Foundation of China (NSFC))</t>
  </si>
  <si>
    <t>This research was funded by the National Key R&amp;D Program of China (grant number 2017YFA0603104), the Strategic Priority Research Program of the Chinese Academy of Sciences (XAD19070103) and the Natural Science Foundation of China (grant number 41574004, 41531069).</t>
  </si>
  <si>
    <t>10.3390/rs11141686</t>
  </si>
  <si>
    <t>IQ1RK</t>
  </si>
  <si>
    <t>WOS:000480527800056</t>
  </si>
  <si>
    <t>Peng, CB; Duarte, CM; Costa, DP; Guinet, C; Harcourt, RG; Hindell, MA; McMahon, CR; Muelbert, M; Thums, M; Wong, KC; Zhang, XL</t>
  </si>
  <si>
    <t>Peng, Chengbin; Duarte, Carlos M.; Costa, Daniel P.; Guinet, Christophe; Harcourt, Robert G.; Hindell, Mark A.; McMahon, Clive R.; Muelbert, Monica; Thums, Michele; Wong, Ka-Chun; Zhang, Xiangliang</t>
  </si>
  <si>
    <t>Deep Learning Resolves Representative Movement Patterns in a Marine Predator Species</t>
  </si>
  <si>
    <t>marine animal movement analysis; recurrent neural networks; representative patterns</t>
  </si>
  <si>
    <t>ANIMAL MOVEMENT; TRAJECTORIES; MODELS</t>
  </si>
  <si>
    <t>The analysis of animal movement from telemetry data provides insights into how and why animals move. While traditional approaches to such analysis mostly focus on predicting animal states during movement, we describe an approach that allows us to identify representative movement patterns of different animal groups. To do this, we propose a carefully designed recurrent neural network and combine it with telemetry data for automatic feature extraction and identification of non-predefined representative patterns. In the experiment, we consider a particular marine predator species, the southern elephant seal, as an example. With our approach, we identify that the male seals in our data set share similar movement patterns when they are close to land. We identify this pattern recurring in a number of distant locations, consistent with alternative approaches from previous research.</t>
  </si>
  <si>
    <t>[Peng, Chengbin] Ningbo Univ, Coll Informat Sci &amp; Engn, Ningbo 315211, Zhejiang, Peoples R China; [Peng, Chengbin] Chinese Acad Sci, Ningbo Inst Ind Technol, Ningbo 315201, Zhejiang, Peoples R China; [Duarte, Carlos M.] King Abdullah Univ Sci &amp; Technol, Red Sea Res Ctr, Thuwal 239556900, Saudi Arabia; [Costa, Daniel P.] Univ Calif Santa Cruz, Dept Ecol &amp; Evolutionary Biol, Santa Cruz, CA 95060 USA; [Guinet, Christophe] Univ La Rochelle, Ctr Etud Biol Chize, UMR CNRS 7372, F-79360 Villiers En Bois, France; [Harcourt, Robert G.] Macquarie Univ, Dept Biol Sci, Sydney, NSW 2109, Australia; [Hindell, Mark A.; Muelbert, Monica] Univ Tasmania, Inst Marine &amp; Antarctic Studies, Private Bag 05, Hobart, Tas 7001, Australia; [McMahon, Clive R.] Sydney Inst Marine Sci, 19 Chowder Bay Rd, Mosman, NSW 2088, Australia; [Muelbert, Monica] Inst Oceanog, Caixa Postal 474, BR-96201900 Rio Grande, Brazil; [Thums, Michele] Univ Western Australia, Australian Inst Marine Sci, Indian Ocean Marine Res Ctr, M096,35 Stirling Highway, Crawley, WA 6009, Australia; [Wong, Ka-Chun] City Univ Hong Kong, Dept Comp Sci, Hong Kong, Peoples R China; [Zhang, Xiangliang] King Abdullah Univ Sci &amp; Technol, Comp Elect &amp; Math Sci &amp; Engn, Thuwal 239556900, Saudi Arabia</t>
  </si>
  <si>
    <t>Ningbo University; Chinese Academy of Sciences; King Abdullah University of Science &amp; Technology; University of California System; University of California Santa Cruz; La Rochelle Universite; Macquarie University; University of Tasmania; Sydney Institute of Marine Science; Australian Institute of Marine Science; University of Western Australia; City University of Hong Kong; King Abdullah University of Science &amp; Technology</t>
  </si>
  <si>
    <t>Zhang, XL (corresponding author), King Abdullah Univ Sci &amp; Technol, Comp Elect &amp; Math Sci &amp; Engn, Thuwal 239556900, Saudi Arabia.</t>
  </si>
  <si>
    <t>xiangliang.zhang@kaust.edu.sa</t>
  </si>
  <si>
    <t>Wong, Ka-Chun/L-7160-2019; Duarte Quesada, Carlos Manuel/ABD-6208-2021; Guinet, Christophe/AAR-8457-2020; Zhang, Xiangliang/AAG-2238-2021; McMahon, Clive R/D-5713-2013; Thums, Michele/A-3850-2013; Hindell, Mark A/K-1131-2013; Duarte, Carlos M/A-7670-2013</t>
  </si>
  <si>
    <t>Wong, Ka-Chun/0000-0001-6062-733X; Zhang, Xiangliang/0000-0002-3574-5665; McMahon, Clive R/0000-0001-5241-8917; Duarte, Carlos M/0000-0002-1213-1361; Hindell, Mark/0000-0002-7823-7185; Harcourt, Robert/0000-0003-4666-2934</t>
  </si>
  <si>
    <t>King Abdullah University of Science and Technology's (KAUST) Sensor Innovation Initiative; National Natural Science Foundation of China [61802372]; Qianjiang Talent Plan [QJD1702031]; Natural Science Foundation of Ningbo, China [2018A610050]</t>
  </si>
  <si>
    <t>King Abdullah University of Science and Technology's (KAUST) Sensor Innovation Initiative; National Natural Science Foundation of China(National Natural Science Foundation of China (NSFC)); Qianjiang Talent Plan; Natural Science Foundation of Ningbo, China</t>
  </si>
  <si>
    <t>This research was funded by King Abdullah University of Science and Technology's (KAUST) Sensor Innovation Initiative, the National Natural Science Foundation of China (NO. 61802372), the Qianjiang Talent Plan (NO. QJD1702031), and Natural Science Foundation of Ningbo, China (NO. 2018A610050).</t>
  </si>
  <si>
    <t>10.3390/app9142935</t>
  </si>
  <si>
    <t>IN9VN</t>
  </si>
  <si>
    <t>WOS:000479026900159</t>
  </si>
  <si>
    <t>Kim, K; Menacherry, SPM; Kim, J; Chung, HY; Jeong, D; Saiz-Lopez, A; Choi, W</t>
  </si>
  <si>
    <t>Kim, Kitae; Menacherry, Sunil Paul M.; Kim, Jungwon; Chung, Hyun Young; Jeong, Daun; Saiz-Lopez, Alfonso; Choi, Wonyong</t>
  </si>
  <si>
    <t>Simultaneous and Synergic Production of Bioavailable Iron and Reactive Iodine Species in Ice</t>
  </si>
  <si>
    <t>BOUNDARY-LAYER HALOGENS; ENHANCED DISSOLUTION; SEA-ICE; COASTAL; ACID; OXIDE; ANTARCTICA; REDUCTION; OXIDATION</t>
  </si>
  <si>
    <t>The bioavailable iron is essential for all living organisms, and the dissolution of iron oxide contained in dust and soil is one of the major sources of bioavailable iron in nature. Iodine in the polar atmosphere is related to ozone depletion, mercury oxidation, and cloud condensation nuclei formation. Here we show that the chemical reaction between iron oxides and iodide (I-) is markedly accelerated to produce bioavailable iron (Fe(II)(aq)) and tri-iodide (I-3(-): evaporable in the form of I-2) in frozen solution (both with and without light irradiation), while it is negligible in aqueous phase. The freeze-enhanced production of Fe(II)(aq) and triiodide is ascribed to the freeze concentration of iron oxides, iodides, and protons in the ice grain boundaries. The outdoor experiments carried out in midlatitude during a winter day (Pohang, Korea: 36 degrees 0' N, 129 degrees 19' E) and in an Antarctic environment (King George Island: 62 degrees 13' S 58 degrees 47' w) also showed the enhanced generation of Fe(II)(aq) and tri-iodide in ice. This study proposes a previously unknown abiotic mechanism and source of bioavailable iron and active iodine species in the polar environment. The pulse input of bioavailable iron and reactive iodine when ice melts may influence the oceanic primary production and CCN formation.</t>
  </si>
  <si>
    <t>[Kim, Kitae] Korea Polar Res Inst KOPRI, Incheon 21990, South Korea; [Kim, Kitae; Menacherry, Sunil Paul M.; Jeong, Daun; Choi, Wonyong] Pohang Univ Sci &amp; Technol POSTECH, Div Environm Sci &amp; Engn, Pohang 37673, South Korea; [Kim, Kitae; Chung, Hyun Young] UST, Dept Polar Sci, Incheon 21990, South Korea; [Kim, Jungwon] Hallym Univ, Dept Environm Sci &amp; Biotechnol, Chunchon 24252, Gangwon Do, South Korea; [Saiz-Lopez, Alfonso] CSIC, Inst Phys Chem Rocasolano, Dept Atmospher Chem &amp; Climate, E-28006 Madrid, Spain</t>
  </si>
  <si>
    <t>Korea Polar Research Institute (KOPRI); Pohang University of Science &amp; Technology (POSTECH); University of Science &amp; Technology (UST); Hallym University; Consejo Superior de Investigaciones Cientificas (CSIC); CSIC - Instituto de Quimica Fisica Rocasolano (IQFR)</t>
  </si>
  <si>
    <t>Choi, W (corresponding author), Pohang Univ Sci &amp; Technol POSTECH, Div Environm Sci &amp; Engn, Pohang 37673, South Korea.</t>
  </si>
  <si>
    <t>wchoi@postech.edu</t>
  </si>
  <si>
    <t>Jeong, Daun/ABC-8377-2020; Menacherry, Sunil Paul Mathew/GLT-5713-2022; Choi, Wonyong/F-8206-2010; Menacherry, Sunil Paul Mathew/AAZ-2779-2021; Saiz-Lopez, Alfonso/B-3759-2015</t>
  </si>
  <si>
    <t>Menacherry, Sunil Paul Mathew/0000-0002-9487-9874; Choi, Wonyong/0000-0003-1801-9386; Menacherry, Sunil Paul Mathew/0000-0002-9487-9874; Saiz-Lopez, Alfonso/0000-0002-0060-1581; Kim, Kitae/0000-0003-0803-3547; Jeong, Daun/0000-0001-7703-5226</t>
  </si>
  <si>
    <t>Korea Polar Research Institute (KOPRI) project [PE19200]</t>
  </si>
  <si>
    <t>Korea Polar Research Institute (KOPRI) project</t>
  </si>
  <si>
    <t>Funding for this work was provided by Korea Polar Research Institute (KOPRI) project (PE19200).</t>
  </si>
  <si>
    <t>10.1021/acs.est.8b06659</t>
  </si>
  <si>
    <t>IH4QX</t>
  </si>
  <si>
    <t>WOS:000474478300018</t>
  </si>
  <si>
    <t>Shan, HW; Zhao, XY; Zhou, YG; Wang, T; Ma, S</t>
  </si>
  <si>
    <t>Shan, Hongwei; Zhao, Xiaoyan; Zhou, Yangen; Wang, Teng; Ma, Shen</t>
  </si>
  <si>
    <t>Effects of freeze-dried powder of the Antarctic krill Euphausia superba on the growth performance, molting and fatty acid composition of the Pacific white shrimp Litopenaeus vannamei</t>
  </si>
  <si>
    <t>Antarctic krill; astaxanthin; HUFA; Litopenaeus vannamei; molting synchronism</t>
  </si>
  <si>
    <t>TROUT ONCORHYNCHUS-MYKISS; SOY PROTEIN-CONCENTRATE; FISH-MEAL; PENAEUS-MONODON; TOTAL REPLACEMENT; DIETARY SUPPLEMENTATION; FEED INGREDIENTS; PRACTICAL DIETS; TIGER SHRIMP; ASTAXANTHIN</t>
  </si>
  <si>
    <t>This study was designed to evaluate the effect of dietary replacement fish meal supplemented with freeze-dried powder of the Antarctic krill Euphausia superba (FDPE) on the growth performance, molting, and fatty acid composition of the Pacific white shrimp Litopenaeus vannamei (initial weight 1.27 +/- 0.09 g). Four diets containing 0% (S0 group), 10% (S10 group), 20% (S20 group), and 30% (S20 group) FDPE were used in the present study. At the end of growth trial, the final body weight, weight gain rate, and specific growth rate in the S10, S20, and S30 groups were higher than those in the S0 group. The shrimp in the S10 and S20 groups exhibited better molting synchronism than those in the S0 group. The astaxanthin content in the hepatopancreas from the shrimp in the groups supplemented with FDPE was significantly higher than that in the S0 group (p &lt; 0.05) and increased as the FDPE content in the feed increased. The shrimp in the S10, S20, and S30 groups had a higher monounsaturated fatty acid (MUFA) content in the hepatopancreas than those in the S0 group. The sum of EPA and DHA in the muscles from the shrimp in the S0 group was lower than that in the other groups. These results indicate that the dietary inclusion of 10%-20% FDPE can be used as practical diets in L. vannamei farmed under a clear water system.</t>
  </si>
  <si>
    <t>[Shan, Hongwei; Zhao, Xiaoyan; Zhou, Yangen; Wang, Teng; Ma, Shen] Ocean Univ China, Key Lab Mariculture, Minist Educ, Qingdao 266003, Shandong, Peoples R China</t>
  </si>
  <si>
    <t>Ocean University of China</t>
  </si>
  <si>
    <t>Ma, S (corresponding author), Ocean Univ China, Key Lab Mariculture, Minist Educ, Qingdao 266003, Shandong, Peoples R China.</t>
  </si>
  <si>
    <t>mashen@ouc.edu.cn</t>
  </si>
  <si>
    <t>chen, gang/JRX-1197-2023</t>
  </si>
  <si>
    <t>Shan, Hongwei/0000-0002-7829-1755</t>
  </si>
  <si>
    <t>Key Laboratory of Mariculture of the Ministry of Education, Ocean University of China [KLM2018010]</t>
  </si>
  <si>
    <t>Key Laboratory of Mariculture of the Ministry of Education, Ocean University of China</t>
  </si>
  <si>
    <t>The Key Laboratory of Mariculture of the Ministry of Education, Ocean University of China, Grant/Award Number: KLM2018010</t>
  </si>
  <si>
    <t>10.1111/are.14240</t>
  </si>
  <si>
    <t>IY0HE</t>
  </si>
  <si>
    <t>WOS:000473964700001</t>
  </si>
  <si>
    <t>Garabato, ACN; Frajka-Williams, EE; Spingys, CP; Legg, S; Polzin, KL; Forryan, A; Abrahamsen, EP; Buckingham, CE; Griffies, SM; McPhail, SD; Nicholls, KW; Thomas, LN; Meredith, MP</t>
  </si>
  <si>
    <t>Garabato, Alberto C. Naveira; Frajka-Williams, Eleanor E.; Spingys, Carl P.; Legg, Sonya; Polzin, Kurt L.; Forryan, Alexander; Abrahamsen, E. Povl; Buckingham, Christian E.; Griffies, Stephen M.; McPhail, Stephen D.; Nicholls, Keith W.; Thomas, Leif N.; Meredith, Michael P.</t>
  </si>
  <si>
    <t>Rapid mixing and exchange of deep-ocean waters in an abyssal boundary current</t>
  </si>
  <si>
    <t>ocean mixing; overturning circulation; submesoscale instabilities; turbulence</t>
  </si>
  <si>
    <t>ANTARCTIC BOTTOM WATER; POTENTIAL VORTICITY; DISSIPATION; INSTABILITY</t>
  </si>
  <si>
    <t>The overturning circulation of the global ocean is critically shaped by deep-ocean mixing, which transforms cold waters sinking at high latitudes into warmer, shallower waters. The effectiveness of mixing in driving this transformation is jointly set by two factors: the intensity of turbulence near topography and the rate at which well-mixed boundary waters are exchanged with the stratified ocean interior. Here, we use innovative observations of a major branch of the overturning circulation-an abyssal boundary current in the Southern Ocean-to identify a previously undocumented mixing mechanism, by which deep-ocean waters are efficiently laundered through intensified near-boundary turbulence and boundary-interior exchange. The linchpin of the mechanism is the generation of submesoscale dynamical instabilities by the flow of deep-ocean waters along a steep topographic boundary. As the conditions conducive to this mode of mixing are common to many abyssal boundary currents, our findings highlight an imperative for its representation in models of oceanic overturning.</t>
  </si>
  <si>
    <t>[Garabato, Alberto C. Naveira; Spingys, Carl P.; Forryan, Alexander] Univ Southampton, Natl Oceanog Ctr, Ocean &amp; Earth Sci, Southampton SO14 3ZH, Hants, England; [Frajka-Williams, Eleanor E.; McPhail, Stephen D.] Natl Oceanog Ctr, Southampton SO14 3ZH, Hants, England; [Legg, Sonya; Griffies, Stephen M.] Princeton Univ, NOAA, Geophys Fluid Dynam Lab, Princeton, NJ 08544 USA; [Legg, Sonya; Griffies, Stephen M.] Princeton Univ, Atmospher &amp; Ocean Sci Program, Princeton, NJ 08544 USA; [Polzin, Kurt L.] Woods Hole Oceanog Inst, Dept Phys Oceanog, Woods Hole, MA 02543 USA; [Abrahamsen, E. Povl; Buckingham, Christian E.; Nicholls, Keith W.; Meredith, Michael P.] British Antarctic Survey, Polar Oceans, Cambridge CB3 0ET, England; [Thomas, Leif N.] Stanford Univ, Dept Earth Syst Sci, Stanford, CA 94305 USA</t>
  </si>
  <si>
    <t>NERC National Oceanography Centre; University of Southampton; NERC National Oceanography Centre; Princeton University; National Oceanic Atmospheric Admin (NOAA) - USA; National Oceanic Atmospheric Admin (NOAA) - USA; Princeton University; Woods Hole Oceanographic Institution; UK Research &amp; Innovation (UKRI); Natural Environment Research Council (NERC); NERC British Antarctic Survey; Stanford University</t>
  </si>
  <si>
    <t>Garabato, ACN (corresponding author), Univ Southampton, Natl Oceanog Ctr, Ocean &amp; Earth Sci, Southampton SO14 3ZH, Hants, England.</t>
  </si>
  <si>
    <t>acng@noc.soton.ac.uk</t>
  </si>
  <si>
    <t>Frajka-Williams, Eleanor/H-2415-2011; Legg, Sonya/E-5995-2010; Abrahamsen, Povl/B-2140-2008; Buckingham, Christian E./ABC-7842-2020; Garabato, Alberto Naveira/AAQ-1114-2020; Griffies, Stephen Matthew/N-9144-2019</t>
  </si>
  <si>
    <t>Frajka-Williams, Eleanor/0000-0001-8773-7838; Abrahamsen, Povl/0000-0001-5924-5350; Buckingham, Christian E./0000-0001-9355-9038; Garabato, Alberto Naveira/0000-0001-6071-605X; Griffies, Stephen Matthew/0000-0002-3711-236X; Meredith, Michael/0000-0002-7342-7756; Spingys, Carl/0000-0001-6220-3047</t>
  </si>
  <si>
    <t>UK Natural Environment Research Council [NE/K013181/1, NE/K012843/1]; US National Science Foundation [OCE-1536453, OCE-1536779]; Royal Society; Wolfson Foundation; National Oceanic and Atmospheric Administration, US Department of Commerce [NA14OAR4320106]; NERC [NE/K012843/1, NE/E005667/1, NE/K013181/1, bas0100033] Funding Source: UKRI</t>
  </si>
  <si>
    <t>UK Natural Environment Research Council(UK Research &amp; Innovation (UKRI)Natural Environment Research Council (NERC)); US National Science Foundation(National Science Foundation (NSF)); Royal Society(Royal Society); Wolfson Foundation; National Oceanic and Atmospheric Administration, US Department of Commerce(National Oceanic Atmospheric Admin (NOAA) - USA); NERC(UK Research &amp; Innovation (UKRI)Natural Environment Research Council (NERC))</t>
  </si>
  <si>
    <t>The DynOPO project is supported by the UK Natural Environment Research Council (grants NE/K013181/1 and NE/K012843/1) and the US National Science Foundation (grants OCE-1536453 and OCE-1536779). A. C. N. G. acknowledges the support of the Royal Society and the Wolfson Foundation. S. L. acknowledges the support of award NA14OAR4320106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We are grateful to the scientific party, crew, and technicians on the RRS James Clark Ross for their hard work during data collection.</t>
  </si>
  <si>
    <t>10.1073/pnas.1904087116</t>
  </si>
  <si>
    <t>IF9QP</t>
  </si>
  <si>
    <t>Green Published, Green Accepted, hybrid, Green Submitted</t>
  </si>
  <si>
    <t>WOS:000473427900019</t>
  </si>
  <si>
    <t>Reis-Mansur, MCPP; Cardoso-Rurr, JS; Silva, JVMA; de Souza, GR; Cardoso, VD; Mansoldo, FRPA; Pinheiro, Y; Schultz, J; Balottin, LBL; da Silva, AJR; Lage, C; dos Santos, EPE; Rosado, AS; Vermelho, AB</t>
  </si>
  <si>
    <t>Reis-Mansur, Maria Cristina P. P.; Cardoso-Rurr, Janine S.; Maiworm Abreu Silva, Josemar V.; de Souza, Gabriela Rodrigues; Cardoso, Veronica da Silva; Assos Mansoldo, Felipe Raposo P.; Pinheiro, Yuri; Schultz, Junia; Lopez Balottin, Luciene B.; Ribeiro da Silva, Antonio Jorge; Lage, Claudia; Ereira dos Santos, Elisabete P.; Rosado, Alexandre Soares; Vermelho, Alane Beatriz</t>
  </si>
  <si>
    <t>Carotenoids from UV-resistant Antarctic Microbacterium sp. LEMMJ01</t>
  </si>
  <si>
    <t>B RADIATION; ULTRAVIOLET-RADIATION; OZONE DEPLETION; BETA-CAROTENE; IDENTIFICATION; DNA; BACTERIA; ANTIOXIDANTS; RHIZOSPHERE; PROTECTION</t>
  </si>
  <si>
    <t>The Microbacterium sp. LEMMJ01 isolated from Antarctic soil does not belong to any of the nearest species identified in the RDP database. Under UV radiation (A, B and C wavebands) the survival fractions of Microbacterium sp. cells were much higher compared with wild-type E. coli K12A15. Especially remarkable for an Antarctic bacterium, an expressive resistance against high UV-B doses was observed. The increased survival of DNA repair-proficient E. coli grown overnight added of 0.1 mg/ml or 1 mg/ml of the whole pigment extract produced by Microbacterium sp. revealed that part of the resistance of Microbacterium sp. against UV-B radiation seems to be connected with photoprotection by its pigments. Scanning electron microscopy revealed that UV-A and UV-B ensued membrane alterations only in E. coli. The APCI-MS fingerprints revealed the diagnostic ions for neurosporene (m/z 580, 566, 522, 538, and 524) synergism for the first time in this bacterium by HPLC-MS/MS analysis. Carotenoids also were devoid of phototoxicity and cytotoxicity effects in mouse cells and in human keratinocytes and fibroblasts.</t>
  </si>
  <si>
    <t>[Reis-Mansur, Maria Cristina P. P.; Cardoso, Veronica da Silva; Assos Mansoldo, Felipe Raposo P.; Vermelho, Alane Beatriz] Univ Fed Rio de Janeiro, BIOINOVAR Biocatalysis Bioprod &amp; Bioenergy, Paulo de Goes Inst Microbiol, Rio de Janeiro, Brazil; [Cardoso-Rurr, Janine S.; Lage, Claudia] Univ Fed Rio de Janeiro, LaRBio Radiat &amp; Biol Lab, Carlos Chagas Filho Inst Biophys, Rio de Janeiro, Brazil; [Maiworm Abreu Silva, Josemar V.; Lopez Balottin, Luciene B.] Natl Inst Metrol Qual &amp; Technol, Labio Dimav Inmetro Lab Tissue Bioengn, Directorate Metrol Appl Life Sci, Duque De Caxias, Brazil; [de Souza, Gabriela Rodrigues; Ribeiro da Silva, Antonio Jorge] Univ Fed Rio de Janeiro, Res Inst Nat Prod, Rio de Janeiro, Brazil; [Pinheiro, Yuri; Schultz, Junia; Rosado, Alexandre Soares] Univ Fed Rio de Janeiro, LEMM, Paulo de Goes Inst Microbiol, Rio de Janeiro, Brazil; [Ereira dos Santos, Elisabete P.] Univ Fed Rio de Janeiro, Fac Pharm, Galenico Dev Lab, Rio de Janeiro, Brazil</t>
  </si>
  <si>
    <t>Universidade Federal do Rio de Janeiro; Universidade Federal do Rio de Janeiro; Instituto Nacional de Metrologia, Qualidade e Tecnologia (INMETRO); Universidade Federal do Rio de Janeiro; Universidade Federal do Rio de Janeiro; Universidade Federal do Rio de Janeiro</t>
  </si>
  <si>
    <t>Vermelho, AB (corresponding author), Univ Fed Rio de Janeiro, BIOINOVAR Biocatalysis Bioprod &amp; Bioenergy, Paulo de Goes Inst Microbiol, Rio de Janeiro, Brazil.</t>
  </si>
  <si>
    <t>abvermelho@micro.ufrj.br</t>
  </si>
  <si>
    <t>Santos, Elisabete Pereira/HKN-0028-2023; Rosado, Alexandre Soares/G-1955-2012; VERMELHO, ALANE BEATRIZ/J-8803-2013; Lage, Claudia A S/K-6563-2012; Ribeiro da Silva, Antonio Jorge/N-4020-2019</t>
  </si>
  <si>
    <t>Santos, Elisabete Pereira/0000-0002-6712-0643; Rosado, Alexandre Soares/0000-0001-5135-1394; VERMELHO, ALANE BEATRIZ/0000-0001-5926-4172; Ribeiro da Silva, Antonio Jorge/0000-0002-7579-420X; Pinheiro Pereira Reis Mansur, Maria Cristina/0000-0001-8587-8274; Mansoldo, Felipe/0000-0002-4339-2062</t>
  </si>
  <si>
    <t>Coordenacao de Aperfeicoamento Pessoal de Nivel Superior- Brasil (CAPES) [001]; Fundacao de Amparo a Pesquisa do Estado do Rio de Janeiro (FAPERJ) [Ed. 124/2013, Ed. 15/2015]; Conselho Nacional de Desenvolvimento Cientifico e Tecnologico (MCTI-CNPq)</t>
  </si>
  <si>
    <t>Coordenacao de Aperfeicoamento Pessoal de Nivel Superior- Brasil (CAPES)(Coordenacao de Aperfeicoamento de Pessoal de Nivel Superior (CAPES)); Fundacao de Amparo a Pesquisa do Estado do Rio de Janeiro (FAPERJ)(Fundacao Carlos Chagas Filho de Amparo a Pesquisa do Estado do Rio De Janeiro (FAPERJ)); Conselho Nacional de Desenvolvimento Cientifico e Tecnologico (MCTI-CNPq)(Conselho Nacional de Desenvolvimento Cientifico e Tecnologico (CNPQ))</t>
  </si>
  <si>
    <t>This work was financed in part by the Coordenacao de Aperfeicoamento Pessoal de Nivel Superior- Brasil (CAPES), Grant code 001, by grants from Fundacao de Amparo a Pesquisa do Estado do Rio de Janeiro (FAPERJ, Ed. 124/2013; Ed. 15/2015), and Conselho Nacional de Desenvolvimento Cientifico e Tecnologico (MCTI-CNPq, produtividade em pesquisa, 2015).</t>
  </si>
  <si>
    <t>10.1038/s41598-019-45840-6</t>
  </si>
  <si>
    <t>IF9MK</t>
  </si>
  <si>
    <t>WOS:000473417000045</t>
  </si>
  <si>
    <t>Schneider, A; Flanner, M; De Roo, RD; Adolph, AC</t>
  </si>
  <si>
    <t>Schneider, Adam; Flanner, Mark; De Roo, Roger D.; Adolph, Alden C.</t>
  </si>
  <si>
    <t>Monitoring of snow surface near-infrared bidirectional reflectance factors with added light-absorbing particles</t>
  </si>
  <si>
    <t>ANTARCTIC SNOW; GRAIN-SIZE; AREA; ALBEDO; SCATTERING; EVOLUTION; PROFILES; OPTICS</t>
  </si>
  <si>
    <t>Broadband snow albedo can range from 0.3 to 0.9 depending on microphysical properties and light-absorbing particle (LAP) concentrations. Beyond the widely observed direct and visibly apparent effect of darkening snow, it is still unclear how LAPs influence snow albedo feedbacks. To investigate LAPs' indirect effect on snow albedo feedbacks, we developed and calibrated the Near-Infrared Emitting and Reflectance-Monitoring Dome (NERD) and monitored bidirectional reflectance factors (BRFs) hourly after depositing dust and black carbon (BC) particles onto experimental snow surfaces. After comparing snow infrared BRFs to snow specific surface areas (SSAs), we found that both measured and modeled snow infrared BRFs are correlated with snow SSA. These results, however, demonstrate a considerable uncertainty of +/- 10 m(2) kg(-1) in the determination of snow SSA from our BRF measurements. The nondestructive technique for snow SSA retrieval that we present here can be further developed for science applications that require rapid in situ snow SSA measurements. After adding large amounts of dust and BC to snow, we found more rapid decreasing of snow BRFs and SSAs in snow with added LAPs compared to natural (clean) snow but only during clear-sky conditions. These results suggest that deposition of LAPs onto snow can accelerate snow metamorphism via a net positive snow grain-size feedback.</t>
  </si>
  <si>
    <t>[Schneider, Adam; Flanner, Mark; De Roo, Roger D.] Univ Michigan, Dept Climate &amp; Space Sci &amp; Engn, Climate &amp; Space Res Bldg,2455 Hayward St, Ann Arbor, MI 48109 USA; [Adolph, Alden C.] St Olaf Coll, Phys Dept, 1520 St Olaf Ave, Northfield, MN 55057 USA</t>
  </si>
  <si>
    <t>University of Michigan System; University of Michigan; Saint Olaf College</t>
  </si>
  <si>
    <t>Schneider, A (corresponding author), Univ Michigan, Dept Climate &amp; Space Sci &amp; Engn, Climate &amp; Space Res Bldg,2455 Hayward St, Ann Arbor, MI 48109 USA.</t>
  </si>
  <si>
    <t>amschne@umich.edu</t>
  </si>
  <si>
    <t>Flanner, Mark/C-6139-2011; De Roo, Roger D/J-2208-2012</t>
  </si>
  <si>
    <t>Flanner, Mark/0000-0003-4012-174X; Adolph, Alden/0000-0001-9926-4740; Schneider, Adam/0000-0002-8760-1639</t>
  </si>
  <si>
    <t>National Science Foundation [ARC-1253154]</t>
  </si>
  <si>
    <t>This research has been supported by the National Science Foundation (grant no. ARC-1253154).</t>
  </si>
  <si>
    <t>JUL 1</t>
  </si>
  <si>
    <t>10.5194/tc-13-1753-2019</t>
  </si>
  <si>
    <t>LL3WR</t>
  </si>
  <si>
    <t>WOS:000531487200001</t>
  </si>
  <si>
    <t>Bremec, C; Elías, R; Calla, S; Genzano, G; Tapia, AP; Schejter, L</t>
  </si>
  <si>
    <t>Bremec, Claudia; Elias, Rodolfo; Calla, Sofia; Genzano, Gabriel; Puente Tapia, Alejandro; Schejter, Laura</t>
  </si>
  <si>
    <t>Polychaetes from Burdwood Bank: Namuncura I Marine Protected Area and slope, SW Atlantic Ocean</t>
  </si>
  <si>
    <t>REVISTA DE BIOLOGIA TROPICAL</t>
  </si>
  <si>
    <t>new Marine Protected Area; Burdwood Bank; polychaetes; SW Atlantic Ocean</t>
  </si>
  <si>
    <t>ITALIAN OCEANOGRAPHIC CRUISE; XI 1978-1979; MAGELLAN; SEA; WATERS; GENUS; BIODIVERSITY; ASSEMBLAGES; REGION; FAUNA</t>
  </si>
  <si>
    <t>Introduction: The first open-sea (non-coastal) Marine Protected Area in Argentina, named Namuncura I (NMPA), was created in 2013 at Burdwood Bank (BB), an undersea plateau located about 200 km south from Malvinas Islands (Falkland Islands) and 150 km east from Staten Island, SW Atlantic Ocean. It comprises three different management areas: the central one (core, strict protection, only control and monitoring activities), surrounded by a buffer area (authorized activities, e.g. scientific research) and an external transition area (productive and extractive activities contemplated in the Management Plan). Beyond the transition area, only the southern shelf-break is protected, after the creation of the Namuncura II MPA in December 2018. Objective: provide the inventory of polychaetes collected during 2016 and 2017 at the core (98 m depth), buffer (128 m depth), transition (133 m-189 m depth) areas of the Namuncura I MPA, together with slope areas (220 m-798 m depth). Methods: taken with a trawl net used to characterize the faunal assemblages and to compare results with other Magellan areas. Multidimensional Scaling (MDS) and Cluster Analysis (CA) were applied to a Bray-Curtis similarity index to assess polychaete assemblages in the NMPA BB slope and Magellan region respectively; SIMPER (Similarity Percentage Analyses) and ANOSIM (Analysis of Similarities) were performed. Results: A total of 918 individuals, which correspond to 39 taxa distributed in 22 families, were recorded in samples from NMPA and BB slope, mainly epibenthic or associated with the large corals collected. Ampharete kerguelensis McIntosh, 1885; Hyalinoecia artifex Verrill, 1880; Idanthyrsus macropaleus (Schmarda, 1861); Laetmonice producta Grube, 1877; Onuphis pseudoiridescens Averincev, 1972; Pista mirabilis McIntosh 1885 and Terebellides malvinensis Bremec &amp; Elias, 1999 constitute new records for Burdwood Bank. A similar polychaete assemblage characterized the three areas of NMPA and slope locations, while H. artifex characterized locations at the NW deepest slope of the bank. Conclusions: These results indicate strong connections between the fauna collected at NMPA and the polychaetes assemblage in other Magellan areas dominated by soft bottoms. The biogeographic importance of the BB as connection for benthic polychaete species between South America and the Antarctic Peninsula merits future investigation.</t>
  </si>
  <si>
    <t>[Bremec, Claudia; Genzano, Gabriel; Puente Tapia, Alejandro] Univ Nacl Mar del Plata, Estn Costera JJ Nagera, Funes 3350, RA-7600 Mar Del Plata, Argentina; [Bremec, Claudia; Genzano, Gabriel; Puente Tapia, Alejandro; Schejter, Laura] Consejo Nacl Invest Cient &amp; Tecn, IIMyC, Buenos Aires, DF, Argentina; [Elias, Rodolfo] Univ Nacl Mar del Plata, Fac Ciencias Exactas &amp; Nat, Dean Funes 3350,B7602AYL, Mar Del Plata, Argentina; [Calla, Sofia] Museo Argentine Ciencias Nat Bernardino Rivadavia, Av Angel Gallardo 470,C1405DJR, Buenos Aires, DF, Argentina; [Calla, Sofia] Consejo Nacl Invest Cient &amp; Tecn, Buenos Aires, DF, Argentina; [Schejter, Laura] Inst Nacl Invest &amp; Desarrollo Pesquero INIDEP, Paseo Victoria Ocampo 1, RA-7600 Mar Del Plata, Argentina</t>
  </si>
  <si>
    <t>National University of Mar del Plata; Consejo Nacional de Investigaciones Cientificas y Tecnicas (CONICET); National University of Mar del Plata; Museo Argentino de Ciencias Naturales Bernardino Rivadavia (MACN); Consejo Nacional de Investigaciones Cientificas y Tecnicas (CONICET); Consejo Nacional de Investigaciones Cientificas y Tecnicas (CONICET); National Fisheries Research &amp; Development Institute (INIDEP)</t>
  </si>
  <si>
    <t>Bremec, C (corresponding author), Univ Nacl Mar del Plata, Estn Costera JJ Nagera, Funes 3350, RA-7600 Mar Del Plata, Argentina.;Bremec, C (corresponding author), Consejo Nacl Invest Cient &amp; Tecn, IIMyC, Buenos Aires, DF, Argentina.</t>
  </si>
  <si>
    <t>claudiasilviabremec@gmail.com; roelias@mdp.edu.ar; sofialcalla@gmail.com; schejter@inidep.edu.ar</t>
  </si>
  <si>
    <t>Schejter, Laura/AAR-1106-2020</t>
  </si>
  <si>
    <t>Puente Tapia, Francisco Alejandro/0000-0002-5815-2600; Schejter, Laura/0000-0001-5443-4048</t>
  </si>
  <si>
    <t>SAN JOSE</t>
  </si>
  <si>
    <t>UNIVERSIDAD DE COSTA RICA CIUDAD UNIVERSITARIA, SAN JOSE, 00000, COSTA RICA</t>
  </si>
  <si>
    <t>0034-7744</t>
  </si>
  <si>
    <t>2215-2075</t>
  </si>
  <si>
    <t>REV BIOL TROP</t>
  </si>
  <si>
    <t>Rev. Biol. Trop.</t>
  </si>
  <si>
    <t>S</t>
  </si>
  <si>
    <t>S119</t>
  </si>
  <si>
    <t>S135</t>
  </si>
  <si>
    <t>10.15517/rbt.v67iS5.38937</t>
  </si>
  <si>
    <t>KT3CT</t>
  </si>
  <si>
    <t>WOS:000518893400011</t>
  </si>
  <si>
    <t>Koch, PL; Hall, BL; de Bruyn, M; Hoelzel, AR; Baroni, C; Salvatore, MC</t>
  </si>
  <si>
    <t>Koch, Paul L.; Hall, Brenda L.; de Bruyn, Mark; Hoelzel, A. Rus; Baroni, Carlo; Salvatore, M. Cristina</t>
  </si>
  <si>
    <t>Mummified and skeletal southern elephant seals (Mirounga leonina) from the Victoria Land Coast, Ross Sea, Antarctica</t>
  </si>
  <si>
    <t>Mirounga leonina; mummy; paleoecology; Antarctica; Ross Sea; Holocene</t>
  </si>
  <si>
    <t>POPULATION; CONSERVATION; LINE</t>
  </si>
  <si>
    <t>We report on an accumulation of mummified southern elephant seals (Mirounga leonina) from Inexpressible Island on the Victoria Land Coast (VLC), western Ross Sea, Antarctica. This accumulation is unusual, as elephant seals typically breed and molt on sub-Antarctic islands further north and do not currently occupy the VLC. Prior ancient DNA analyses revealed that these seals were part of a large, Antarctic breeding population that crashed similar to 1,000 yr ago. Radiocarbon dates for Inexpressible Island mummies range from 380 to 3,270 yr before present, too old to have been created by Scott's Northern Party in 1912 and varying too widely in age to represent a catastrophic death assemblage. Skeletal measurements reveal that most Inexpressible Island mummies are adult or subadult males. The presence of male elephant seals on Inexpressible Island until several hundred years ago suggests that, at a minimum, it served as a haul-out site for the large Antarctic population and may have hosted a breeding colony. The conditions that allowed this Antarctic population to use the Ross Sea, the factors spurring its decline, and the implications for the adaptability and sensitivity of the species to environmental change all merit further study.</t>
  </si>
  <si>
    <t>[Koch, Paul L.] Univ Calif Santa Cruz, Dept Earth &amp; Planetary Sci, Santa Cruz, CA 95064 USA; [Hall, Brenda L.] Univ Maine, Sch Earth &amp; Climate Sci, Orono, ME 04469 USA; [Hall, Brenda L.] Univ Maine, Climate Change Inst, Orono, ME 04469 USA; [de Bruyn, Mark] Univ Sydney, Sch Life &amp; Environm Sci, Sydney, NSW 2006, Australia; [Hoelzel, A. Rus] Univ Durham, Sch Biol &amp; Biomed Sci, South Rd, Durham DH1 3LE, England; [Baroni, Carlo; Salvatore, M. Cristina] Univ Pisa, Inst Geosci &amp; Georisorse, IGG CNR, Dipartimento Sci Terra, I-56126 Pisa, Italy</t>
  </si>
  <si>
    <t>University of California System; University of California Santa Cruz; University of Maine System; University of Maine Orono; University of Maine System; University of Maine Orono; University of Sydney; Durham University; University of Pisa; Consiglio Nazionale delle Ricerche (CNR); Istituto di Geoscienze e Georisorse (IGG-CNR)</t>
  </si>
  <si>
    <t>Koch, PL (corresponding author), Univ Calif Santa Cruz, Dept Earth &amp; Planetary Sci, Santa Cruz, CA 95064 USA.</t>
  </si>
  <si>
    <t>plkoch@ucsc.edu</t>
  </si>
  <si>
    <t>Salvatore, Maria Cristina/AAS-4000-2020; Baroni, Carlo/D-8184-2012; de Bruyn, Mark/C-5568-2008</t>
  </si>
  <si>
    <t>Salvatore, Maria Cristina/0000-0002-1590-7284; Baroni, Carlo/0000-0001-5905-4650; Koch, Paul/0000-0001-5248-1529; de Bruyn, Mark/0000-0003-1528-9604</t>
  </si>
  <si>
    <t>NSF [OPP 9909104, ANT 0439906, 0439979, ANT 1142108, 1141849]; Directorate For Geosciences; Office of Polar Programs (OPP) [1141849] Funding Source: National Science Foundation; Directorate For Geosciences; Office of Polar Programs (OPP) [0439979] Funding Source: National Science Foundation</t>
  </si>
  <si>
    <t>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</si>
  <si>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This work was supported by NSF grants OPP 9909104 to BH, ANT 0439906 and 0439979 to PLK and BH, and ANT 1142108 and 1141849 to PLK, BH, and ARH. Field work on Inexpressible Island and surrounding regions was made possible by support from the U.S. National Science Foundation and Italian Programma Nazionale Di Ricerche in Antartide and staff at Mario Zucchelli Station, which was greatly appreciated. Scott Braddock, Brenda Chase, Alice Doughty, Nate Gardner, Pete Marcotte, Audrey Morley, Seth Newsome, Audra Norvaisa, Jon Nye, Jill Pelto, Rachel Reid, Alex Roy, and Colby Smith assisted with field collections. We thank Andreanna Welch for providing species identifications on five fragmentary elephant seal specimens recovered in our ongoing research on other Ross Sea species. We thank the following individuals and institutions for access to modern comparative materials: Eileen Westwig, American Museum of Natural History; Moe Flannery, California Academy of Sciences; Judith Chupasko, Museum of Comparative Zoology at Harvard University; Anton van Helden, Museum of New Zealand - Te Papa Tongerewa; and Charley Potter, Smithsonian -U.S. National Museum. This work has been improved by conversations with many colleagues; we especially thank Dan Costa, Burney Le Boeuf, Jim Estes, Diane Gifford-Gonzalez, Kwasi Gilbert, Luis Huckstadt, Seth Newsome, Laura Niven, and Jack van den Hoff.</t>
  </si>
  <si>
    <t>10.1111/mms.12581</t>
  </si>
  <si>
    <t>KI8IT</t>
  </si>
  <si>
    <t>WOS:000511602300010</t>
  </si>
  <si>
    <t>Xavier, JC; Mateev, D; Capper, L; Wilmotte, A; Walton, DWH</t>
  </si>
  <si>
    <t>Xavier, Jose C.; Mateev, Dragomir; Capper, Linda; Wilmotte, Annick; Walton, David W. H.</t>
  </si>
  <si>
    <t>Education and outreach by the Antarctic Treaty Parties, Observers and Experts under the framework of the Antarctic Treaty Consultative Meetings</t>
  </si>
  <si>
    <t>POLAR RECORD</t>
  </si>
  <si>
    <t>Antarctic Treaty System; communication; education; International Polar Year; outreach</t>
  </si>
  <si>
    <t>The development of formal discourse about education and outreach within the Antarctic Treaty Consultative Meetings (ATCM), and the influence of major international activities in this field, are described. This study reflects on the ATCM Parties' approach to implementing the ambition of the Protocol on Environmental Protection to the Antarctic Treaty Article 6.1.a, to promote the educational value of Antarctica and its environment, and examines the role of workshops and expert groups within the Scientific Committee on Antarctic Research (SCAR), the International Union for the Conservation of Nature (IUCN), and the Council of Managers of National Antarctic Programmes. These early initiatives, which emerged in the 1990s, were a prelude to the development and implementation of a large number of International Polar Year (IPY) education and outreach programmes. The establishment of an Antarctic Treaty System Intersessional Contact Group, and an online forum on education and outreach during the 2015 ATCM in Bulgaria, is a legacy of IPY and is the next step in fostering collaboration to engage people around the world in the importance and relevance of Antarctica to our daily lives.</t>
  </si>
  <si>
    <t>[Xavier, Jose C.] Univ Coimbra, Marine &amp; Environm Res Ctr MARE, Dept Life Sci, Coimbra, Portugal; [Xavier, Jose C.; Capper, Linda; Walton, David W. H.] NERC, British Antarctic Survey, Cambridge, England; [Mateev, Dragomir] Bulgarian Antarctic Inst, Sofia, Bulgaria; [Wilmotte, Annick] Univ Liege, InBios Ctr Prot Engn, Liege, Belgium</t>
  </si>
  <si>
    <t>Universidade de Coimbra; UK Research &amp; Innovation (UKRI); Natural Environment Research Council (NERC); NERC British Antarctic Survey; University of Liege</t>
  </si>
  <si>
    <t>Xavier, JC (corresponding author), Univ Coimbra, Marine &amp; Environm Res Ctr MARE, Dept Life Sci, Coimbra, Portugal.;Xavier, JC (corresponding author), NERC, British Antarctic Survey, Cambridge, England.</t>
  </si>
  <si>
    <t>jccx@cantab.net</t>
  </si>
  <si>
    <t>Wilmotte, Annick/H-1686-2011; Xavier, José/KFB-6739-2024</t>
  </si>
  <si>
    <t>Wilmotte, Annick/0000-0003-3546-3489; /0000-0002-9621-6660; Mateev, Dragomir/0009-0009-0621-9306</t>
  </si>
  <si>
    <t>FCT program [IF/00616/2013]; FCT [MARE-UID/MAR/04292/2013]; NERC Public Engagement in Research Programme; Belgian Science Policy project CCAMBIO; Belgian Science Policy project MICROBIAN; FRS-FNRS; NERC [bas010011] Funding Source: UKRI</t>
  </si>
  <si>
    <t>FCT program(Fundacao para a Ciencia e a Tecnologia (FCT)); FCT(Fundacao para a Ciencia e a Tecnologia (FCT)); NERC Public Engagement in Research Programme; Belgian Science Policy project CCAMBIO; Belgian Science Policy project MICROBIAN; FRS-FNRS(Fonds de la Recherche Scientifique - FNRS); NERC(UK Research &amp; Innovation (UKRI)Natural Environment Research Council (NERC))</t>
  </si>
  <si>
    <t>This work is an international effort from the Scientific Committee on Antarctic Research (SCAR) associated programmes, namely SCAR AnT-ERA, SCAR Ant-ECO and ICED, and from the COMNAP expert group on Education, Outreach and Training. JCX was supported by the Investigator FCT program(IF/00616/2013) and this study benefited fromthe strategic programme of MARE, financed by FCT (MARE-UID/MAR/04292/2013). LC is supported by the NERC Public Engagement in Research Programme. AW is supported by the Belgian Science Policy projects CCAMBIO and MICROBIAN and thanks the FRS-FNRS for a Research Associate fellowship.</t>
  </si>
  <si>
    <t>0032-2474</t>
  </si>
  <si>
    <t>1475-3057</t>
  </si>
  <si>
    <t>POLAR REC</t>
  </si>
  <si>
    <t>POLAR REC.</t>
  </si>
  <si>
    <t>10.1017/S003224741800044X</t>
  </si>
  <si>
    <t>JU6YO</t>
  </si>
  <si>
    <t>WOS:000501820000009</t>
  </si>
  <si>
    <t>Pound, K; Huffman, L; Hubbard, J; Cattadori, M; Dahlman, L; Dooley, J; Frisch-Gleason, R; Lehmann, R; Trummel, B</t>
  </si>
  <si>
    <t>Pound, Kate; Huffman, Louise; Hubbard, Joanna; Cattadori, Matteo; Dahlman, LuAnn; Dooley, Julia; Frisch-Gleason, Robin; Lehmann, Rainer; Trummel, Betty</t>
  </si>
  <si>
    <t>ANDRILL ARISE: A model for team-based field research immersion for educators</t>
  </si>
  <si>
    <t>ANDRILL ARISE; Antarctic Field Experience; Educator Immersion; International Team; Professional Development</t>
  </si>
  <si>
    <t>PROFESSIONAL-DEVELOPMENT; LONG-TERM; SCIENCE; TEACHERS; ANTARCTICA; PROGRAM; SCHOOL; EARTH</t>
  </si>
  <si>
    <t>The 4(th) International Polar Year featured a range of large international research projects and included a focus on Education and Public Outreach (EPO). ANDRILL (the ANtarctic geological DRILLing Project) was a large international (USA, New Zealand, Italy, Germany) multidisciplinary research project investigating the sedimentary record of Cenozoic ice sheet dynamics that brought approximately 160 scientists to McMurdo Station in the 2006 and 2007 field seasons, during which two &gt; 1000 m sediment cores were successfully retrieved from the floor of the Ross Sea. ARISE (ANDRILL Research Immersion for Science Educators), the EPO arm of ANDRILL, deployed an international team of six to eight educators each season to Antarctica and embedded them with science teams. ARISE was unique in the EPO spectrum because it deployed a team of international educators together with an EPO coordinator, offered an on-ice geoscience course for the educators, and supported educator participation at both pre-ice and post-ice meetings. Conservative estimates indicate that at least 314,700 individuals have been reached directly through the wide range of ARISE EPO endeavours. Educator field research immersion is a small subset of educator professional development (PD) opportunities, with little quantitative or qualitative evaluation of polar immersion experiences having been reported. Here, surveys of ARISE educators and scientists are used to evaluate the efficacy of the ARISE program as PD in the context of research on educator PD. Persistent and recurring themes emerging from the surveys are: (1) the positive and reinforcing impact of deployment as a team; (2) the importance of access to scientists across an extended period of time and venues; (3) the importance of 'doing science' as a means of learning; and (4) recognition of the senses of excitement, engagement and inspiration displayed by both educators and scientists - about drilling progress, core interpretation, and outreach plans - and the EPO audience. Key components of the program are shown to be (1) deployment of a multi-educator team; and (2) guidance and support of the EPO coordinator at all phases of the ARISE experience.</t>
  </si>
  <si>
    <t>[Pound, Kate] St Cloud State Univ, Atmospher &amp; Hydrol Sci Dept, WSB 155,720 Fourth Ave South, St Cloud, MN 56301 USA; [Huffman, Louise] Dartmouth Coll, US Ice Drilling Program IDP, Hanover, NH 03755 USA; [Hubbard, Joanna] Jane Mears Middle Sch, 2700 W 100th Ave, Anchorage, AK 99515 USA; [Cattadori, Matteo] Liceo Fabio Filzi, Cso Rosmini 61, I-38068 Rovereto, Trento, Italy; [Dahlman, LuAnn] NOAA Climate Program Off Commun, Educ &amp; Engagement Div, 8527 E Mallory St, Mesa, AZ 85207 USA; [Dooley, Julia] Christina Sch Dist, Smith Elementary, 142 Brennen Dr, Newark, DE 19713 USA; [Frisch-Gleason, Robin] Bach Elementary Sch, 600 West Jefferson St, Ann Arbor, MI 48103 USA; [Lehmann, Rainer] Freie Waldorfschule Hannover Bothfeld, Weidkampshaide 17, D-30659 Hannover, Germany; [Trummel, Betty] Sci Roadshow, 69 Cornerwood Dr, Harwich, MA 02645 USA</t>
  </si>
  <si>
    <t>Minnesota State Colleges &amp; Universities; Saint Cloud State University; Dartmouth College</t>
  </si>
  <si>
    <t>Pound, K (corresponding author), St Cloud State Univ, Atmospher &amp; Hydrol Sci Dept, WSB 155,720 Fourth Ave South, St Cloud, MN 56301 USA.</t>
  </si>
  <si>
    <t>kspound@stcloudstate.edu</t>
  </si>
  <si>
    <t>US National Science Foundation [0342484]; University of Nebraska-Lincoln; US National Science Foundation; New Zealand Foundation for Research, Science Technology; Italian Antarctic Research Program; German Science Foundation; Alfred Wegener Institute</t>
  </si>
  <si>
    <t>US National Science Foundation(National Science Foundation (NSF)); University of Nebraska-Lincoln; US National Science Foundation(National Science Foundation (NSF)); New Zealand Foundation for Research, Science Technology(New Zealand Foundation for Research, Science and Technology); Italian Antarctic Research Program; German Science Foundation(German Research Foundation (DFG)); Alfred Wegener Institute</t>
  </si>
  <si>
    <t>The authors thank Kristen St. John and two anonymous reviewers for their constructive suggestions which helped us improve the manuscript. Larry Krissek provided constructive comments on portions of early drafts. David Harwood provided essential assistance in securing IRB approval for the surveys. The ANDRILL (ANtarctic geologic DRILLing) Project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Exploration. The ANDRILL Science Management Office was supported by the US National Science Foundation under Cooperative Agreement No. 0342484 with the University of Nebraska-Lincoln. The US Antarctic Program (USAP) and Raytheon Polar Services Corporation (RPSC) supported the science team at McMurdo Station and in the Crary Science and Engineering Laboratory, while Antarctica New Zealand supported the drilling team at Scott Base. Scientific studies are jointly supported by the US National Science Foundation, the New Zealand Foundation for Research, Science &amp; Technology, the Italian Antarctic Research Program, the German Science Foundation and the Alfred Wegener Institute. We recognise the hard work and vision of the ANDRILL office, particularly Richard Levy, David Harwood, and Laura Lacy in developing and supporting ARISE.</t>
  </si>
  <si>
    <t>10.1017/S0032247419000056</t>
  </si>
  <si>
    <t>WOS:000501820000011</t>
  </si>
  <si>
    <t>Priestley, R; Dohaney, J; Atkins, C; Salmon, R; Robinson, K</t>
  </si>
  <si>
    <t>Priestley, Rebecca; Dohaney, Jacqueline; Atkins, Cliff; Salmon, Rhian; Robinson, Kealagh</t>
  </si>
  <si>
    <t>Engaging new Antarctic learners and ambassadors through flexible learning, open education and immersive video lectures</t>
  </si>
  <si>
    <t>polar education; outreach and communication; Antarctic ambassadors; open education; online learning</t>
  </si>
  <si>
    <t>In April 2017, Victoria University of Wellington launched ICE101X-Antarctica: From Geology to Human History-on the global edX platform. This Massive Open Online Course, or MOOC, attracted 5735 learners from around the world, who engaged with content about Antarctic science, history, geology, and culture, primarily through video lectures filmed in Antarctica. Analysis of feedback from learners in three iterations of the course, offered between 2015 and 2017 and culminating in ICE101X, revealed that learners enjoyed the immersive Antarctic field lectures and learning through a diverse set of disciplinary lenses, had some preconceptions about Antarctica that were challenged by the course content, and completed the course with a new sense of interest in and protection of Antarctica.</t>
  </si>
  <si>
    <t>[Priestley, Rebecca; Salmon, Rhian] Victoria Univ Wellington, Sci Soc, POB 600, Wellington 6140, New Zealand; [Dohaney, Jacqueline] Swinburne Univ Technol, Fac Sci Engn &amp; Technol, Engn Practice Acad, John St, Hawthorn, Vic 3122, Australia; [Atkins, Cliff] Victoria Univ Wellington, Schooi Geog Environm &amp; Earth Sci, POB 600, Wellington 6140, New Zealand; [Robinson, Kealagh] Victoria Univ Wellington, Sch Psychol, POB 600, Wellington 6140, New Zealand</t>
  </si>
  <si>
    <t>Victoria University Wellington; Swinburne University of Technology; Victoria University Wellington; Victoria University Wellington</t>
  </si>
  <si>
    <t>Priestley, R (corresponding author), Victoria Univ Wellington, Sci Soc, POB 600, Wellington 6140, New Zealand.</t>
  </si>
  <si>
    <t>Rebecca.Priestley@vuw.ac.nz</t>
  </si>
  <si>
    <t>Robinson, Kealagh/AAX-2976-2021; Atkins, cliff B/E-9458-2011</t>
  </si>
  <si>
    <t>Robinson, Kealagh/0000-0002-9367-7445; Salmon, Rhian/0000-0003-4402-551X; Priestley, Rebecca/0000-0001-6390-5059; Atkins, C/0000-0002-6513-6924; Dohaney, Jacqueline/0000-0002-5019-7257</t>
  </si>
  <si>
    <t>Antarctica New Zealand; Deep South National Science Challenge</t>
  </si>
  <si>
    <t>This course would not be possible without the support of Antarctica New Zealand, who flew us to, and hosted us in, Antarctica, and Victoria University of Wellington, in particular the Faculty of Science and Information Technology Services. For their assistance with course development and delivery, particular thanks go to Sarah Hoyte, Kate Bazeley, Kate Turner and Laura Kranz. For video editing, we thank Matthew Wood, Jonathan King, Steve Cochran and Matt Dennes. Thanks also to all the people who agreed to contribute lectures or be filmed for the course, including members of K001, Scott Base staff and visitors, the New Zealand Antarctic Heritage Trust, Neil Gilbert, Gabby O'Connor, Veronika Meduna, researchers on the Deep South National Science Challenge and delegates at the SCAR Open Science conferences 2014 and 2016 and International Symposium on Antarctica Earth Science 2015. Funding was received from the Deep South National Science Challenge for development of the module From Data to Decision Making: A Case Study. Learner feedback was gathered, analysed and is reported here in accord with Victoria University of Wellington Human Ethics Committee approvals HEC: 22407 and HEC: 24511.</t>
  </si>
  <si>
    <t>10.1017/S0032247418000384</t>
  </si>
  <si>
    <t>WOS:000501820000012</t>
  </si>
  <si>
    <t>Gerum, RC; Richter, S; Winterl, A; Mark, C; Fabry, B; Le Bohec, C; Zitterbart, DP</t>
  </si>
  <si>
    <t>Gerum, Richard C.; Richter, Sebastian; Winterl, Alexander; Mark, Christoph; Fabry, Ben; Le Bohec, Celine; Zitterbart, Daniel P.</t>
  </si>
  <si>
    <t>CameraTransform: A Python package for perspective corrections and image mapping</t>
  </si>
  <si>
    <t>SOFTWAREX</t>
  </si>
  <si>
    <t>Perspective projection; Quantitative image analysis; Geo-referencing; Camera lens distortions</t>
  </si>
  <si>
    <t>Camera images and video recordings are simple and non-invasive tools to investigate animals in their natural habitat. Quantitative evaluations, however, often require an exact reconstruction of object positions, sizes, and distances in the image. Here, we provide an open source software package to perform such calculations. Our approach allows the user to correct for perspective distortion, transform images to bird's-eye view projections, or transform image-coordinates to real-world coordinates and vice versa. The extrinsic camera parameters that are necessary to perform such image corrections and transformations (elevation, tilt/roll angle, and heading of the camera) are obtained from the image using contextual information such as a visible horizon, GPS coordinates of landmarks, known object sizes, or images of the same object obtained from different viewing angles. All mathematical operations are implemented in the Python package CameraTransform. The performance of the implementation is evaluated using computer-generated synthetic images with known camera parameters. Moreover, we test our algorithm on images of emperor penguin colonies, and demonstrate that the camera tilt and roll angles can be estimated with an error of less than one degree, and the camera elevation with an error of less than 5%. The CameraTransform software package simplifies camera matrix-based image transformations and the extraction of quantitative image information. An extensive documentation and usage examples in an ecological context are provided at http://cameratransform.readthedocs.io. (C) 2019 The Authors. Published by Elsevier B.V.</t>
  </si>
  <si>
    <t>[Gerum, Richard C.; Richter, Sebastian; Winterl, Alexander; Mark, Christoph; Fabry, Ben; Zitterbart, Daniel P.] Univ Erlangen Nurnberg, Dept Phys, Biophys Grp, Erlangen, Germany; [Richter, Sebastian; Winterl, Alexander; Zitterbart, Daniel P.] Woods Hole Oceanog Inst, Appl Ocean Phys &amp; Engn, Woods Hole, MA 02543 USA; [Le Bohec, Celine] Ctr Sci Monaco, Dept Biol Polaire, Principality Of Monaco, Monaco; [Le Bohec, Celine] Univ Strasbourg, IPHC, CNRS, UMR 7178, Strasbourg, France</t>
  </si>
  <si>
    <t>University of Erlangen Nuremberg; Woods Hole Oceanographic Institution; Universites de Strasbourg Etablissements Associes; Universite de Strasbourg; Centre National de la Recherche Scientifique (CNRS); CNRS - National Institute of Nuclear and Particle Physics (IN2P3)</t>
  </si>
  <si>
    <t>Gerum, RC (corresponding author), Univ Erlangen Nurnberg, Dept Phys, Biophys Grp, Erlangen, Germany.</t>
  </si>
  <si>
    <t>richard.gerum@fau.de</t>
  </si>
  <si>
    <t>Gerum, Richard Carl/AAW-8732-2021; Fabry, Ben/C-5496-2013; Zitterbart, Daniel P/N-7489-2013; LE BOHEC, CELINE/AAD-3589-2022</t>
  </si>
  <si>
    <t>Gerum, Richard Carl/0000-0001-5893-2650; Fabry, Ben/0000-0003-1737-0465; Mark, Christoph/0000-0002-8612-6469; Zitterbart, Daniel/0000-0001-9429-4350; LE BOHEC, Celine/0000-0003-0149-6477; Winterl, Alexander/0000-0003-0688-9317</t>
  </si>
  <si>
    <t>National Institutes of Health, USA [HL120839]; Institut Polaire Francais Paul-Emile Victor, France (IPEV) [137]; Deutsche Forschungsgemeinschaft (DFG), Germany [FA336/5-1, ZI1525/3-1]; RTPI NUTRESS (Reseau Thematique Pluridisciplinaire International NUTrition et RESistance aux Stress environnementaux - CSM/CNRS/Unistra), Monaco</t>
  </si>
  <si>
    <t>National Institutes of Health, USA(United States Department of Health &amp; Human ServicesNational Institutes of Health (NIH) - USA); Institut Polaire Francais Paul-Emile Victor, France (IPEV); Deutsche Forschungsgemeinschaft (DFG), Germany(German Research Foundation (DFG)); RTPI NUTRESS (Reseau Thematique Pluridisciplinaire International NUTrition et RESistance aux Stress environnementaux - CSM/CNRS/Unistra), Monaco</t>
  </si>
  <si>
    <t>This work was supported by the National Institutes of Health, USA (HL120839), the Institut Polaire Francais Paul-Emile Victor, France (IPEV, Program no. 137 to CLB), the RTPI NUTRESS (Reseau Thematique Pluridisciplinaire International NUTrition et RESistance aux Stress environnementaux - CSM/CNRS/Unistra), Monaco, and the Deutsche Forschungsgemeinschaft (DFG), Germany grant FA336/5-1 and ZI1525/3-1 in the framework of the priority program Antarctic research with comparative investigations in Arctic ice areas.</t>
  </si>
  <si>
    <t>2352-7110</t>
  </si>
  <si>
    <t>SoftwareX</t>
  </si>
  <si>
    <t>JUL-DEC</t>
  </si>
  <si>
    <t>10.1016/j.softx.2019.100333</t>
  </si>
  <si>
    <t>Computer Science, Software Engineering</t>
  </si>
  <si>
    <t>Computer Science</t>
  </si>
  <si>
    <t>JX9RT</t>
  </si>
  <si>
    <t>WOS:000504065000008</t>
  </si>
  <si>
    <t>Hallegraeff, GM; Albinsson, ME; Dowdney, J; Holmes, AK; Mansour, MP; Seger, A</t>
  </si>
  <si>
    <t>Hallegraeff, Gustaaf M.; Albinsson, Maria E.; Dowdney, Jo; Holmes, Angela K.; Mansour, Maged P.; Seger, Andreas</t>
  </si>
  <si>
    <t>Prey preference, environmental tolerances and ichthyotoxicity by the red-tide dinoflagellate Noctiluca scintillans cultured from Tasmanian waters</t>
  </si>
  <si>
    <t>JOURNAL OF PLANKTON RESEARCH</t>
  </si>
  <si>
    <t>Noctiluca red tides; ichthyotoxicity; growth rates; lipid biomarkers; ammonia; prey preference</t>
  </si>
  <si>
    <t>HETEROTROPHIC DINOFLAGELLATE; FATTY-ACID; GROWTH; MICROALGAE; MILIARIS</t>
  </si>
  <si>
    <t>The large phagotrophic dinoflagellate Noctiluca has become a prominent red tide organism in southeast Australian waters since the 2000s, raising concerns for beach tourism, grazing impacts as well as ichthyotoxicity for finfish aquaculture. Satisfactory culture growth rates (0.23-0.56 per day) were obtained by feeding with small Thalassiosira diatom and Tetraselmis flagellate diets, while optimal growth rates sustained for up to 8 months (0.69 per day) were achieved by feeding in a plankton wheel with the large chain-forming dinoflagellate Gymnodinium catenatum. Noctiluca was highly tolerant towards salinities from 20 to 35 and growth was stimulated by temperatures increasing from 10 to 23 degrees C, which in combination with the key factor of prey abundance explains the incidence in southeast Australia of predominantly summer and spring but occasionally also winter blooms. Fatty acid biomarkers suggest that Tasmanian field populations indiscriminately feed on available diatom and dinoflagellate mixtures. Noctiluca exhibited very limited ichthyotoxicity, and only at the highest cell concentrations of 2 000 000/L (50% reduction in RT gill W1 cell viability). Only the densest red tide surface slicks contained acutely toxic levels of unionized ammonia of 242 to 510 mu g/L while inshore slicks generated oxygen concentrations as low as 0-1.5 ppm. Lipid phycotoxins (eicosapentaenoic acid, docosahexaenoic acid) did not appear to contribute to Noctiluca ichthyotoxicity. The fatty acid 20:0 eicosanoic acid may serve as a potential Noctiluca biomarker in marine food webs and sediments.</t>
  </si>
  <si>
    <t>[Hallegraeff, Gustaaf M.; Dowdney, Jo; Holmes, Angela K.; Seger, Andreas] Univ Tasmania, Inst Marine &amp; Antarctic Studies, Private Bag 129, Hobart, Tas 7001, Australia; [Albinsson, Maria E.; Holmes, Angela K.; Mansour, Maged P.] CSIRO Oceans &amp; Atmosphere, 3-4 Castray Esplanade, Hobart, Tas 7000, Australia; [Albinsson, Maria E.] 40 Parkdale Dr, Leslie Vale, Tas 7054, Australia; [Dowdney, Jo] 88 Wentworth St, South Hobart 7004, Australia; [Holmes, Angela K.] 23 Cypress Pl, Kingston, Tas 7050, Australia; [Mansour, Maged P.] CSIRO Agr &amp; Food, 671 Sneydes RD, Werribee, Vic 3030, Australia; [Seger, Andreas] SARDI, GPO Box 397, Adelaide, SA 5001, Australia</t>
  </si>
  <si>
    <t>University of Tasmania; Commonwealth Scientific &amp; Industrial Research Organisation (CSIRO); Commonwealth Scientific &amp; Industrial Research Organisation (CSIRO)</t>
  </si>
  <si>
    <t>Hallegraeff, GM (corresponding author), Univ Tasmania, Inst Marine &amp; Antarctic Studies, Private Bag 129, Hobart, Tas 7001, Australia.</t>
  </si>
  <si>
    <t>gustaaf.hallegraeff@utas.edu.au</t>
  </si>
  <si>
    <t>Seger, Andreas/AAH-4093-2019; Hallegraeff, Gustaaf/C-8351-2013</t>
  </si>
  <si>
    <t>Seger, Andreas/0000-0001-7018-0455; Hallegraeff, Gustaaf/0000-0001-8464-7343</t>
  </si>
  <si>
    <t>0142-7873</t>
  </si>
  <si>
    <t>1464-3774</t>
  </si>
  <si>
    <t>J PLANKTON RES</t>
  </si>
  <si>
    <t>J. Plankton Res.</t>
  </si>
  <si>
    <t>10.1093/plankt/fbz037</t>
  </si>
  <si>
    <t>JI6FM</t>
  </si>
  <si>
    <t>WOS:000493563200005</t>
  </si>
  <si>
    <t>Ventero, A; Iglesias, M; Córdoba, P</t>
  </si>
  <si>
    <t>Ventero, Ana; Iglesias, Magdalena; Cordoba, Pilar</t>
  </si>
  <si>
    <t>Krill spatial distribution in the Spanish Mediterranean Sea in summer time</t>
  </si>
  <si>
    <t>krill; frequency response; biological parameters; Western Mediterranean Sea; spatial distribution</t>
  </si>
  <si>
    <t>MEGANYCTIPHANES-NORVEGICA; ANTARCTIC KRILL; TRACHURUS-MEDITERRANEUS; VERTICAL DISTRIBUTIONS; POPULATION-DYNAMICS; EUPHAUSIA-SUPERBA; CONTINENTAL-SHELF; FEEDING ECOLOGY; HORSE MACKEREL; FIN WHALES</t>
  </si>
  <si>
    <t>We documented krill distribution in the Spanish Mediterranean Sea for the first time using acoustic methods, highlighting the method's suitability to study marine communities restricted to specific areas with patchy aggregation behavior. The 2009-2017 acoustic time series analysis revealed that krill distribution, mainly located on the continental shelf edge, was driven by the presence of fronts and submarine canyons. On the other hand, areas of persistent krill distribution included from Cape La Nao to the eastern part of Almeria Bay, although an interannual northwards increase of krill presence had been detected in 2015-2017 likely related to the position of the Balearic front. We provide information on the aggregation characteristics and biological parameters of three krill species, Nyctiphanes couchii, Nematoscelis megalops and Meganyctiphanes norvegica. N. couchii and N. megalops formed patchy pelagic aggregations in the neritic and oceanic zone, respectively, and they were the most common species in the net tows. By contrast, M. norvegica formed a large demersal aggregation on the continental shelf edge and was only found in 2017; nevertheless, its 861-kg catch represented a unique milestone in the Mediterranean. Finally, krill species shared distribution area with Maurolicus muelleri; thus, coexistence between them are also described.</t>
  </si>
  <si>
    <t>[Ventero, Ana; Iglesias, Magdalena; Cordoba, Pilar] Inst Espanol Oceanog, Ctr Oceanog Baleares, Muelle Poniente S-N, Palma de Mallorca 07015, Spain</t>
  </si>
  <si>
    <t>Spanish Institute of Oceanography</t>
  </si>
  <si>
    <t>Ventero, A (corresponding author), Inst Espanol Oceanog, Ctr Oceanog Baleares, Muelle Poniente S-N, Palma de Mallorca 07015, Spain.</t>
  </si>
  <si>
    <t>ana.ventero@ieo.es</t>
  </si>
  <si>
    <t>Ventero, Ana/HSG-0430-2023</t>
  </si>
  <si>
    <t>Cordoba-Selles, M.P. (Maria del Pilar)/0000-0002-1286-8646; Ventero, A. (Ana)/0000-0002-9906-3233; Iglesias, M. (Magdalena)/0000-0002-9983-558X</t>
  </si>
  <si>
    <t>Instituto Espanol de Oceanograf ia; European Union through the European Maritime and Fisheries Fund</t>
  </si>
  <si>
    <t>Instituto Espanol de Oceanograf ia and the European Union through the European Maritime and Fisheries Fund.</t>
  </si>
  <si>
    <t>10.1093/plankt/fbz030</t>
  </si>
  <si>
    <t>WOS:000493563200011</t>
  </si>
  <si>
    <t>Whitmore, BM; Nickels, CE; Ohman, MD</t>
  </si>
  <si>
    <t>Whitmore, Benjamin M.; Nickels, Catherine E.; Ohman, Mark D.</t>
  </si>
  <si>
    <t>A comparison between Zooglider and shipboard net and acoustic mesozooplankton sensing systems</t>
  </si>
  <si>
    <t>Zooglider; mesozooplankton; vertical microstructure; patchiness; thin layers</t>
  </si>
  <si>
    <t>OPTICAL PLANKTON COUNTER; ESCAPE BEHAVIOR; AUTONOMOUS VEHICLE; SWIMMING BEHAVIOR; ANTARCTIC KRILL; STROBE LIGHT; MARINE SNOW; ZOOPLANKTON; COPEPOD; DISTRIBUTIONS</t>
  </si>
  <si>
    <t>Some planktonic patches have markedly higher concentrations of organisms compared to ambient conditions and are &lt;5 m in thickness (i.e. thin layers). Conventional net sampling techniques are unable to resolve this vertical microstructure, while optical imaging systems can measure it for limited durations. Zooglider, an autonomous zooplankton-sensing glider, uses a low-power optical imaging system (Zoocam) to resolve mesozooplankton at a vertical scale of 5 cm while making concurrent physical and acoustic measurements (Zonar). In March 2017, Zooglider was compared with traditional nets (MOCNESS) and ship-based acoustics (Simrad EK80). Zoocam recorded significantly higher vertically integrated abundances of smaller copepods and appendicularians, and larger gelatinous predators and mineralized protists, but similar abundances of chaetognaths, euphausiids, and nauplii. Differences in concentrations and size-frequency distributions are attributable to net extrusion and preservation artifacts, suggesting advantages of in situ imaging of organisms by Zooglider. Zoocam detected much higher local concentrations of copepods and appendicularians (53 000 and 29 000 animals m(-3), respectively) than were resolvable by nets. The EK80 and Zonar at 200 kHz agreed in relative magnitude and distribution of acoustic backscatter. The profiling capability of Zooglider allows for deeper high-frequency acoustic sampling than conventional ship-based acoustics.</t>
  </si>
  <si>
    <t>[Whitmore, Benjamin M.; Nickels, Catherine E.; Ohman, Mark D.] Univ Calif San Diego, Scripps Inst Oceanog, La Jolla, CA 92093 USA</t>
  </si>
  <si>
    <t>Whitmore, BM (corresponding author), Univ Calif San Diego, Scripps Inst Oceanog, La Jolla, CA 92093 USA.</t>
  </si>
  <si>
    <t>bmwhitmo@ucsd.edu</t>
  </si>
  <si>
    <t>Ohman, Mark D/C-8763-2009; Nickels, Catherine/AAL-6163-2021</t>
  </si>
  <si>
    <t>Ohman, Mark D/0000-0001-8136-3695; Nickels, Catherine/0000-0003-1628-387X</t>
  </si>
  <si>
    <t>Gordon and Betty Moore Foundation [3576, 5479]; CCE-LTER [NSF OCE-16-37632]; DoD SMART fellowship; UC Ship Funds</t>
  </si>
  <si>
    <t>Gordon and Betty Moore Foundation(Gordon and Betty Moore Foundation); CCE-LTER; DoD SMART fellowship; UC Ship Funds</t>
  </si>
  <si>
    <t>Gordon and Betty Moore Foundation (3576 and 5479); CCE-LTER (NSF OCE-16-37632); DoD SMART fellowship; UC Ship Funds for the award of ship-time.</t>
  </si>
  <si>
    <t>10.1093/plankt/fbz033</t>
  </si>
  <si>
    <t>WOS:000493563200013</t>
  </si>
  <si>
    <t>Tambussi, CP; Degrange, FJ; De Mendoza, RS; Sferco, E; Santillana, S</t>
  </si>
  <si>
    <t>Tambussi, Claudia P.; Degrange, Federico J.; De Mendoza, Ricardo S.; Sferco, Emilia; Santillana, Sergrio</t>
  </si>
  <si>
    <t>A stem anseriform from the early Palaeocene of Antarctica provides new key evidence in the early evolution of waterfowl</t>
  </si>
  <si>
    <t>ZOOLOGICAL JOURNAL OF THE LINNEAN SOCIETY</t>
  </si>
  <si>
    <t>Antarctica; Anseriformes; Conflicto antarcticus; Palaeocene; phylogeny</t>
  </si>
  <si>
    <t>PHYLOGENETIC ANALYSIS; OSTEOLOGICAL EVIDENCE; FOSSIL EVIDENCE; SEYMOUR ISLAND; BIRDS AVES; RADIATION; AFFINITIES; QUADRATE; PRESBYORNIS; EXTINCTION</t>
  </si>
  <si>
    <t>A new Anseriformes, Conflicto antarcticus gen. et sp. nov., represented by associated bones of a single individual, from the early Palaeocene of Antarctica is described. The new taxon is unlike any other known member of the order. Conflicto antarcticus is a medium-sized (2 kg) stem anseriform. The forelimb and pectoral girdle bones suggest that it was a flying bird, and the bones of the hindlimb show that it had elongated legs. The os quadratum represents a unique combination of features; some are similar to the features of the ancestral quadrate for galloanserines and some are similar to Anseriformes, but features such as the presence of three foramina are exclusive among Neornithes. The incisura or foramen nervi suracoracoidei is absent in C. antarcticus, as in most anatids and all Galliformes. Phylogenetic analysis shows that C. antarcticus + Anatalavis oxfordi is the most basal stem Anseriformes lade. This implies that the duck-type beak must have developed at an early stage of anseriform evolution. Conflicto antarcticus represents one (and possibly the most) substantial record of a non-marine Palaeocene bird from the Southern Hemisphere and supports the hypothesis that Neognathae had already diversified in the earliest Palaeocene.</t>
  </si>
  <si>
    <t>[Tambussi, Claudia P.; Degrange, Federico J.; Sferco, Emilia] Univ Nacl Cordoba, Ctr Invest Ciencias Tierra CICTERRA, CONICET, Ave Velez Sarsfield 1611,X5016GCA,Ciudad Univ, Cordoba, Argentina; [De Mendoza, Ricardo S.] Univ Nacl La Plata, CONICET, Div Paleontol Vertebrados, Fac Ciencias Nat, Paseo Bosque S-N,B1900FWA, La Plata, Buenos Aires, Argentina; [De Mendoza, Ricardo S.] Museo La Plata, Paseo Bosque S-N,B1900FWA, La Plata, Buenos Aires, Argentina; [Santillana, Sergrio] IAA, 25 Mayo 1143,B1650HMK, Buenos Aires, DF, Argentina</t>
  </si>
  <si>
    <t>National University of Cordoba; Consejo Nacional de Investigaciones Cientificas y Tecnicas (CONICET); National University of La Plata; Consejo Nacional de Investigaciones Cientificas y Tecnicas (CONICET); National University of La Plata; Museo La Plata</t>
  </si>
  <si>
    <t>Tambussi, CP (corresponding author), Univ Nacl Cordoba, Ctr Invest Ciencias Tierra CICTERRA, CONICET, Ave Velez Sarsfield 1611,X5016GCA,Ciudad Univ, Cordoba, Argentina.</t>
  </si>
  <si>
    <t>tambussi.claudia@conicet.gov.ar</t>
  </si>
  <si>
    <t>De Mendoza, Ricardo/GRX-2324-2022</t>
  </si>
  <si>
    <t>PIP-CONICET [0059]; IAA [INST04]</t>
  </si>
  <si>
    <t>PIP-CONICET(Consejo Nacional de Investigaciones Cientificas y Tecnicas (CONICET)); IAA</t>
  </si>
  <si>
    <t>Access to fossil specimens was kindly provided by Marcelo Reguero (MLP). Trevor Worthy (Flinders University) gave useful data and comments for the phylogenetic analyses, and Arnaud Bignon (CICTERRA) assisted during the phylogenetic analyses. Ivana Tapia (CICTERRA) and Javier Possik (MLP) prepared the fossil with their customary skill. We thank Larry Witmer (Ohio University) for providing images and CT scans of Presbyornis and G. Tirao (FaMAF) for providing radiographies of the material. For assistance with CT scanning and data management, we thank Ariel Salomon and Emanuel Restelli (Hospital Nacional de Clinicas, Cordoba). We thank Manuel Montes and Francisco Nozal (IGME, Espana) for their assistance during fieldwork. We especially acknowledge the Instituto Antartico Argentino and Fuerza Aerea Argentina, which provided logistical support for our participation in the Antarctic fieldwork. We also thanks the editor L. Allcock, to T. Worthy for his helpful comments and to the other two anonymous reviewers. This is a contribution to the projects PIP-CONICET 0059, IAA, INST04 of the IAA, Foncyt, PUE 2016 - CONICET - CICTERRA.</t>
  </si>
  <si>
    <t>0024-4082</t>
  </si>
  <si>
    <t>1096-3642</t>
  </si>
  <si>
    <t>ZOOL J LINN SOC-LOND</t>
  </si>
  <si>
    <t>Zool. J. Linn. Soc.</t>
  </si>
  <si>
    <t>10.1093/zoolinnean/zly085</t>
  </si>
  <si>
    <t>JI2TJ</t>
  </si>
  <si>
    <t>WOS:000493317700005</t>
  </si>
  <si>
    <t>Burton-Johnson, A; Macpherson, CG; Ottley, CJ; Nowell, GM; Boyce, AJ</t>
  </si>
  <si>
    <t>Burton-Johnson, A.; Macpherson, C. G.; Ottley, C. J.; Nowell, G. M.; Boyce, A. J.</t>
  </si>
  <si>
    <t>Generation of the Mt Kinabalu Granite by Crustal Contamination of Intraplate Magma Modelled by Equilibrated Major Element Assimilation with Fractional Crystallization (EME-AFC)</t>
  </si>
  <si>
    <t>JOURNAL OF PETROLOGY</t>
  </si>
  <si>
    <t>granite petrogenesis; magma differentiation; AFC modelling; oxygen isotopes; Borneo</t>
  </si>
  <si>
    <t>PHASE-EQUILIBRIA; TRACE-ELEMENT; ISOTOPE FRACTIONATION; THERMODYNAMIC MODEL; HENRY MOUNTAINS; PELITIC SYSTEM; ARC MAGMAS; OXYGEN; ORIGIN; EMPLACEMENT</t>
  </si>
  <si>
    <t>New geochemical data are presented for the composite units of the Mount Kinabalu granitoid intrusion of Borneo and utilised to explore the discrimination between crustal- and mantle-derived granitic magmas. The geochemical data demonstrate that the units making up this composite intrusion became more potassic through time. This was accompanied by an evolution of isotope ratios from a continental-affinity towards a slightly more mantle-affinity (Sr-87/Sr-86(i) similar to 0.7078; Nd-143/Nd-144(i) similar to 0.51245; Pb-206/(204)Pbi similar to 18.756 for the oldest unit compared to Sr-87/Sr-86(i) similar to 0.7065, Nd-143/Nd-144(i) similar to 0.51250 and Pb-206/Pb-204(i) similar to 18.721 for the younger units). Oxygen isotope ratios (calculated whole-rock delta O-18 of +6.5-9.3 parts per thousand) do not show a clear trend with time. The isotopic data indicate that the magma cannot result only from fractional crystallization of a mantle-derived magma. Alkali metal compositions show that crustal anatexis is also an unsuitable process for genesis of the intrusion. The data indicate that the high-K units were generated by fractional crystallization of a primary, mafic magma, followed by assimilation of the partially melted sedimentary overburden. We present a new, Equilibrated Major Element -Assimilation with Fractional Crystallization (EME-AFC) approach for simultaneously modelling the major element, trace element, and radiogenic and oxygen isotope compositions during such magmatic differentiation; addressing the lack of current AFC modelling approaches for felsic, amphibole- or biotite-bearing systems. We propose that Mt Kinabalu was generated through low degree melting of upwelling fertile metasomatized mantle driven by regional crustal extension in the Late Miocene.</t>
  </si>
  <si>
    <t>[Burton-Johnson, A.] British Antarctic Survey, Madingley Rd, Cambridge CB3 0ET, England; [Macpherson, C. G.; Ottley, C. J.; Nowell, G. M.] Univ Durham, Dept Earth Sci, Durham DH1 3LE, England; [Boyce, A. J.] Scottish Univ, Environm Res Ctr, E Kilbride G75 0QF, Lanark, Scotland</t>
  </si>
  <si>
    <t>UK Research &amp; Innovation (UKRI); Natural Environment Research Council (NERC); NERC British Antarctic Survey; Durham University; Scottish Universities Research &amp; Reactor Center</t>
  </si>
  <si>
    <t>Boyce, Adrian/AAH-3203-2020; Macpherson, Colin/F-3861-2012</t>
  </si>
  <si>
    <t>Boyce, Adrian/0000-0002-9680-0787; Macpherson, Colin/0000-0001-5302-6405; Burton-Johnson, Alex/0000-0003-2208-0075; Nowell, Geoff/0000-0003-3229-128X</t>
  </si>
  <si>
    <t>UK Natural Environment Research Council (NERC); NERC [bas0100029] Funding Source: UKRI</t>
  </si>
  <si>
    <t>UK Natural Environment Research Council (NERC)(UK Research &amp; Innovation (UKRI)Natural Environment Research Council (NERC)); NERC(UK Research &amp; Innovation (UKRI)Natural Environment Research Council (NERC))</t>
  </si>
  <si>
    <t>The UK Natural Environment Research Council (NERC) supported this study through a PhD studentship to AB-J and access to the Isotope Community Support Facility at SUERC.</t>
  </si>
  <si>
    <t>0022-3530</t>
  </si>
  <si>
    <t>1460-2415</t>
  </si>
  <si>
    <t>J PETROL</t>
  </si>
  <si>
    <t>J. Petrol.</t>
  </si>
  <si>
    <t>10.1093/petrology/egz036</t>
  </si>
  <si>
    <t>JH9UN</t>
  </si>
  <si>
    <t>WOS:000493114100005</t>
  </si>
  <si>
    <t>Marizcurrena, JJ; Herrera, LM; Costábile, A; Morales, D; Villadóniga, C; Eizmendi, A; Davyt, D; Castro-Sowinski, S</t>
  </si>
  <si>
    <t>Marizcurrena, Juan Jose; Herrera, Lorena M.; Costabile, Alicia; Morales, Danilo; Villadoniga, Carolina; Eizmendi, Agustina; Davyt, Danilo; Castro-Sowinski, Susana</t>
  </si>
  <si>
    <t>Validating biochemical features at the genome level in the Antarctic bacterium Hymenobacter sp. strain UV11</t>
  </si>
  <si>
    <t>FEMS MICROBIOLOGY LETTERS</t>
  </si>
  <si>
    <t>Hymenobacter; UV irradiation; hydrolytic enzymes; Antarctica; pigments</t>
  </si>
  <si>
    <t>RADIATION-RESISTANT BACTERIUM; SP NOV.; SEQUENCE; PROTEASE; DAMAGE; FLAVOBACTERIUM; XINJIANG; DESERT; MODEL; KEGG</t>
  </si>
  <si>
    <t>We present experimental data that complement and validate some biochemical features at the genome level in the UVC-resistant Antarctic bacterium Hymenobacter sp. UV11 strain. The genome was sequenced, assembled and annotated. It has 6 096 246 bp, a GC content of 60.6% and 5155 predicted genes. The secretome analysis, by combining in silico predictions with shotgun proteomics data, showed that UV11 strain produces extracellular proteases and carbohydrases with potential biotechnological uses. We observed the formation of outer membrane vesicles, mesosomes and carbon-storage compounds by using transmission electron microscopy. The in silico analysis of the genome revealed the presence of genes involved in the metabolism of glycogen-like molecules and starch. By HPLC-UV-Vis analysis and 1H-NMR spectra, we verified that strain UV11 produces xanthophyll-like carotenoids such as 2'-hydroxyflexixanthin, and the in silico analysis showed that this bacterium has genes involved in the biosynthesis of cathaxanthin, zeaxanthin and astaxanthin. We also found genes involved in the repair of UV-damaged DNA such as a photolyase, the nucleotide excision repair system and the production of ATP-dependent proteases that are important cellular components involved in the endurance to physiological stresses. This information will help us to better understand the ecological role played by Hymenobacter strains in the extreme Antarctic environment.</t>
  </si>
  <si>
    <t>[Marizcurrena, Juan Jose; Herrera, Lorena M.; Costabile, Alicia; Morales, Danilo; Castro-Sowinski, Susana] Univ Republica, Fac Sci, Biochem &amp; Mol Biol, Igua 4225, Montevideo 11400, Uruguay; [Villadoniga, Carolina; Castro-Sowinski, Susana] Univ Republica, Fac Sci, Hydrolyt Enzymes Lab, Igua 4225, Montevideo 11400, Uruguay; [Eizmendi, Agustina; Davyt, Danilo] Univ Republica, Fac Chem, Organ Chem Dept, Gen Flores 2124, Montevideo 11800, Uruguay</t>
  </si>
  <si>
    <t>Universidad de la Republica, Uruguay; Universidad de la Republica, Uruguay; Universidad de la Republica, Uruguay</t>
  </si>
  <si>
    <t>Castro-Sowinski, S (corresponding author), Univ Republica, Fac Sci, Biochem &amp; Mol Biol, Igua 4225, Montevideo 11400, Uruguay.</t>
  </si>
  <si>
    <t>scs@fcien.edu.uy</t>
  </si>
  <si>
    <t>Marizcurrena, Juan Jose/AAB-5482-2020</t>
  </si>
  <si>
    <t>Costabile, Alicia/0000-0001-5974-2146; Marizcurrena, Juan Jose/0000-0002-5191-1539</t>
  </si>
  <si>
    <t>PEDECIBA (Programa de Desarrollo de las Ciencias Basicas); ANII (Agencia Nacional de Investigacion e Innovacion) [FMV_3_2016_1_1226654]; ANII; CAP (Comision Academica de Posgrado, UdelaR)</t>
  </si>
  <si>
    <t>PEDECIBA (Programa de Desarrollo de las Ciencias Basicas); ANII (Agencia Nacional de Investigacion e Innovacion); ANII; CAP (Comision Academica de Posgrado, UdelaR)</t>
  </si>
  <si>
    <t>Y This work was partially supported by PEDECIBA (Programa de Desarrollo de las Ciencias Basicas) and ANII (Agencia Nacional de Investigacion e Innovacion, Project FMV_3_2016_1_1226654). The work of JJM and LMH was supported by ANII and CAP (Comision Academica de Posgrado, UdelaR).</t>
  </si>
  <si>
    <t>0378-1097</t>
  </si>
  <si>
    <t>1574-6968</t>
  </si>
  <si>
    <t>FEMS MICROBIOL LETT</t>
  </si>
  <si>
    <t>FEMS Microbiol. Lett.</t>
  </si>
  <si>
    <t>fnz177</t>
  </si>
  <si>
    <t>10.1093/femsle/fnz177</t>
  </si>
  <si>
    <t>JH9CZ</t>
  </si>
  <si>
    <t>WOS:000493066300011</t>
  </si>
  <si>
    <t>Foote, AD; Martin, MD; Louis, M; Pacheco, G; Robertson, KM; Sinding, MHS; Amaral, AR; Baird, RW; Baker, CS; Ballance, L; Barlow, J; Brownlow, A; Collins, T; Constantine, R; Dabin, W; Dalla Rosa, L; Davison, NJ; Durban, JW; Esteban, R; Ferguson, SH; Gerrodette, T; Guinet, C; Hanson, MB; Hoggard, W; Matthews, CJD; Samarra, FIP; de Stephanis, R; Tavares, SB; Tixier, P; Totterdell, JA; Wade, P; Excoffier, L; Gilbert, MTP; Wolf, JBW; Morin, PA</t>
  </si>
  <si>
    <t>Foote, Andrew D.; Martin, Michael D.; Louis, Marie; Pacheco, George; Robertson, Kelly M.; Sinding, Mikkel-Holger S.; Amaral, Ana R.; Baird, Robin W.; Baker, Charles Scott; Ballance, Lisa; Barlow, Jay; Brownlow, Andrew; Collins, Tim; Constantine, Rochelle; Dabin, Willy; Dalla Rosa, Luciano; Davison, Nicholas J.; Durban, John W.; Esteban, Ruth; Ferguson, Steven H.; Gerrodette, Tim; Guinet, Christophe; Hanson, M. Bradley; Hoggard, Wayne; Matthews, Cory J. D.; Samarra, Filipa I. P.; de Stephanis, Renaud; Tavares, Sara B.; Tixier, Paul; Totterdell, John A.; Wade, Paul; Excoffier, Laurent; Gilbert, M. Thomas P.; Wolf, Jochen B. W.; Morin, Phillip A.</t>
  </si>
  <si>
    <t>Killer whale genomes reveal a complex history of recurrent admixture and vicariance</t>
  </si>
  <si>
    <t>admixture; drift; genomics; population structure; secondary contact</t>
  </si>
  <si>
    <t>ORCINUS-ORCA; GENETIC DIFFERENTIATION; UNSAMPLED POPULATIONS; MIGRATION RATES; EVOLUTION; SEQUENCE; DNA; INTROGRESSION; CONNECTIVITY; FRAMEWORK</t>
  </si>
  <si>
    <t>Reconstruction of the demographic and evolutionary history of populations assuming a consensus tree-like relationship can mask more complex scenarios, which are prevalent in nature. An emerging genomic toolset, which has been most comprehensively harnessed in the reconstruction of human evolutionary history, enables molecular ecologists to elucidate complex population histories. Killer whales have limited extrinsic barriers to dispersal and have radiated globally, and are therefore a good candidate model for the application of such tools. Here, we analyse a global data set of killer whale genomes in a rare attempt to elucidate global population structure in a nonhuman species. We identify a pattern of genetic homogenisation at lower latitudes and the greatest differentiation at high latitudes, even between currently sympatric lineages. The processes underlying the major axis of structure include high drift at the edge of species' range, likely associated with founder effects and allelic surfing during postglacial range expansion. Divergence between Antarctic and non-Antarctic lineages is further driven by ancestry segments with up to fourfold older coalescence time than the genome-wide average; relicts of a previous vicariance during an earlier glacial cycle. Our study further underpins that episodic gene flow is ubiquitous in natural populations, and can occur across great distances and after substantial periods of isolation between populations. Thus, understanding the evolutionary history of a species requires comprehensive geographic sampling and genome-wide data to sample the variation in ancestry within individuals.</t>
  </si>
  <si>
    <t>[Foote, Andrew D.; Excoffier, Laurent] Univ Bern, Inst Ecol &amp; Evolut, CMPG, Baltzerstr 6, CH-3012 Bern, Switzerland; [Martin, Michael D.; Gilbert, M. Thomas P.] NTNU Univ Museum, Trondheim, Norway; [Louis, Marie; Pacheco, George; Sinding, Mikkel-Holger S.; Gilbert, M. Thomas P.] Univ Copenhagen, Dept Biol, Sect Evolutionary Genom, Copenhagen, Denmark; [Louis, Marie; Tavares, Sara B.] Univ St Andrews, East Sands, Scottish Oceans Inst, St Andrews, Fife, Scotland; [Robertson, Kelly M.; Ballance, Lisa; Barlow, Jay; Durban, John W.; Gerrodette, Tim; Morin, Phillip A.] NOAA, Marine Mammal &amp; Turtle Div, Natl Marine Fisheries Serv, Southwest Fisheries Sci Ctr, La Jolla, CA USA; [Sinding, Mikkel-Holger S.] Greenland Inst Nat Resources, Nuuk, Greenland; [Amaral, Ana R.] Amer Museum Nat Hist, New York, NY 10024 USA; [Amaral, Ana R.] Univ Lisbon, Fac Ciencias, Ctr Ecol Evolut &amp; Environm Changes, Lisbon, Portugal; [Baird, Robin W.] Cascadia Res, Olympia, WA USA; [Baker, Charles Scott] Oregon State Univ, Marine Mammal Inst, Dept Fisheries &amp; Wildlife, Newport, OR USA; [Baker, Charles Scott; Constantine, Rochelle] Univ Auckland, Sch Biol Sci, Auckland, New Zealand; [Brownlow, Andrew; Davison, Nicholas J.] SRUC Vet Serv Drummondhill, Scottish Marine Anim Stranding Scheme, Inverness, Scotland; [Collins, Tim] Wildlife Conservat Soc, Ocean Giants Program, New York, NY USA; [Dabin, Willy] Univ La Rochelle, CNRS, Observ Pelagis, La Rochelle, France; [Dalla Rosa, Luciano] Univ Fed Rio Grande, Inst Oceanog, Lab Ecol &amp; Conservacao Megafauna Marinha, Rio Grande, Brazil; [Esteban, Ruth; de Stephanis, Renaud] CIRCE Conservat Informat &amp; Res Cetaceans, Algeciras, Spain; [Ferguson, Steven H.; Matthews, Cory J. D.] Fisheries &amp; Oceans Canada, Winnipeg, MB, Canada; [Guinet, Christophe; Tixier, Paul] CNRS ULR, CEBC, UMR, Chize, France; [Hanson, M. Bradley] NOAA, Natl Marine Fisheries Serv, Northwest Fisheries Sci Ctr, Seattle, WA 98115 USA; [Hoggard, Wayne] NOAA, Natl Marine Fisheries Serv, Southeast Fisheries Sci Ctr, Pascagoula, MS USA; [Samarra, Filipa I. P.] Marine &amp; Freshwater Res Inst, Reykjavik, Iceland; [Tixier, Paul] Deakin Univ, Sch Life &amp; Environm Sci, Burwood Campus, Geelong, Vic, Australia; [Totterdell, John A.] Marine Informat &amp; Res Grp Australia MIRG, Quinns Rocks, WA, Australia; [Wade, Paul] NOAA, Natl Marine Mammal Lab, Natl Marine Fisheries Serv, Alaska Fisheries Sci Ctr, Washington, DC USA; [Wolf, Jochen B. W.] Ludwig Maximilians Univ Munchen, Fac Biol, Div Evolutionary Biol, Planegg Martinsried, Germany; [Wolf, Jochen B. W.] Uppsala Univ, Dept Evolutionary Biol, Sci Life Lab, Uppsala, Sweden</t>
  </si>
  <si>
    <t>University of Bern; Norwegian University of Science &amp; Technology (NTNU); University of Copenhagen; University of St Andrews; National Oceanic Atmospheric Admin (NOAA) - USA; Greenland Institute of Natural Resources; American Museum of Natural History (AMNH); Universidade de Lisboa; Oregon State University; University of Auckland; Wildlife Conservation Society; Centre National de la Recherche Scientifique (CNRS); La Rochelle Universite; Universidade Federal do Rio Grande; Fisheries &amp; Oceans Canada; Centre National de la Recherche Scientifique (CNRS); National Oceanic Atmospheric Admin (NOAA) - USA; National Oceanic Atmospheric Admin (NOAA) - USA; National Aeronautics &amp; Space Administration (NASA); Marine &amp; Freshwater Research Institute (MFRI); Deakin University; National Oceanic Atmospheric Admin (NOAA) - USA; University of Munich; Uppsala University</t>
  </si>
  <si>
    <t>Foote, AD (corresponding author), Univ Bern, Inst Ecol &amp; Evolut, CMPG, Baltzerstr 6, CH-3012 Bern, Switzerland.</t>
  </si>
  <si>
    <t>footead@gmall.com</t>
  </si>
  <si>
    <t>Morin, Phillip A/E-9515-2010; Gilbert, Thomas/JSK-2650-2023; Baird, Robin William/Y-8230-2019; Tavares, Sara/JFK-4204-2023; B Tavares, Sara/GQB-1528-2022; Pacheco, George/HLG-7362-2023; Barlow, Jay/D-3565-2019; Excoffier, Laurent/D-3498-2013; Tixier, Paul/AFU-7272-2022; Davison, Nick J/C-9522-2011; Guinet, Christophe/AAR-8457-2020; Brownlow, Andrew/ABA-4653-2020; Pacheco, George/R-3945-2019; Ballance, Lisa/AAF-5472-2020; Wolf, Jochen B. W./U-2243-2017; Amaral, Ana Rita/ABG-4271-2021; Strander Sinding, Mikkel Holger/B-9450-2015; Gilbert, Marcus/A-8936-2013; Esteban, Ruth/Q-8492-2018; Dalla Rosa, Luciano/D-5660-2012</t>
  </si>
  <si>
    <t>Baird, Robin William/0000-0002-9419-6336; B Tavares, Sara/0000-0001-7216-6913; Pacheco, George/0000-0002-9367-6813; Barlow, Jay/0000-0001-7862-855X; Excoffier, Laurent/0000-0002-7507-6494; Brownlow, Andrew/0000-0001-9885-7480; Pacheco, George/0000-0002-9367-6813; Wolf, Jochen B. W./0000-0002-2958-5183; Amaral, Ana Rita/0000-0002-0595-0086; Strander Sinding, Mikkel Holger/0000-0003-1371-219X; de Stephanis, Renaud/0000-0003-2522-7933; Tixier, Paul/0000-0002-7325-3573; Foote, Andrew/0000-0001-7384-1634; Samarra, Filipa/0000-0002-9909-0565; Louis, Marie/0000-0002-4611-5503; Gilbert, Marcus/0000-0002-5805-7195; Davison, Nicholas/0000-0001-7286-1836; Martin, Michael/0000-0002-2010-5139; Esteban, Ruth/0000-0002-8674-6940; Dalla Rosa, Luciano/0000-0002-1583-6471</t>
  </si>
  <si>
    <t>Swisss National Science Foundation [310030B-166605]; European Science Foundation; Swiss National Science Foundation (SNF) [310030B_166605] Funding Source: Swiss National Science Foundation (SNF)</t>
  </si>
  <si>
    <t>Swisss National Science Foundation; European Science Foundation(European Science Foundation (ESF)); Swiss National Science Foundation (SNF)(Swiss National Science Foundation (SNSF))</t>
  </si>
  <si>
    <t>Swisss National Science Foundation, Grant/Award Number: 310030B-166605; European Science Foundation</t>
  </si>
  <si>
    <t>10.1111/mec.15099</t>
  </si>
  <si>
    <t>WOS:000482148400011</t>
  </si>
  <si>
    <t>Wilken, D; Wunderlich, T; Hollmann, H; Schwardt, M; Rabbel, W; Mohr, C; Schulte-Kortnack, D; Nakoinz, O; Enzmann, J; Jürgens, F; Wilkes, F</t>
  </si>
  <si>
    <t>Wilken, Dennis; Wunderlich, Tina; Hollmann, Hannes; Schwardt, Michaela; Rabbel, Wolfgang; Mohr, Clemens; Schulte-Kortnack, Detlef; Nakoinz, Oliver; Enzmann, Jonas; Juergens, Fritz; Wilkes, Feiko</t>
  </si>
  <si>
    <t>Imaging a medieval shipwreck with the new PingPong 3D marine reflection seismic system</t>
  </si>
  <si>
    <t>ARCHAEOLOGICAL PROSPECTION</t>
  </si>
  <si>
    <t>3D reflection seismics; medieval studies; shipwreck; sub-bottom profiling</t>
  </si>
  <si>
    <t>SHALLOW-WATER; ARCHAEOLOGICAL OBJECTS; RESOLUTION</t>
  </si>
  <si>
    <t>We present a new three-dimensional (3D) marine seismic data acquisition system, named PingPong, developed for archaeological prospection in shallow water. Prospection targets for the system are ancient harbour sites and sedimented remains of shipwrecks. The prospection of such targets often means working at the transition from land to water, in areas of only a few meters of water depth and hardly accessible waters. An acquisition system for such environments needs to meet specific demands, especially low draught and marginal weight besides the requirements of archaeological prospection, meaning decimetre resolution and 3D imaging capabilities, together with fast multichannel acquisition to be able to cover large areas. We explain the properties of the PingPong system and show its imaging capabilities using the case study of a sedimented medieval shipwreck. The study area is located at the innermost part of the Baltic fjord Schlei, Germany. In 2014, divers found a wreck in this area, mostly covered by mud. Findings and two timbers, dated by dendrochronology, indicated that the wreck is a Scandinavian transport ship dating to the middle of the twelfth century and related to Schleswig, which is located 2 km northwest of the study area. We show that the PingPong system is able to image the major remains of the wooden wreck at the seafloor and underneath. The acquired seismic datacube has a resolution of 0.15 m. It shows a number of distinct reflections that can clearly be assigned to the shipwreck, helping to understand the overall condition of the wreck. The reflections originate from one half the ship's hull, which is tilted to the side. The reflections concentrate in the first metre below the seafloor and correlate well with the results from the diving prospection.</t>
  </si>
  <si>
    <t>[Wilken, Dennis; Wunderlich, Tina; Schwardt, Michaela; Rabbel, Wolfgang; Mohr, Clemens; Schulte-Kortnack, Detlef] Christian Albrechts Univ Kiel, Inst Geosci, Dept Geophys, Otto Hahn Pl 1, D-24118 Kiel, Germany; [Nakoinz, Oliver; Enzmann, Jonas; Juergens, Fritz; Wilkes, Feiko] Christian Albrechts Univ Kiel, Inst Pre &amp; Protohist, Kiel, Germany; [Hollmann, Hannes] Univ Tasmania, Inst Marine &amp; Antarctic Studies, Hobart, Tas, Australia</t>
  </si>
  <si>
    <t>University of Kiel; University of Kiel; University of Tasmania</t>
  </si>
  <si>
    <t>Wilken, D (corresponding author), Christian Albrechts Univ Kiel, Inst Geosci, Dept Geophys, Otto Hahn Pl 1, D-24118 Kiel, Germany.</t>
  </si>
  <si>
    <t>dwilken@geophysik.uni-kiel.de</t>
  </si>
  <si>
    <t>Wunderlich, Tina/ABZ-3511-2022</t>
  </si>
  <si>
    <t>Wunderlich, Tina/0000-0003-2275-704X; Enzmann, Jonas/0000-0002-3412-5595; Nakoinz, Oliver/0000-0003-2113-0157; Wilken, Dennis/0000-0002-5128-351X</t>
  </si>
  <si>
    <t>German Research Foundation (DFG) [RA 496/26]</t>
  </si>
  <si>
    <t>German Research Foundation (DFG)(German Research Foundation (DFG))</t>
  </si>
  <si>
    <t>German Research Foundation (DFG), Grant/Award Number: RA 496/26</t>
  </si>
  <si>
    <t>1075-2196</t>
  </si>
  <si>
    <t>1099-0763</t>
  </si>
  <si>
    <t>ARCHAEOL PROSPECT</t>
  </si>
  <si>
    <t>Archaeol. Prospect.</t>
  </si>
  <si>
    <t>10.1002/arp.1735</t>
  </si>
  <si>
    <t>Archaeology; Geosciences, Multidisciplinary</t>
  </si>
  <si>
    <t>Science Citation Index Expanded (SCI-EXPANDED); Arts &amp; Humanities Citation Index (A&amp;HCI)</t>
  </si>
  <si>
    <t>Archaeology; Geology</t>
  </si>
  <si>
    <t>IW9LY</t>
  </si>
  <si>
    <t>WOS:000485316300003</t>
  </si>
  <si>
    <t>Condie, SA; Oliver, ECJ; Hallegraeff, GM</t>
  </si>
  <si>
    <t>Condie, Scott A.; Oliver, Eric C. J.; Hallegraeff, Gustaaf M.</t>
  </si>
  <si>
    <t>Environmental drivers of unprecedented Alexandrium catenella dinoflagellate blooms off eastern Tasmania, 2012-2018</t>
  </si>
  <si>
    <t>HARMFUL ALGAE</t>
  </si>
  <si>
    <t>Harmful algal bloom; Alexandrium; Stratification; Rainfall; Forecasting</t>
  </si>
  <si>
    <t>HARMFUL ALGAL BLOOMS; KARENIA-BREVIS BLOOMS; STRATIFICATION; TAMARENSE; PHYTOPLANKTON; CIRCULATION; MODELS; SHELF</t>
  </si>
  <si>
    <t>Blooms of the highly toxic dinoflagellate Alexandrium catenella (previously referred to as tamarense group 1) were first detected off eastern Tasmania in 2012 and have since been responsible for incidences of human paralytic shellfish poisoning and extended closures (up to 25 weeks) of mussel, oyster, scallop, abalone and rock lobster industries (up to 150 mg/kg PST in mussels). Investigation of meteorological and oceanographic influences indicate that the annually recurrent winter-spring blooms (June-Oct) occur within a narrow water temperature window (10-15 degrees C) under two distinct sets of conditions: (1) following high rainfall and land run-off, under relatively light winds; and (2) following periods of anomalously low air temperatures and associated cooling of shallow coastal waters, again under relatively light winds. The common driver of blooms appears to be the development of stratification in coastal waters, via salinity and/or temperature gradients. We propose a framework for evaluating the risk of Alexandrium with the aim of developing a forecasting capability, and compare these environmental conditions with historic data to understand the recent advent of these blooms.</t>
  </si>
  <si>
    <t>[Condie, Scott A.] CSIRO Oceans &amp; Atmosphere, GPO Box 1538, Hobart, Tas 7001, Australia; [Oliver, Eric C. J.; Hallegraeff, Gustaaf M.] Univ Tasmania, Inst Marine &amp; Antarctic Studies, Hobart, Tas 7001, Australia; [Oliver, Eric C. J.] Dalhousie Univ, Dept Oceanog, Halifax, NS, Canada</t>
  </si>
  <si>
    <t>Commonwealth Scientific &amp; Industrial Research Organisation (CSIRO); University of Tasmania; Dalhousie University</t>
  </si>
  <si>
    <t>Condie, SA (corresponding author), CSIRO Oceans &amp; Atmosphere, GPO Box 1538, Hobart, Tas 7001, Australia.</t>
  </si>
  <si>
    <t>scott.condie@csiro.au</t>
  </si>
  <si>
    <t>Condie, Scott A/C-2953-2012; Oliver, Eric/G-5118-2014; Hallegraeff, Gustaaf/C-8351-2013</t>
  </si>
  <si>
    <t>Oliver, Eric/0000-0002-4006-2826; Hallegraeff, Gustaaf/0000-0001-8464-7343</t>
  </si>
  <si>
    <t>Australian Government through Fisheries Research and Development Corporation [2014/032]</t>
  </si>
  <si>
    <t>Australian Government through Fisheries Research and Development Corporation(Fisheries R&amp;D Corp)</t>
  </si>
  <si>
    <t>This research was funded by the Australian Government through Fisheries Research and Development Corporation project 2014/032: Improved understanding of Tasmanian harmful algal blooms and biotoxin events to support seafood risk management. We thank Andreas Seger, David Faloon and Justin Hulls for help with field sampling, Brian Hatfield for assistance with graphics, and acknowledge Kate Wilson for allowing access to the routine TSQAP shellfish toxin monitoring data. [CG]</t>
  </si>
  <si>
    <t>1568-9883</t>
  </si>
  <si>
    <t>1878-1470</t>
  </si>
  <si>
    <t>Harmful Algae</t>
  </si>
  <si>
    <t>10.1016/j.hal.2019.101628</t>
  </si>
  <si>
    <t>IW3IO</t>
  </si>
  <si>
    <t>WOS:000484873900006</t>
  </si>
  <si>
    <t>McMillan, MN; Huveneers, C; Semmens, JM; Gillanders, BM</t>
  </si>
  <si>
    <t>McMillan, M. N.; Huveneers, C.; Semmens, J. M.; Gillanders, B. M.</t>
  </si>
  <si>
    <t>Partial female migration and cool-water migration pathways in an overfished shark</t>
  </si>
  <si>
    <t>ICES JOURNAL OF MARINE SCIENCE</t>
  </si>
  <si>
    <t>behavioural plasticity; bioenergetics; fishing pressure; Galeorhinus galeus; large-scale movements; PSAT; soupfin shark; tope</t>
  </si>
  <si>
    <t>SCHOOL SHARK; POPULATION-DYNAMICS; GALEORHINUS-GALEUS; BEHAVIORAL THERMOREGULATION; STOCK ASSESSMENT; PRIONACE-GLAUCA; MOVEMENT; CONSERVATION; ECOLOGY; FISH</t>
  </si>
  <si>
    <t>Knowledge about reproductive movements can be of important conservation value for over-exploited species that are vulnerable when moving between and within key reproductive habitats. Lack of knowledge persists around such movements in the overfished school shark Galeorhinus galeus in Australia. Management assumes all pregnant females migrate between adult aggregations in the Great Australian Bight, South Australia, and nursery areas around Bass Strait and Tasmania. We tracked 14 late-term pregnant females tagged in South Australia using satellite-linked pop-up archival tags to investigate extent, timing, and routes of migrations. We found partial migration, with some females (n=7) remaining near aggregating areas throughout the pupping season, some migrating to known nursery areas (n=3), and one migrating similar to 3 000km to New Zealand. We conclude female movements and pupping habitats are less spatially constrained than assumed and propose females use cool-water routes along the shelf break to reduce energy costs of migration. Migrating females using these routes faced greater fishing pressure than sharks in inshore areas and were not protected by inshore shark fishing closures designed to protect them. This study demonstrates the complexity of reproductive movements that can occur in wide-ranging species and highlights the value of explicit movement data.</t>
  </si>
  <si>
    <t>[McMillan, M. N.; Gillanders, B. M.] Univ Adelaide, Sch Biol Sci, Southern Seas Ecol Labs, Adelaide, SA 5005, Australia; [McMillan, M. N.; Gillanders, B. M.] Univ Adelaide, Environm Inst, Adelaide, SA 5005, Australia; [Huveneers, C.] Flinders Univ S Australia, Southern Shark Ecol Grp, Coll Sci &amp; Engn, Bedford Pk 5042, Australia; [Semmens, J. M.] Univ Tasmania, Fisheries &amp; Aquaculture Ctr, Inst Marine &amp; Antarctic Studies, Taroona 7053, Australia</t>
  </si>
  <si>
    <t>University of Adelaide; University of Adelaide; Flinders University South Australia; University of Tasmania</t>
  </si>
  <si>
    <t>McMillan, MN (corresponding author), Univ Adelaide, Sch Biol Sci, Southern Seas Ecol Labs, Adelaide, SA 5005, Australia.;McMillan, MN (corresponding author), Univ Adelaide, Environm Inst, Adelaide, SA 5005, Australia.</t>
  </si>
  <si>
    <t>matthew.mcmillan@adelaide.edu.au</t>
  </si>
  <si>
    <t>Huveneers, Charlie/0000-0001-8937-1358; Semmens, Jayson/0000-0003-1742-6692</t>
  </si>
  <si>
    <t>Sea World Research and Rescue Foundation, Inc.; Holsworth Wildlife Research Endowment; Frederick James Sandoz scholarship</t>
  </si>
  <si>
    <t>Many thanks to Sea World Research and Rescue Foundation, Inc. and the Holsworth Wildlife Research Endowment for providing funding to purchase PSAT tags. Thanks to Kyri Toumazos and his crews of the Southern Shark Industry Alliance for having MNM aboard their commercial vessels for fieldwork, and to all volunteers who assisted in the field, particularly James Trezise, Jasmin Martino, James Walker, and Keira Gopsil. Thanks to the Integrated Marine Observing System in Hobart for access to environmental data from the Kangaroo Island mooring station and to the Australian Fisheries Management Authority for access to commercial catch data. MNM was supported by a Frederick James Sandoz scholarship.</t>
  </si>
  <si>
    <t>1054-3139</t>
  </si>
  <si>
    <t>1095-9289</t>
  </si>
  <si>
    <t>ICES J MAR SCI</t>
  </si>
  <si>
    <t>ICES J. Mar. Sci.</t>
  </si>
  <si>
    <t>JUL-AUG</t>
  </si>
  <si>
    <t>10.1093/icesjms/fsy181</t>
  </si>
  <si>
    <t>IV6VC</t>
  </si>
  <si>
    <t>WOS:000484404900028</t>
  </si>
  <si>
    <t>Ryabov, AB; Tarling, GA</t>
  </si>
  <si>
    <t>Ryabov, Alexey B.; Tarling, Geraint A.</t>
  </si>
  <si>
    <t>Scaling of size, shape and surface roughness in Antarctic krill swarms</t>
  </si>
  <si>
    <t>acoustics; area; aspect ratio; Euphausia superba; perimeter; Scotia Sea; Southern Ocean</t>
  </si>
  <si>
    <t>VERTICAL MIGRATION BEHAVIOR; EUPHAUSIA-SUPERBA; SCOTIA SEA; MEGANYCTIPHANES-NORVEGICA; AGGREGATION; FISH; SCHOOLS; ZONE; PRODUCTIVITY; RESPIRATION</t>
  </si>
  <si>
    <t>Antarctic krill are obligate swarmers and the size and shape of the swarms they form can have a major influence on trophic interactions and biogeochemical fluxes. Parameterizing variability in size and shape is therefore a useful step toward understanding the operation of the Southern Ocean ecosystem. We analyse the relationships between the length L, thickness T, perimeter P, and area A of 4650 vertical cross-sections of open-ocean krill swarms obtained within the Atlantic sector of the Southern Ocean in summer 2003. Our data show that these parameters are tightly interrelated. The thickness T increases on average as L0.67 and has a log-normal distribution within each length class. The perimeter and area scale with L and T as P similar to L0.77T and A similar to L0.86T0.48. The swarm aspect ratio, T/L, decreases approximately as L-0.32. The surface roughness (defined as P/A) has a weak dependence on swarm length and decreases approximately as T-0.46, which can be explained only by the appearance of indentations and cavities in the swarm shape. Overall, our study finds that there are distinct limits to the size and shape of swarms that Antarctic krill appear to be capable of forming and we explore the potential explanatory factors contributing to these limitations.</t>
  </si>
  <si>
    <t>[Ryabov, Alexey B.] Carl von Ossietzky Univ Oldenburg, Inst Chem &amp; Biol Marine Environm, D-26111 Oldenburg, Germany; [Tarling, Geraint A.] British Antarctic Survey, Nat Environm Res Council, Madingley Rd, Cambridge CB3 0ET, England</t>
  </si>
  <si>
    <t>Carl von Ossietzky Universitat Oldenburg; UK Research &amp; Innovation (UKRI); Natural Environment Research Council (NERC); NERC British Antarctic Survey</t>
  </si>
  <si>
    <t>Tarling, GA (corresponding author), British Antarctic Survey, Nat Environm Res Council, Madingley Rd, Cambridge CB3 0ET, England.</t>
  </si>
  <si>
    <t>gant@bas.ac.uk</t>
  </si>
  <si>
    <t>Tarling, Geraint/0000-0002-3753-5899</t>
  </si>
  <si>
    <t>COMICS (UK Natural Environment Research Council) [NE/M020762/1]; NERC [NE/M020762/1, bas0100035] Funding Source: UKRI</t>
  </si>
  <si>
    <t>COMICS (UK Natural Environment Research Council); NERC(UK Research &amp; Innovation (UKRI)Natural Environment Research Council (NERC))</t>
  </si>
  <si>
    <t>We thank the contribution of the two anonymous referees whose insights and suggestions greatly improved this manuscript. We are grateful to the crew and scientists aboard the RRS James Clark Ross during the cruise JR82 for their assistance in collecting material. We also thank D. Bone for assembling and maintaining the net gear and N. Cunningham for organizing and retrieving data. S. Fielding and T. Klevjer assisted in the acoustic identification and visualization of krill swarms, as reported in previously published works. ABR acknowledges the Lower Saxony Ministry for Science and Culture, project POSER. GT acknowledges COMICS (UK Natural Environment Research Council, Large grant NE/M020762/1) in supporting the write up of this manuscript. The work was carried out as part of the Ecosystems programme at the British Antarctic Survey and Natural Environment Research Council.</t>
  </si>
  <si>
    <t>10.1093/icesjms/fsz005</t>
  </si>
  <si>
    <t>WOS:000484404900036</t>
  </si>
  <si>
    <t>Shelyakin, MA; Andreev, MP; Tabalenkova, GN; Golovko, TK</t>
  </si>
  <si>
    <t>Shelyakin, M. A.; Andreev, M. P.; Tabalenkova, G. N.; Golovko, T. K.</t>
  </si>
  <si>
    <t>Respiratory Activity of Some Lichen Species-Representatives of Antarctic Flora</t>
  </si>
  <si>
    <t>CONTEMPORARY PROBLEMS OF ECOLOGY</t>
  </si>
  <si>
    <t>lichens; Antarctica; respiration; nitrogen; temperature</t>
  </si>
  <si>
    <t>SNOW; ICE</t>
  </si>
  <si>
    <t>Data on the respiratory activity of 12 species of Antarctic lichens are presented. It is found that the respiration of foliose lichens is more intensive than the respiration of fruticose lichens. The O-2 uptake rate correlates positively with the nitrogen content in the biomass of thalli and depends on temperature. The thalli O-2 uptake rate increased 2.2-2.4 times with a temperature increase from 5 to 15 degrees C. The reaction of respiration upon a further rise in temperature is species-specific. The decrease in the temperature coefficient of respiration (Q(10)) with a temperature increase to 35 degrees C is most pronounced in the endemic species Usnea aurantiaco-atra, which is well-adapted to Antarctic conditions. The calculations show that, in summer, lichens are able to lose an amount of substrate equivalent to 0.8-1.4% of the thallus dry biomass in respiration daily. The total respiration cost of the lichen maintenance under snow during the winter can reach of 30-35% from their biomass. These results extend our knowledge on Antarctic lichens, and prediction their response to climatic change.</t>
  </si>
  <si>
    <t>[Shelyakin, M. A.; Tabalenkova, G. N.; Golovko, T. K.] Russian Acad Sci, Ural Branch, Inst Biol, Komi Sci Ctr, Syktyvkar 167982, Russia; [Andreev, M. P.] Russian Acad Sci, Komarov Bot Inst, St Petersburg 197376, Russia</t>
  </si>
  <si>
    <t>Russian Academy of Sciences; Komi Science Centre of the Ural Branch of the Russian Academy of Sciences; Institute of Biology, Komi Scientific Centre, Ural Branch RAS; Russian Academy of Sciences; Komarov Botanical Institute, Russian Academy of Sciences</t>
  </si>
  <si>
    <t>Shelyakin, MA (corresponding author), Russian Acad Sci, Ural Branch, Inst Biol, Komi Sci Ctr, Syktyvkar 167982, Russia.</t>
  </si>
  <si>
    <t>shelyakin@ib.komisc.ru</t>
  </si>
  <si>
    <t>Golovko, Tamara K/P-4922-2015; Andreev, Mikhail P./U-9847-2017; Shelyakin, Mikhail A/Q-2340-2015; Andreev, Mikhail P./JAC-9420-2023</t>
  </si>
  <si>
    <t>Shelyakin, Mikhail/0000-0001-8537-6995; Andreev, Mikhail/0000-0002-5688-0751</t>
  </si>
  <si>
    <t>Physiology and Stress-Resistance of Photosynthesis of Plants and Poikilohydric Photoautotrophs in Conditions of the North project [AAAA-A17-117033010038-7]; Integrated Research Program, Ural Branch, Russian Academy of Sciences [18-4-4-20, AAA-A18-1180328901-018]; Russian Foundation for Basic Research [18-34-00346 mol_a, 18-04-00900]</t>
  </si>
  <si>
    <t>Physiology and Stress-Resistance of Photosynthesis of Plants and Poikilohydric Photoautotrophs in Conditions of the North project; Integrated Research Program, Ural Branch, Russian Academy of Sciences(Russian Academy of Sciences); Russian Foundation for Basic Research(Russian Foundation for Basic Research (RFBR)Spanish Government)</t>
  </si>
  <si>
    <t>This work was carried out as part of the Physiology and Stress-Resistance of Photosynthesis of Plants and Poikilohydric Photoautotrophs in Conditions of the North project (no. AAAA-A17-117033010038-7) with financial support from the Integrated Research Program, Ural Branch, Russian Academy of Sciences, in the Wildlife and Climate project according to project no. 18-4-4-20 Phototrophic Organisms as a Component of Living Nature and an Indicator of Climate Change fundamental research program of RASI.2.41 Biological Diversity and Dynamics of the Plant World of Russia (no. AAA-A18-1180328901-018) and Russian Foundation for Basic Research grants no. 18-34-00346 mol_a Respiration and Energy-dissipayting Alternative Mitochondrial Pathway in Lichen Thalli under Normal and Stress Conditions and no. 18-04-00900 Ornithogenic Soils of the Antarctic: Formation, Geography, and Biogeochemistry.</t>
  </si>
  <si>
    <t>MAIK NAUKA/INTERPERIODICA/SPRINGER</t>
  </si>
  <si>
    <t>233 SPRING ST, NEW YORK, NY 10013-1578 USA</t>
  </si>
  <si>
    <t>1995-4255</t>
  </si>
  <si>
    <t>1995-4263</t>
  </si>
  <si>
    <t>CONTEMP PROBL ECOL+</t>
  </si>
  <si>
    <t>Contemp. Probl. Ecol.</t>
  </si>
  <si>
    <t>10.1134/S1995425519040115</t>
  </si>
  <si>
    <t>IU7QD</t>
  </si>
  <si>
    <t>WOS:000483777500004</t>
  </si>
  <si>
    <t>Zhang, Z; Qu, CF; Yao, R; Nie, Y; Xu, CJ; Miao, JL; Zhong, BJ</t>
  </si>
  <si>
    <t>Zhang, Zhenhua; Qu, Changfeng; Yao, Ru; Nie, Yuan; Xu, Chenjie; Miao, Jinlai; Zhong, Bojian</t>
  </si>
  <si>
    <t>The Parallel Molecular Adaptations to the Antarctic Cold Environment in Two Psychrophilic Green Algae</t>
  </si>
  <si>
    <t>GENOME BIOLOGY AND EVOLUTION</t>
  </si>
  <si>
    <t>Antarctic; psychrophilic green algae; positive selection; molecular convergence; adaptation</t>
  </si>
  <si>
    <t>PHYLOGENETIC ANALYSIS; GENOME ANNOTATION; ADAPTIVE PATTERNS; PHOTOSYSTEM-II; SEA-ICE; ACCLIMATION; RESISTANCE; EVOLUTION; PHOTOINHIBITION; TRANSCRIPTOME</t>
  </si>
  <si>
    <t>Psychrophilic green algae from independent phylogenetic lines thrive in the polar extreme environments, but the hypothesis that their psychrophilic characteristics appeared through parallel routes of molecular evolution remains untested. The recent surge of transcriptome data enables large-scale evolutionary analyses to investigate the genetic basis for the adaptations to the Antarctic extreme environment, and the identification of the selective forces that drive molecular evolution is the foundation to understand the strategies of cold adaptation. Here, we conducted transcriptome sequencing of two Antarctic psychrophilic green algae (Chlamydomonas sp. ICE-L and Tetrabaena socialis) and performed positive selection and convergent substitution analyses to investigate their molecular convergence and adaptive strategies against extreme cold conditions. Our results revealed considerable shared positively selected genes and significant evidence of molecular convergence in two Antarctic psychrophilic algae. Significant evidence of positive selection and convergent substitution were detected in genes associated with photosynthetic machinery, multiple antioxidant systems, and several crucial translation elements in Antarctic psychrophilic algae. Our study reveals that the psychrophilic algae possess more stable photosynthetic apparatus and multiple protective mechanisms and provides new clues of parallel adaptive evolution in Antarctic psychrophilic green algae.</t>
  </si>
  <si>
    <t>[Zhang, Zhenhua; Yao, Ru; Nie, Yuan; Xu, Chenjie; Zhong, Bojian] Nanjing Normal Univ, Coll Life Sci, Jiangsu Key Lab Biodivers &amp; Biotechnol, Nanjing, Jiangsu, Peoples R China; [Qu, Changfeng; Miao, Jinlai] Minist Nat Resources, Inst Oceanog 1, Qingdao, Shandong, Peoples R China; [Qu, Changfeng; Miao, Jinlai] Qingdao Natl Lab Marine Sci &amp; Technol, Lab Marine Drugs &amp; Bioprod, Qingdao, Shandong, Peoples R China</t>
  </si>
  <si>
    <t>Nanjing Normal University; First Institute of Oceanography, Ministry of Natural Resources; Ministry of Natural Resources of the People's Republic of China; Laoshan Laboratory</t>
  </si>
  <si>
    <t>Zhong, BJ (corresponding author), Nanjing Normal Univ, Coll Life Sci, Jiangsu Key Lab Biodivers &amp; Biotechnol, Nanjing, Jiangsu, Peoples R China.</t>
  </si>
  <si>
    <t>bjzhong@gmail.com</t>
  </si>
  <si>
    <t>Zhang, Zhenhua/ITT-3269-2023; Zhong, Bojian/AAH-1236-2020</t>
  </si>
  <si>
    <t>Zhang, Zhenhua/0000-0001-8650-8881; Zhong, Bojian/0000-0002-6496-7646</t>
  </si>
  <si>
    <t>National Key Research and Development Program of China [2018YFD0900705, 2018YFD0901103]; National Natural Science Foundation of China [31570219, 41576187]; Jiangsu Province Key Project for Scientific Research [16KJA180002]; Qing Lan Project; Young Elite Scientists Sponsorship Program of Jiangsu Province [16KJA180002]; Six Talent Peaks Project of Jiangsu Province [16KJA180002]; China Ocean Mineral Resources RD Association [DY135-B2-14]; Priority Academic Program Development of Jiangsu Higher Education Institutions (PAPD)</t>
  </si>
  <si>
    <t>National Key Research and Development Program of China; National Natural Science Foundation of China(National Natural Science Foundation of China (NSFC)); Jiangsu Province Key Project for Scientific Research; Qing Lan Project(Jiangsu Polytech Institute); Young Elite Scientists Sponsorship Program of Jiangsu Province; Six Talent Peaks Project of Jiangsu Province; China Ocean Mineral Resources RD Association; Priority Academic Program Development of Jiangsu Higher Education Institutions (PAPD)</t>
  </si>
  <si>
    <t>We are grateful to Shaohua Xu and Suhua Shi for helpful discussion. The associate editor and anonymous reviewers provided constructive comments on the manuscript. This study was supported by the National Key Research and Development Program of China (2018YFD0900705 and 2018YFD0901103), the National Natural Science Foundation of China (31570219 and 41576187), the Jiangsu Province Key Project for Scientific Research (16KJA180002), Qing Lan Project, Young Elite Scientists Sponsorship Program and Six Talent Peaks Project of Jiangsu Province (16KJA180002), China Ocean Mineral Resources R&amp;D Association (DY135-B2-14), the Priority Academic Program Development of Jiangsu Higher Education Institutions (PAPD).</t>
  </si>
  <si>
    <t>1759-6653</t>
  </si>
  <si>
    <t>GENOME BIOL EVOL</t>
  </si>
  <si>
    <t>Genome Biol. Evol.</t>
  </si>
  <si>
    <t>10.1093/gbe/evz104</t>
  </si>
  <si>
    <t>Evolutionary Biology; Genetics &amp; Heredity</t>
  </si>
  <si>
    <t>IV1LT</t>
  </si>
  <si>
    <t>WOS:000484039500017</t>
  </si>
  <si>
    <t>Armston-Sheret, E</t>
  </si>
  <si>
    <t>Armston-Sheret, Edward</t>
  </si>
  <si>
    <t>Tainted bodies: scurvy, bad food and the reputation of the British National Antarctic Expedition, 1901-1904</t>
  </si>
  <si>
    <t>JOURNAL OF HISTORICAL GEOGRAPHY</t>
  </si>
  <si>
    <t>Exploration; Heroism; The body; Scurvy; Authorship</t>
  </si>
  <si>
    <t>DISCOVERY</t>
  </si>
  <si>
    <t>This paper investigates scientific and public understandings of scurvy at the turn of the twentieth century in order to examine the cultural meanings attached to explorers' bodies. I analyse the medical and moral debates around outbreaks of scurvy on expeditions, the different and conflicting meanings attached to male explorers' bodies, and how these different understandings shaped the response to an outbreak of scurvy on the British National Antarctic Expedition (1901-1904). Scurvy, I demonstrate, could be rendered as an inevitable part of an explorer's heroic, masculine adventures, in narratives of suffering for science, or as a source of shame. How scurvy was represented depended, however, on where it occurred, what its causes were understood to be, and the motivations of those representing the scurvy outbreak on an expedition. More fundamentally, I suggest that these different representations of scurvy exposed underlying disagreements about the purpose of exploration and the relationship between suffering, heroism, science and national pride on British polar expeditions in the Edwardian era. Crown Copyright (C) 2019 Published by Elsevier Ltd. All rights reserved.</t>
  </si>
  <si>
    <t>[Armston-Sheret, Edward] Royal Holloway Univ London, Dept Geog, Egham TW20 0EX, Surrey, England</t>
  </si>
  <si>
    <t>Armston-Sheret, E (corresponding author), Royal Holloway Univ London, Dept Geog, Egham TW20 0EX, Surrey, England.</t>
  </si>
  <si>
    <t>Ed.Armston-Sheret.2017@rhul.ac.uk</t>
  </si>
  <si>
    <t>Armston-Sheret, Edward/0000-0001-6927-9060</t>
  </si>
  <si>
    <t>Arts and Humanities Research Council through the TECHNE Doctoral Training Partnership</t>
  </si>
  <si>
    <t>Arts and Humanities Research Council through the TECHNE Doctoral Training Partnership(UK Research &amp; Innovation (UKRI)Arts &amp; Humanities Research Council (AHRC))</t>
  </si>
  <si>
    <t>I am immensely grateful to Dr Innes M. Keighren and Professor Klaus Dodds at Royal Holloway, University of London, for their support and guidance as well as for their comments on earlier versions of the manuscript. This research was supported by the Arts and Humanities Research Council through the TECHNE Doctoral Training Partnership.</t>
  </si>
  <si>
    <t>0305-7488</t>
  </si>
  <si>
    <t>1095-8614</t>
  </si>
  <si>
    <t>J HIST GEOGR</t>
  </si>
  <si>
    <t>J. Hist. Geogr.</t>
  </si>
  <si>
    <t>10.1016/j.jhg.2019.05.006</t>
  </si>
  <si>
    <t>Geography; History Of Social Sciences</t>
  </si>
  <si>
    <t>Geography; Social Sciences - Other Topics</t>
  </si>
  <si>
    <t>IU5RK</t>
  </si>
  <si>
    <t>WOS:000483644800003</t>
  </si>
  <si>
    <t>Papiol, V; Cartes, JE; Vélez-Belchí, P; Martín-Sosa, P</t>
  </si>
  <si>
    <t>Papiol, V.; Cartes, J. E.; Velez-Belchi, P.; Martin-Sosa, P.</t>
  </si>
  <si>
    <t>Near-bottom zooplankton over three seamounts in the east Canary Islands: Influence of environmental variables on distribution and composition</t>
  </si>
  <si>
    <t>Near-bottom zooplankton; Seamounts; Benthic boundary layer; Canary Islands; Oxygen; Fluorescence</t>
  </si>
  <si>
    <t>CANONICAL CORRESPONDENCE-ANALYSIS; GREAT METEOR SEAMOUNT; SOND CRUISE 1965; LE-DANOIS BANK; VERTICAL-DISTRIBUTION; RESOURCE UTILIZATION; COMMUNITY STRUCTURE; DIURNAL MIGRATION; BOUNDARY CURRENT; CANTABRIAN SEA</t>
  </si>
  <si>
    <t>The near-bottom zooplankton over three seamounts of the eastern Canary Islands (Amanay, El Banquete and Concepcion) was analyzed, identifying the environmental variables that explain biomass distributions over them. Zooplankton composition changed between adjacent water masses, except for the two deepest assemblages associated with Atlantic Antarctic Intermediate Water (AAIW) and Mediterranean Water (MW). The highest biomass of total zooplankton and of main taxa (e.g. copepods, chaetognaths, siphonophores) were recorded at the seamount summits, i.e., over Amanay-El Banquete (summit depths of 23-24 m) associated with Surface Water (SF) and over Concepcion (150 m) in upper levels of the North Atlantic Central Water (NACW). Biomass minima at the three banks were found at ca. 250-650 m, in the deepest levels of NACW. At ca. 700-1000 m (the level occupied by AAIW) and below 1000 m (MW level) biomass increased again. Near-bottom fluorometry (f(5mab), 5 m above bottom) and dissolved oxygen (O-2 (5mab) were the main variables explaining changes of total zooplankton/main taxa biomass. Biomass minima (250-650 m) coincided with decreases of O-2 (5mab) (3.30-3.99 ml/l at 400-700 m) at deepest depths occupied by NACW. Other variables not included in our models like turbidity (resuspension of particles) may have locally enhanced zooplankton aggregation, as they may locally occur alongside Concepcion at the NACW-AAIW confluence (at ca. 700 m), probably from the effects of internal waves. Our results suggest that observations regarding the attraction of organisms to the stationary substrates of seamounts could be related to elevated chlorophyll fluorescence and O-2 (5mab) concentration. Peaks in those variables apparently enhance zooplankton aggregation.</t>
  </si>
  <si>
    <t>[Papiol, V.] UNAM, Unidad Multidisciplinaria Docencia &amp; Invest Sisal, Fac Ciencias, Puerto Abrigo S-N, Sisal 97356, Yucatan, Mexico; [Cartes, J. E.] Inst Ciencies Mar ICM CSIC, Passeig Maritim Barceloneta 27-49, Barcelona 08003, Catalonia, Spain; [Velez-Belchi, P.; Martin-Sosa, P.] Ctr Oceanog Canarias IEO, Via Espaldon,,Darsena Pesquera,Parcela 8, Santa Cruz De Tenerife 38180, Spain</t>
  </si>
  <si>
    <t>Universidad Nacional Autonoma de Mexico; Consejo Superior de Investigaciones Cientificas (CSIC); CSIC - Centro Mediterraneo de Investigaciones Marinas y Ambientales (CMIMA); CSIC - Instituto de Ciencias del Mar (ICM)</t>
  </si>
  <si>
    <t>Cartes, JE (corresponding author), Inst Ciencies Mar ICM CSIC, Passeig Maritim Barceloneta 27-49, Barcelona 08003, Catalonia, Spain.</t>
  </si>
  <si>
    <t>jcartes@icm.csic.es</t>
  </si>
  <si>
    <t>Papiol, Vanesa/L-1513-2014</t>
  </si>
  <si>
    <t>Papiol, Vanesa/0000-0001-6891-0148</t>
  </si>
  <si>
    <t>EC contract INDEMARES-LIFE [07/NAT/E/000732]</t>
  </si>
  <si>
    <t>EC contract INDEMARES-LIFE</t>
  </si>
  <si>
    <t>Authors deeply thank all the team participating in INFUECO-INCOECO cruises performed within INDEMARES project (EC contract INDEMARES-LIFE, 07/NAT/E/000732). Without their participation such multidisciplinary research would not be possible. Special thanks to Dr. Eugenio Fraile, who provided CTD data from Amanay-El Banquete for analysis and gave us some comments on a manuscript draft, and to Santiago Barreiro who generated the maps. Thanks also to Dr. J. Rivera (I.E.O.) for his comments on the manuscript and to Dr. Edgar Torres-Irineo (UNAM) for his help in the use of GLMs and GAMs. Thanks also to Dr. D. Lloris, who helped us identify some of the mesopelagic fish. Dr. C. B. Miller revised the English of this article, we deeply thank him for his infinite patience and help.</t>
  </si>
  <si>
    <t>10.1016/j.dsr.2019.04.003</t>
  </si>
  <si>
    <t>IU2KU</t>
  </si>
  <si>
    <t>Green Published, Green Submitted</t>
  </si>
  <si>
    <t>WOS:000483410100013</t>
  </si>
  <si>
    <t>Pratt, N; Chen, TY; Li, T; Wilson, DJ; van de Flierdt, T; Little, SH; Taylor, ML; Robinson, LF; Rogers, AD; Santodomingo, N</t>
  </si>
  <si>
    <t>Pratt, Naomi; Chen, Tianyu; Li, Tao; Wilson, David J.; van de Flierdt, Tina; Little, Susan H.; Taylor, Michelle L.; Robinson, Laura F.; Rogers, Alex D.; Santodomingo, Nadiezhda</t>
  </si>
  <si>
    <t>Temporal distribution and diversity of cold-water corals in the southwest Indian Ocean over the past 25,000 years</t>
  </si>
  <si>
    <t>DEEP SOUTHERN-OCEAN; ANTARCTIC SEA-ICE; ATMOSPHERIC CO2; LAST DEGLACIATION; HIGH-PRECISION; CARBON; ATLANTIC; SCLERACTINIA; CIRCULATION; RADIOCARBON</t>
  </si>
  <si>
    <t>Fossil cold-water corals can be used to reconstruct physical, chemical, and biological changes in the ocean because their skeleton often preserves ambient seawater signatures. Furthermore, patterns in the geographic and temporal extent of cold-water corals have changed through time in response to environmental conditions. Here we present taxonomic and dating results from a new collection of subfossil cold-water corals recovered from seamounts of the Southwest Indian Ocean Ridge. The area is a dynamic hydrographic region characterised by eastward flow of the Agulhas Return Current and the northernmost fronts of the Antarctic Circumpolar Current. In total, 122 solitary scleractinian corals and 27 samples of colonial scleractinian material were collected from water depths between 172 and 1395 m, corresponding to subtropical waters, Antarctic Intermediate Water (AAIW), and Upper Circumpolar Deep Water (UCDW). Fifteen species were identified, including eight species new to the region. The assemblage reflects the position of the seamounts in a transition zone between Indo-Pacific and Subantarctic biogeographic zones. Morphological variation in caryophyllids and the restriction of dendrophylliids to the southern seamounts could result from genetic isolation or reflect environmental conditions. Uranium-series dating using both rapid laser ablation and precise isotope dilution methods reveals their temporal distribution from the Last Glacial Maximum to the present day. Only one specimen of glacial age was found, while peaks in abundance occur around Heinrich Stadial 1 and the Younger Dryas, times at which ocean chemistry and food supply were likely to have presented optimal conditions for cold-water corals. A widespread regional preference of cold-water corals for UCDW over AAIW depths during the deglacial, the reverse of the modem situation, could be explained by higher dissolved oxygen concentrations and a temperature inversion that persisted into the early Holocene.</t>
  </si>
  <si>
    <t>[Pratt, Naomi; Wilson, David J.; van de Flierdt, Tina; Little, Susan H.] Imperial Coll London, Dept Earth Sci &amp; Engn, South Kensington Campus,Exhibit Rd, London SW7 2AZ, England; [Chen, Tianyu; Li, Tao; Robinson, Laura F.] Univ Bristol, Sch Earth Sci, Bristol BS8 1RJ, Avon, England; [Chen, Tianyu; Li, Tao] Nanjing Univ, Sch Earth Sci &amp; Engn, Nanjing 210023, Jiangsu, Peoples R China; [Wilson, David J.] UCL, Dept Earth Sci, London WCIE 6BS, England; [Taylor, Michelle L.] Univ Essex, Sch Biol Sci, Wivenhoe Pk, Colchester CO4 3SQ, Essex, England; [Rogers, Alex D.] Univ Oxford, Dept Zool, Tinbergen Bldg,South Parks Rd, Oxford OX1 3PS, England; [Rogers, Alex D.] REV Ocean, Oksenoyveien 10, NO-1366 Lysaker, Norway; [Santodomingo, Nadiezhda] Nat Hist Museum, Dept Earth Sci, Cromwell Rd, London SW7 5BD, England</t>
  </si>
  <si>
    <t>Imperial College London; University of Bristol; Nanjing University; University of London; University College London; University of Essex; University of Oxford; Natural History Museum London</t>
  </si>
  <si>
    <t>Pratt, N (corresponding author), Imperial Coll London, Dept Earth Sci &amp; Engn, South Kensington Campus,Exhibit Rd, London SW7 2AZ, England.</t>
  </si>
  <si>
    <t>nrp15@ic.ac.uk</t>
  </si>
  <si>
    <t>Wilson, David/ITV-6768-2023; Wilson, David/AAA-9939-2019; Taylor, Michelle/AAY-3864-2021; Chen, Tianyu/JDD-7264-2023; Li, Tao/ITW-0434-2023; Taylor, Michelle/C-3918-2015</t>
  </si>
  <si>
    <t>Wilson, David/0000-0003-2786-4688; Wilson, David/0000-0003-2786-4688; Li, Tao/0000-0002-9975-152X; Santodomingo, Nadiezhda/0000-0003-1392-2672; Taylor, Michelle/0000-0001-7271-4385; Rogers, Alex David/0000-0002-4864-2980; Pratt, Naomi/0009-0001-5196-9773; Little, Susan/0000-0002-9957-2636</t>
  </si>
  <si>
    <t>Global Environment Facility Grant through UNDP Project [GEF3138/PIMS3657]; IUCN Seamounts Project [FFEM-SWIO-P00917]; NERC [NE/F005504/1, NE/L002515/1, NE/N001141/1, NE/P018181/1, NERC NE/R011044/1, NE/N003861/1]; Leverhulme Trust fellowship [ECF-2014-615]; European Research Council [278705]; NERC [NE/P018181/1, NE/N001141/1, NE/N003861/1, NE/F005504/1, NE/P018181/2] Funding Source: UKRI</t>
  </si>
  <si>
    <t>Global Environment Facility Grant through UNDP Project; IUCN Seamounts Project; NERC(UK Research &amp; Innovation (UKRI)Natural Environment Research Council (NERC)); Leverhulme Trust fellowship(Leverhulme Trust); European Research Council(European Research Council (ERC)); NERC(UK Research &amp; Innovation (UKRI)Natural Environment Research Council (NERC))</t>
  </si>
  <si>
    <t>The JC066 RRS James Cook expedition was supported by the Global Environment Facility Grant through UNDP Project ID GEF3138/PIMS3657, the IUCN Seamounts Project FFEM-SWIO-P00917, and NERC Grant NE/F005504/1 Benthic Biodiversity of Seamounts in the Southwest Indian Ocean. We thank the science teams and crews of expedition JC066 for collecting the coral samples, and Anni Djurhuus for sharing cruise data. We acknowledge NERC funding to NP through the Science and Solutions for a Changing Planet DTP (NE/L002515/1), TvdF and DJW (NE/N001141/1), SHL (NERC fellowship, NE/P018181/1), NS (NERC NE/R011044/1) and LR (NE/N003861/1). SHL also acknowledges support from a Leverhulme Trust fellowship (ECF-2014-615), and LR from the European Research Council (278705). We are grateful for technical and lab support from Katharina Kreissig, Barry Coles and Carolyn Taylor, and thank Ken Johnson for supervision at the Natural History Museum. We also thank Igor Belkin for editorial handling and Andres Ruggeberg, Jean-Carlos Montero-Serrano and two anonymous reviewers for constructive comments on the manuscript.</t>
  </si>
  <si>
    <t>10.1016/j.dsr.2019.05.009</t>
  </si>
  <si>
    <t>WOS:000483410100008</t>
  </si>
  <si>
    <t>Roy-Barman, M; Thil, F; Bordier, L; Dapoigny, A; Foliot, L; Ayrault, S; Lacan, F; Jeandel, C; Pradoux, C; Garcia-Solsona, E</t>
  </si>
  <si>
    <t>Roy-Barman, Matthieu; Thil, Francois; Bordier, Louise; Dapoigny, Arnaud; Foliot, Lorna; Ayrault, Sophie; Lacan, Francois; Jeandel, Catherine; Pradoux, Catherine; Garcia-Solsona, Ester</t>
  </si>
  <si>
    <t>Thorium isotopes in the Southeast Atlantic Ocean: Tracking scavenging during water mass mixing along neutral density surfaces</t>
  </si>
  <si>
    <t>Thorium isotopes; Southern ocean; Atlantic; Marine particles; Isopycnal mixing</t>
  </si>
  <si>
    <t>ANTARCTIC CIRCUMPOLAR CURRENT; OVERTURNING CIRCULATION; PARTICLE COMPOSITION; PA-231; TH-230; DYNAMICS; SECTOR; DISTRIBUTIONS; TRACERS; EXPORT</t>
  </si>
  <si>
    <t>The distributions of dissolved and particulate thorium isotopes (Th-230 and Th-232) were established in samples from the BONUS GoodHope (BGH) IPY-GEOTRACES cruise in the SE Atlantic sector of the Southern Ocean (36 degrees S-13 degrees E to 57 degrees S-0 degrees, Feb.-Mar. 2008). The distribution of total (dissolved + particulate) Th-232 is dominated by the inputs from continental margins. The non-linear profiles of dissolved Th-230 are interpreted as due to the southward upwelling of the isopycnal surfaces. However, total Th-230 and Th-232 versus salinity plots illustrate departures from binary mixing and provides evidence for non-conservative behavior of both isotopes along the section. We propose a model for total Th-230 and Th-232 scavenging and mixing along isopycnal surfaces. We use this model to estimate particle settling speeds and isopycnal eddy diffusion coefficients along the BGH section. Data-model comparison suggests particle settling velocities in the range of 400-700 m/y and isopycnal eddy diffusivity of the order of 2000 m(2)/s.</t>
  </si>
  <si>
    <t>[Roy-Barman, Matthieu; Thil, Francois; Bordier, Louise; Dapoigny, Arnaud; Foliot, Lorna; Ayrault, Sophie] Univ Paris Saclay, Orme Merisiers Ctr Saclay, LSCE IPSL CEA CNRS UVSQ, Lab Sci Clirnat &amp; Environm, F-91191 Gif Sur Yvette, France; [Lacan, Francois; Jeandel, Catherine; Pradoux, Catherine; Garcia-Solsona, Ester] Univ Toulouse, LEGOS CNRS CNES IRD, Observ Midi Pyrenees, F-31400 Toulouse, France; [Garcia-Solsona, Ester] Univ Barcelona, Fac Ciencies Terra, Dinam Terra &amp; Ocea, E-08028 Barcelona, Spain</t>
  </si>
  <si>
    <t>Universite Paris Cite; Universite Paris Saclay; Centre National de la Recherche Scientifique (CNRS); CEA; Universite de Toulouse; Universite Toulouse III - Paul Sabatier; University of Barcelona</t>
  </si>
  <si>
    <t>Roy-Barman, M (corresponding author), Univ Paris Saclay, Orme Merisiers Ctr Saclay, LSCE IPSL CEA CNRS UVSQ, Lab Sci Clirnat &amp; Environm, F-91191 Gif Sur Yvette, France.</t>
  </si>
  <si>
    <t>matthieu.roy-barman@lsce.ipsl.fr</t>
  </si>
  <si>
    <t>Garcia-Solsona, Ester/AAD-4655-2021; Lacan, Francois/B-8032-2009</t>
  </si>
  <si>
    <t>Lacan, Francois/0000-0001-6794-2279; Ayrault, Sophie/0000-0001-8320-6917</t>
  </si>
  <si>
    <t>ANR (Programme Blanc 2007) [ANR-07-BLAN-01-4602]; INSU/CNRS (programme INSU/LEPE-CYBER)</t>
  </si>
  <si>
    <t>ANR (Programme Blanc 2007)(Agence Nationale de la Recherche (ANR)); INSU/CNRS (programme INSU/LEPE-CYBER)</t>
  </si>
  <si>
    <t>The authors would like to thank S. Speich and M. Boye, the chief scientists of the BGI-1 cruise, and the crew of the research vessel Marion Dufresne II (IPEV). We acknowledge Christophe Guillerm, Lionel Scouarnec, Thomas Arsouze and Amandine Radic for the sample collection on board. We are grateful to the 2 anonymous reviewers who improved the manuscript with their very helpful comrnents. Support provided by the ANR (Programme Blanc 2007: ANR-07-BLAN-01-4602) and the INSU/CNRS (programme INSU/LEPE-CYBER) is gratefully acknowledged.</t>
  </si>
  <si>
    <t>10.1016/j.dsr.2019.05.002</t>
  </si>
  <si>
    <t>WOS:000483410100011</t>
  </si>
  <si>
    <t>Koronczay, D; Lichtenberger, J; Clilverd, MA; Rodger, CJ; Lotz, SI; Sannikov, DV; Cherneva, NV; Raita, T; Darrouzet, F; Ranvier, S; Moore, RC</t>
  </si>
  <si>
    <t>Koronczay, David; Lichtenberger, Janos; Clilverd, Mark A.; Rodger, Craig J.; Lotz, Stefan, I; Sannikov, Dmitry, V; Cherneva, Nina, V; Raita, Tero; Darrouzet, Fabien; Ranvier, Sylvain; Moore, Robert C.</t>
  </si>
  <si>
    <t>The Source Regions of Whistlers</t>
  </si>
  <si>
    <t>VLF; whistlers; lightning; ducted; sferics</t>
  </si>
  <si>
    <t>RADIATION BELT ELECTRONS; FIELD-ALIGNED COLUMNS; LOW-LATITUDE; DETECTION EFFICIENCY; WAVES; PRECIPITATION; PROPAGATION; PATHS</t>
  </si>
  <si>
    <t>We present a new method for identifying the source regions of lightning-generated whistlers observed at a fixed location. In addition to the spatial distribution of causative lightning discharges, we calculate the ratio of lightning discharges transmitted into ground detectable whistlers as a function of location. Our method relies on the time of the whistlers and the time and source location of spherics from a global lightning database. We apply this method to whistlers recorded at 15 ground-based stations in the Automatic Whistler Detector and Analyzer Network operating between 2007 and 2018 and to located lightning strokes from the World Wide Lightning Location Network database. We present the obtained maps of causative lightning and transmission rates. Our results show that the source region of whistlers corresponding to each ground station is around the magnetic conjugate point of the respective station. The size of the source region is typically less than 2,000 km in radius with a small fraction of sources extending to up to 3,500 km. The transmission ratio is maximal at the conjugate point and decreases with increasing distance from it. This conforms to the theory that whistlers detected on the ground propagated in a ducted mode through the plasmasphere, and thus, the lightning strokes of their causative spherics must cluster around the footprint of the ducts in the other hemisphere. Our method applied resolves the whistler excitation region mystery that resulted from correlation-based analysis methods, concerning the source region of whistlers detected in Dunedin, New Zealand.</t>
  </si>
  <si>
    <t>[Koronczay, David; Lichtenberger, Janos] Eotvos Lorand Univ, Dept Geophys &amp; Space Sci, Budapest, Hungary; [Koronczay, David; Lichtenberger, Janos] Hungarian Acad Sci, Res Ctr Astron &amp; Earth Sci, Sopron, Hungary; [Clilverd, Mark A.] British Antarctic Survey NERC, Cambridge, England; [Rodger, Craig J.] Univ Otago, Dept Phys, Dunedin, New Zealand; [Lotz, Stefan, I] South African Natl Space Agcy, Space Sci Directorate, Hermanus, South Africa; [Sannikov, Dmitry, V; Cherneva, Nina, V] Russian Acad Sci, Inst Cosmophys Res &amp; Radio Wave Propagat, Far Fastern Branch, Paratunka, Russia; [Raita, Tero] Univ Oulu, Sodankyla Geophys Observ, Oulu, Finland; [Darrouzet, Fabien; Ranvier, Sylvain] Belgian Inst Space Aeron, Brussels, Belgium; [Moore, Robert C.] Univ Florida, Dept Elect &amp; Comp Engn, Gainesville, FL 32611 USA</t>
  </si>
  <si>
    <t>Eotvos Lorand University; Hungarian Research Network; HUN-REN Institute of Earth Physics &amp; Space Science; Hungarian Academy of Sciences; HUN-REN Research Centre for Astronomy &amp; Earth Sciences; UK Research &amp; Innovation (UKRI); Natural Environment Research Council (NERC); NERC British Antarctic Survey; University of Otago; Russian Academy of Sciences; Institute of Cosmophysical Research &amp; Radio Wave Propagation FEB RAS; University of Oulu; State University System of Florida; University of Florida</t>
  </si>
  <si>
    <t>Koronczay, D (corresponding author), Eotvos Lorand Univ, Dept Geophys &amp; Space Sci, Budapest, Hungary.;Koronczay, D (corresponding author), Hungarian Acad Sci, Res Ctr Astron &amp; Earth Sci, Sopron, Hungary.</t>
  </si>
  <si>
    <t>david.koronczay@ttk.elte.hu</t>
  </si>
  <si>
    <t>Koronczay, David/I-5915-2017; Cherneva, Nina/C-8037-2018; Moore, R. Clinton/G-3972-2011; Rodger, Craig/A-1501-2011; Lichtenberger, Janos/K-1034-2018</t>
  </si>
  <si>
    <t>Koronczay, David/0000-0001-5733-6021; Cherneva, Nina/0000-0002-6440-7569; Lichtenberger, Janos/0000-0001-9175-9255; Lotz, Stefan/0000-0002-1037-348X; Rodger, Craig J./0000-0002-6770-2707</t>
  </si>
  <si>
    <t>National Research, Development and Innovation Office of Hungary [NN116408, NN116446]; New National Excellence Program of the Ministry of Human Capacities of Hungary [UNKP-18-3]; BIRA-IASB (Royal Belgian Institute for Space Aeronomy); STCE (Solar-Terrestrial Center of Excellence); BELSPO (Belgian Federal Science Policy Office); NERC [bas0100031] Funding Source: UKRI</t>
  </si>
  <si>
    <t>National Research, Development and Innovation Office of Hungary; New National Excellence Program of the Ministry of Human Capacities of Hungary; BIRA-IASB (Royal Belgian Institute for Space Aeronomy); STCE (Solar-Terrestrial Center of Excellence); BELSPO (Belgian Federal Science Policy Office)(Belgian Federal Science Policy Office); NERC(UK Research &amp; Innovation (UKRI)Natural Environment Research Council (NERC))</t>
  </si>
  <si>
    <t>AWDANet data are currently available from the leading authors upon request and will be accessible online (http://plasmon.elte.hu/).The authors wish to thank the World Wide Lightning Location Network (http://wwlln.net), a collaboration among over 50 universities and institutions, for providing the lightning location data used in this paper. The research leading to these results received funding from the National Research, Development and Innovation Office of Hungary under grant agreements NN116408 and NN116446 and was supported by the UNKP-18-3 New National Excellence Program of the Ministry of Human Capacities of Hungary. We acknowledge NIIF for awarding us access to supercomputing resources based in Hungary at Debrecen. F. Darrouzet and S. Ranvier acknowledge BIRA-IASB (Royal Belgian Institute for Space Aeronomy), STCE (Solar-Terrestrial Center of Excellence), and BELSPO (Belgian Federal Science Policy Office) for their support.</t>
  </si>
  <si>
    <t>10.1029/2019JA026559</t>
  </si>
  <si>
    <t>IT6LM</t>
  </si>
  <si>
    <t>hybrid, Green Accepted, Green Published, Green Submitted</t>
  </si>
  <si>
    <t>WOS:000482985600010</t>
  </si>
  <si>
    <t>Meredith, NP; Horne, RB; Clilverd, MA; Rossi, JPJ</t>
  </si>
  <si>
    <t>Meredith, Nigel P.; Horne, Richard B.; Clilverd, Mark A.; Rossi, Johnathan P. J.</t>
  </si>
  <si>
    <t>An Investigation of VLF Transmitter Wave Power in the Inner Radiation Belt and Slot Region</t>
  </si>
  <si>
    <t>VLF transmitters; inner radiation belt; slot region</t>
  </si>
  <si>
    <t>ELECTRON-SCATTERING LOSS; PITCH-ANGLE DIFFUSION; CYCLOTRON-RESONANCE; ENERGETIC ELECTRONS; LOCAL TIME; PRECIPITATION; MAGNETOSPHERE; ACCELERATION; PLASMAPAUSE; INJECTION</t>
  </si>
  <si>
    <t>Signals from man-made Very Low Frequency (VLF) transmitters, used for communications with submarines, can leak into space and contribute to the dynamics of energetic electrons in the inner radiation belt and slot region. In this study we use similar to 5 years of plasma wave data from the Van Allen Probe A satellite to construct new models of the observed wave power from VLF transmitters both as a function of L* and magnetic local time and geographic location. Average power peaks primarily on the nightside of the Earth for the VLF transmitters at low geographic latitudes. At higher latitudes the peak average power extends further in magnetic local time due to more extensive periods of nighttime in the winter months. Nighttime power is typically orders of magnitude more than that observed near noon, implying that loss rates from a given VLF transmitter will also maximize in this region. The observed power from any given VLF transmitter is tightly confined in longitude, with the nightside peak power typically falling by a factor of 10 within 10 degrees longitude of the location of the peak signal. We show that the total average wave power from all VLF transmitters lies in the range 3-9 pT(2) in the region 1.3 &lt; L* &lt; 3.0, with approximately 50% of this power emanating from three VLF transmitters, NWC, NAA, and DHO38.</t>
  </si>
  <si>
    <t>[Meredith, Nigel P.; Horne, Richard B.; Clilverd, Mark A.; Rossi, Johnathan P. J.] NERC, British Antarctic Survey, Cambridge, England</t>
  </si>
  <si>
    <t>Meredith, NP (corresponding author), NERC, British Antarctic Survey, Cambridge, England.</t>
  </si>
  <si>
    <t>nmer@bas.ac.uk</t>
  </si>
  <si>
    <t>Meredith, Nigel P/C-5806-2018; Horne, Richard B/U-3764-2019; Ross, Johnathan/AAX-3204-2020</t>
  </si>
  <si>
    <t>Horne, Richard B/0000-0002-0412-6407; Ross, Johnathan/0000-0001-5282-3293; Meredith, Nigel/0000-0001-5032-3463</t>
  </si>
  <si>
    <t>Natural Environment Research Council (NERC) Highlight Topic Grant [NE/P01738X/1]; NERC [NE/R016038/1]; NERC [NE/R016038/1, bas0100031, NE/P01738X/1] Funding Source: UKRI</t>
  </si>
  <si>
    <t>Natural Environment Research Council (NERC) Highlight Topic Grant(UK Research &amp; Innovation (UKRI)Natural Environment Research Council (NERC)); NERC(UK Research &amp; Innovation (UKRI)Natural Environment Research Council (NERC)); NERC(UK Research &amp; Innovation (UKRI)Natural Environment Research Council (NERC))</t>
  </si>
  <si>
    <t>We acknowledge the NASA Van Allen Probes and Craig Kletzing for use of the EMFISIS data, available online (https://emfisis.physics.uiowa.edu/data/index).We also acknowledge the Radiation Belt Storm Probes ECT Science Operations and Data Center for the provision of the magnetic ephemeris data, available online (https://www.rbsp-ect.lanl.gov/data_pub/rbspa/MagEphem/.We thank the NSSDC Omniweb for the provision of the AE indices used in this paper. The research leading to these results has received funding from the Natural Environment Research Council (NERC) Highlight Topic Grant NE/P01738X/1 (Rad-Sat) and the NERC Grant NE/R016038/1. The results and data shown in this paper can be downloaded from the U.K. Polar Data Centre (https://data.bas.ac.uk/) and (https://doi.org/10.5285/395408f5-0f0e-43b3-83c8-dfa719a1bb87).</t>
  </si>
  <si>
    <t>10.1029/2019JA026715</t>
  </si>
  <si>
    <t>WOS:000482985600021</t>
  </si>
  <si>
    <t>Ross, JPJ; Meredith, NP; Glauert, SA; Horne, RB; Clilverd, MA</t>
  </si>
  <si>
    <t>Ross, J. P. J.; Meredith, N. P.; Glauert, S. A.; Horne, R. B.; Clilverd, M. A.</t>
  </si>
  <si>
    <t>Effects of VLF Transmitter Waves on the Inner Belt and Slot Region</t>
  </si>
  <si>
    <t>radiation belt; wave-particle interactions; VLF transmitters; electron lifetimes; Van Allen Probes</t>
  </si>
  <si>
    <t>ELECTRON PITCH-ANGLE; RADIATION BELT; DIFFUSION; LIFETIMES; PROPAGATION; SCATTERING; SIGNALS; MODEL</t>
  </si>
  <si>
    <t>Signals from very low frequency (VLF) transmitters can leak from the Earth-ionosphere wave guide into the inner magnetosphere, where they propagate in the whistler mode and contribute to electron dynamics in the inner radiation belt and slot region. Observations show that the waves from each VLF transmitter are highly localized, peaking on the nightside in the vicinity of the transmitter. In this study we use similar to 5years of Van Allen Probes observations to construct global statistical models of the bounce-averaged pitch angle diffusion coefficients for each individual VLF transmitter, as a function of L-*, magnetic local time (MLT), and geographic longitude. We construct a 1-D pitch angle diffusion model with implicit longitude and MLT dependence to show that VLF transmitter waves weakly scatter electrons into the drift loss cone. We find that global averages of the wave power, determined by averaging the wave power over MLT and longitude, capture the long-term dynamics of the loss process, despite the highly localized nature of the waves in space. We use our new model to assess the role of VLF transmitter waves, hiss waves, and Coulomb collisions on electron loss in the inner radiation belt and slot region. At moderate relativistic energies, E similar to 500keV, waves from VLF transmitters reduce electron lifetimes by an order of magnitude or more, down to the order of 200 days near the outer edge of the inner radiation belt. However, VLF transmitter waves are ineffective at removing multi-megaelectron volt electrons from either the inner radiation belt or slot region.</t>
  </si>
  <si>
    <t>[Ross, J. P. J.; Meredith, N. P.; Glauert, S. A.; Horne, R. B.; Clilverd, M. A.] British Antarctic Survey, Nat Environm Res Council, Cambridge, England</t>
  </si>
  <si>
    <t>Ross, JPJ (corresponding author), British Antarctic Survey, Nat Environm Res Council, Cambridge, England.</t>
  </si>
  <si>
    <t>johros@bas.ac.uk</t>
  </si>
  <si>
    <t>National Environment Research Council Highlight Topic Grant [NE/P10738X/1]; National Environment Research Council [NE/R016455/1]; NERC [NE/P01738X/1, bas0100031] Funding Source: UKRI</t>
  </si>
  <si>
    <t>National Environment Research Council Highlight Topic Grant; National Environment Research Council(UK Research &amp; Innovation (UKRI)Natural Environment Research Council (NERC)); NERC(UK Research &amp; Innovation (UKRI)Natural Environment Research Council (NERC))</t>
  </si>
  <si>
    <t>We are grateful for the Van Allen Probes data from the EMFISIS instrument obtained from the website (https://emsis.physics.uiowa.edu/data/index).The research leading to these results has received funding from the National Environment Research Council Highlight Topic Grant NE/P10738X/1 (Rad-Sat) and National Environment Research Council Grant NE/R016455/1. The data from the figures are available at the website (https://doi.org/10.5285/93ff55bf-7415-44c8-8e3d-7e2f5c5ffd6d).</t>
  </si>
  <si>
    <t>10.1029/2019JA026716</t>
  </si>
  <si>
    <t>WOS:000482985600022</t>
  </si>
  <si>
    <t>Douma, E; Rodger, CJ; Blum, LW; O'Brien, TP; Clilverd, MA; Blake, JB</t>
  </si>
  <si>
    <t>Douma, E.; Rodger, C. J.; Blum, L. W.; O'Brien, T. P.; Clilverd, M. A.; Blake, J. B.</t>
  </si>
  <si>
    <t>Characteristics of Relativistic Microburst Intensity From SAMPEX Observations</t>
  </si>
  <si>
    <t>relativistic microbursts; radiation belts; intensity</t>
  </si>
  <si>
    <t>ELECTRON MICROBURSTS; CHORUS; SOLAR; PRECIPITATION; REGION</t>
  </si>
  <si>
    <t>Relativistic electron microbursts are an important electron loss process from the radiation belts into the atmosphere. These precipitation events have been shown to significantly impact the radiation belt fluxes and atmospheric chemistry. In this study we address a lack of knowledge about the relativistic microburst intensity using measurements of 21,746 microbursts from the Solar Anomalous Magnetospheric Particle Explorer (SAMPEX). We find that the relativistic microburst intensity increases as we move inward in L, with a higher proportion of low-intensity microbursts (&lt;2,250 [MeV cm(2) sr s](-1)) in the 03-11 magnetic local time region. The mean microburst intensity increases by a factor of 1.7 as the geomagnetic activity level increases and the proportion of high-intensity relativistic microbursts (&gt;2,250 [MeV cm(2) sr s](-1)) in the 03-11 magnetic local time region increases as geomagnetic activity increases, consistent with changes in the whistler mode chorus wave activity. Comparisons between relativistic microburst properties and trapped fluxes suggest that the microburst intensities are not limited by the trapped flux present alongside the scattering processes. However, microburst activity appears to correspond to the changing trapped flux; more microbursts occur when the trapped fluxes are enhancing, suggesting that microbursts are linked to processes causing the increased trapped fluxes. Finally, modeling of the impact of a published microburst spectra on a flux tube shows that microbursts are capable of depleting &lt;500-keV electrons within 1 hr and depleting higher-energy electrons in 1-23 hr.</t>
  </si>
  <si>
    <t>[Douma, E.; Rodger, C. J.] Univ Otago, Dept Phys, Otago, New Zealand; [Blum, L. W.] NASA, Goddard Space Flight Ctr, Greenbelt, MD USA; [O'Brien, T. P.; Blake, J. B.] Aerosp Corp, El Segundo, CA 90245 USA; [Clilverd, M. A.] British Antarctic Survey NERC, Cambridge, England</t>
  </si>
  <si>
    <t>University of Otago; National Aeronautics &amp; Space Administration (NASA); NASA Goddard Space Flight Center; Aerospace Corporation - USA; UK Research &amp; Innovation (UKRI); Natural Environment Research Council (NERC); NERC British Antarctic Survey</t>
  </si>
  <si>
    <t>Douma, E (corresponding author), Univ Otago, Dept Phys, Otago, New Zealand.</t>
  </si>
  <si>
    <t>emmadouma@gmail.com</t>
  </si>
  <si>
    <t>Douma, Emma/AAE-9976-2020; Rodger, Craig/A-1501-2011</t>
  </si>
  <si>
    <t>Douma, Emma/0000-0003-3709-4939; Rodger, Craig J./0000-0002-6770-2707</t>
  </si>
  <si>
    <t>University of Otago publishing bursary; NERC [bas0100031] Funding Source: UKRI</t>
  </si>
  <si>
    <t>University of Otago publishing bursary; NERC(UK Research &amp; Innovation (UKRI)Natural Environment Research Council (NERC))</t>
  </si>
  <si>
    <t>E. Douma was supported by a University of Otago publishing bursary. Data availability is described at the following websites: http://www.srl.caltech.edu/sampex/DataCenter/Index.html (SAMPEX), wdc.kugi.kyoto-u.ac.jp (AE), and virbo.org/HEO (HEO3).</t>
  </si>
  <si>
    <t>10.1029/2019JA026757</t>
  </si>
  <si>
    <t>WOS:000482985600043</t>
  </si>
  <si>
    <t>Walach, MT; Grocott, A</t>
  </si>
  <si>
    <t>Walach, M-T; Grocott, A.</t>
  </si>
  <si>
    <t>SuperDARN Observations During Geomagnetic Storms, Geomagnetically Active Times, and Enhanced Solar Wind Driving</t>
  </si>
  <si>
    <t>geomagnetic storms; SuperDARN; ionospheric convection; solar wind driving; geomagnetic activity; solar wind-magnetosphere-ionosphere coupling</t>
  </si>
  <si>
    <t>HIGH-LATITUDE; IONOSPHERIC CONVECTION; HF RADAR; BACKSCATTER; STATISTICS; CUTLASS; STREAM; MODEL; INDEX; DST</t>
  </si>
  <si>
    <t>The Super Dual Auroral Radar Network (SuperDARN) was built to study ionospheric convection at Earth and has in recent years been expanded to lower latitudes to observe ionospheric flows over a larger latitude range. This enables us to study extreme space weather events, such as geomagnetic storms, which are a global phenomenon, on a large scale (from the pole to magnetic latitudes of 40 degrees). We study the backscatter observations from the SuperDARN radars during all geomagnetic storm phases from the most recent solar cycle and compare them to other active times to understand radar backscatter and ionospheric convection characteristics during extreme conditions and to discern differences specific to geomagnetic storms and other geomagnetically active times. We show that there are clear differences in the number of measurements the radars make, the maximum flow speeds observed, and the locations where they are observed during the initial, main, and recovery phase. We show that these differences are linked to different levels of solar wind driving. We also show that when studying ionospheric convection during geomagnetically active times, it is crucial to consider data at midlatitudes, as we find that during 19% of storm time the equatorward boundary of the convection is located below 50 degrees of magnetic latitude.</t>
  </si>
  <si>
    <t>[Walach, M-T; Grocott, A.] Univ Lancaster, Phys Dept, Bailrigg, England</t>
  </si>
  <si>
    <t>Lancaster University</t>
  </si>
  <si>
    <t>Walach, MT (corresponding author), Univ Lancaster, Phys Dept, Bailrigg, England.</t>
  </si>
  <si>
    <t>m.walach@lancaster.ac.uk</t>
  </si>
  <si>
    <t>Grocott, Adrian/A-9576-2011; Walach, Maria-Theresia/AAB-1833-2020</t>
  </si>
  <si>
    <t>Walach, Maria-Theresia/0000-0002-9352-0659; Grocott, Adrian/0000-0002-6489-095X</t>
  </si>
  <si>
    <t>NERC [NE/P001556/1]; NERC [NE/P001556/1] Funding Source: UKRI</t>
  </si>
  <si>
    <t>NERC(UK Research &amp; Innovation (UKRI)Natural Environment Research Council (NERC)); NERC(UK Research &amp; Innovation (UKRI)Natural Environment Research Council (NERC))</t>
  </si>
  <si>
    <t>All data used for this study are available open-source from nonprofit organizations. Solar wind (1-min averaged OMNI) data are available from https://cdaweb.sci.gsfc.nasa.gov/index.html/along with all the geomagnetic indices. The authors acknowledge the use of SuperDARN data. SuperDARN is a collection of radars funded by national scientific funding agencies of Australia, Canada, China, France, Japan, South Africa, United Kingdom, and United States of America, and we thank the international PI team for providing the data. The authors acknowledge access to the SuperDARN database via the Virginia Tech SuperDARN group and their website (http://vt.superdarn.org/).Other data mirrors are hosted by the British Antarctic Survey and the University of Saskatchewan. The Radar Software Toolkit (RST) to process the SuperDARN data can be downloaded from https://github.com/SuperDARN/rst.M.-T.W.and A. G. were supported by NERC Grant NE/P001556/1. M.-T. W. would like to thank Farideh Honary, Mervyn Freeman, and Steve Milan for the helpful discussions and useful advice, as well as the members of the SuperDARN DAWG for their tireless effort and support.</t>
  </si>
  <si>
    <t>10.1029/2019JA026816</t>
  </si>
  <si>
    <t>WOS:000482985600055</t>
  </si>
  <si>
    <t>Reistad, JP; Laundal, KM; Ostgaard, N; Ohma, A; Thomas, EG; Haaland, S; Oksavik, K; Milan, SE</t>
  </si>
  <si>
    <t>Reistad, J. P.; Laundal, K. M.; Ostgaard, N.; Ohma, A.; Thomas, E. G.; Haaland, S.; Oksavik, K.; Milan, S. E.</t>
  </si>
  <si>
    <t>Separation and Quantification of Ionospheric Convection Sources: 2. The Dipole Tilt Angle Influence on Reverse Convection Cells During Northward IMF</t>
  </si>
  <si>
    <t>lobe reconnection; hemispheric asymmetry; SECS; Dipole tilt</t>
  </si>
  <si>
    <t>INTERPLANETARY MAGNETIC-FIELD; LATITUDE PLASMA CONVECTION; INTERHEMISPHERIC ASYMMETRY; STATISTICAL PATTERNS; ALIGNED CURRENTS; SOLAR-WIND; B-Z; SUPERDARN; RECONNECTION; DEPENDENCE</t>
  </si>
  <si>
    <t>This paper investigates the influence of Earth's dipole tilt angle on the reverse convection cells (sometimes referred to as lobe cells) in the Northern Hemisphere ionosphere during northward IMF, which we relate to high-latitude reconnection. Super Dual Auroral Radar Network plasma drift observations in 2010-2016 are used to quantify the ionospheric convection. A novel technique based on Spherical Elementary Convection Systems (SECS) that was presented in our companion paper (Reistad et al., 2019, https://doi.org/10.1029/2019JA026634) is used to isolate and quantify the reverse convection cells. We find that the dipole tilt angle has a linear influence on the reverse cell potential. In the Northern Hemisphere the reverse cell potential is typically two times higher in summer than in winter. This change is interpreted as the change in interplanetary magnetic field-lobe reconnection rate due to the orientation of the dipole tilt. Hence, the dipole tilt influence on reverse ionospheric convection can be a significant modification of the more known influence from v(sw)B(z). These results could be adopted by the scientific community as key input parameters for lobe reconnection coupling functions.</t>
  </si>
  <si>
    <t>[Reistad, J. P.; Laundal, K. M.; Ostgaard, N.; Ohma, A.; Haaland, S.; Oksavik, K.; Milan, S. E.] Univ Bergen, Birkeland Ctr Space Sci, Bergen, Norway; [Thomas, E. G.] Dartmouth Coll, Thayer Sch Engn, Hanover, NH 03755 USA; [Haaland, S.] Max Planck Inst Solar Syst Res, Gottingen, Germany; [Oksavik, K.] Univ Ctr Svalbard, Arctic Geophys, Longyearbyen, Norway; [Milan, S. E.] Univ Leicester, Dept Phys &amp; Astron, Leicester, Leics, England</t>
  </si>
  <si>
    <t>University of Bergen; Dartmouth College; Max Planck Society; University Centre Svalbard (UNIS); University of Leicester</t>
  </si>
  <si>
    <t>Reistad, JP (corresponding author), Univ Bergen, Birkeland Ctr Space Sci, Bergen, Norway.</t>
  </si>
  <si>
    <t>jone.reistad@uib.no</t>
  </si>
  <si>
    <t>Reistad, Jone Peter/AAE-5439-2021; Laundal, Karl/GXZ-6326-2022; Ohma, Anders/V-8877-2018; Oksavik, Kjellmar/GWZ-7781-2022; Thomas, Evan/B-3921-2017</t>
  </si>
  <si>
    <t>Reistad, Jone Peter/0000-0003-3509-5479; Laundal, Karl/0000-0001-5028-4943; Ohma, Anders/0000-0002-1234-6725; Oksavik, Kjellmar/0000-0003-4312-6992; Thomas, Evan/0000-0001-8036-8793</t>
  </si>
  <si>
    <t>Research Council of Norway [223252]; STFC [ST/N000749/1] Funding Source: UKRI</t>
  </si>
  <si>
    <t>Research Council of Norway(Research Council of Norway); STFC(UK Research &amp; Innovation (UKRI)Science &amp; Technology Facilities Council (STFC))</t>
  </si>
  <si>
    <t>SuperDARN (Super Dual Auroral Radar Network) is an international collaboration involving more than 30 low-power HF radars that are operated and funded by universities and research organizations in Australia, Canada, China, France, Italy, Japan, Norway, South Africa, the United Kingdom, and the United States. The SuperDARN data were obtained directly from Evan Thomas, but raw files can be accessed via the SuperDARN data mirrors hosted by the British Antarctic Survey (https://www.bas.ac.uk/project/superdarn/#data) and University of Saskatchewan (https://superdarn.ca).We acknowledge the use of NASA/GSFC's Space Physics Data fFacility (http://omniweb.gsfc.nasa.gov) for OMNI data. Financial support has also been provided to the authors by the Research Council of Norway under the contract 223252.</t>
  </si>
  <si>
    <t>10.1029/2019JA026641</t>
  </si>
  <si>
    <t>Green Published, Green Submitted, hybrid</t>
  </si>
  <si>
    <t>WOS:000482985600078</t>
  </si>
  <si>
    <t>Shore, RM; Freeman, MP; Coxon, JC; Thomas, EG; Gjerloev, JW; Olsen, N</t>
  </si>
  <si>
    <t>Shore, R. M.; Freeman, M. P.; Coxon, J. C.; Thomas, E. G.; Gjerloev, J. W.; Olsen, N.</t>
  </si>
  <si>
    <t>Spatial Variation in the Responses of the Surface External and Induced Magnetic Field to the Solar Wind</t>
  </si>
  <si>
    <t>solar wind driving; geomagnetic response; localized ionospheric reconfiguration timescale; seasonal and solar cycle variation</t>
  </si>
  <si>
    <t>GEOMAGNETICALLY INDUCED CURRENTS; IONOSPHERIC CURRENTS; MODEL; CHAMP; SWARM</t>
  </si>
  <si>
    <t>We analyze the spatial variation in the response of the surface geomagnetic field (or the equivalent ionospheric current) to variations in the solar wind. Specifically, we regress a reanalysis of surface external and induced magnetic field (SEIMF) variations onto measurements of the solar wind. The regression is performed in monthly sets, independently for 559 regularly spaced locations covering the entire northern polar region above 50 degrees magnetic latitude. At each location, we find the lag applied to the solar wind data that maximizes the correlation with the SEIMF. The resulting spatial maps of these independent lags and regression coefficients provide a model of the localized SEIMF response to variations in the solar wind, which we call Spatial Information from Distributed Exogenous Regression. We find that the lag and regression coefficients vary systematically with ionospheric region, season, and solar wind driver. In the polar cap region the SEIMF is best described by the B-y component of the interplanetary magnetic field (50-75% of total variance explained) at a lag similar to 20-25 min. Conversely, in the auroral zone the SEIMF is best described by the solar wind E function (60-80% of total variance explained), with a lag that varies with season and magnetic local time (MLT), from similar to 15-20 min for dayside and afternoon MLT (except in Oct-Dec) to typically 30-40 min for nightside and morning MLT and even longer (60-65 min) around midnight MLT.</t>
  </si>
  <si>
    <t>[Shore, R. M.; Freeman, M. P.] British Antarctic Survey, Cambridge, England; [Coxon, J. C.] Univ Southampton, Space Environm Phys SEP Grp, Southampton, Hants, England; [Thomas, E. G.] Dartmouth Coll, Thayer Sch Engn, Hanover, NH 03755 USA; [Gjerloev, J. W.] Johns Hopkins Univ, Appl Phys Lab, Laurel, MD USA; [Gjerloev, J. W.] Univ Bergen, Birkeland Ctr Excellence, Dept Phys &amp; Technol, Bergen, Norway; [Olsen, N.] Tech Univ Denmark, DTU Space, Lyngby, Denmark</t>
  </si>
  <si>
    <t>UK Research &amp; Innovation (UKRI); Natural Environment Research Council (NERC); NERC British Antarctic Survey; University of Southampton; Dartmouth College; Johns Hopkins University; Johns Hopkins University Applied Physics Laboratory; University of Bergen; Technical University of Denmark</t>
  </si>
  <si>
    <t>Shore, RM (corresponding author), British Antarctic Survey, Cambridge, England.</t>
  </si>
  <si>
    <t>robore@bas.ac.uk</t>
  </si>
  <si>
    <t>Coxon, John/AAN-9355-2021; Gjerloev, Jesper/C-2116-2016; Olsen, Nils/AAZ-1044-2021; Freeman, Mervyn/E-5687-2019; Thomas, Evan/B-3921-2017</t>
  </si>
  <si>
    <t>Coxon, John/0000-0002-0166-6854; Olsen, Nils/0000-0003-1132-6113; Freeman, Mervyn/0000-0002-8653-8279; Shore, Robert/0000-0002-8386-1425; Thomas, Evan/0000-0001-8036-8793</t>
  </si>
  <si>
    <t>Natural Environment Research Council [NE/J020796/1]; British Antarctic Survey (BAS); Russian-British Seminar of Young Scientists on Dynamical plasma processes in the heliosphere: from the Sun to the Earth; NERC [bas0100031, NE/N01099X/1, NE/J020796/1] Funding Source: UKRI; STFC [ST/R000719/1] Funding Source: UKRI</t>
  </si>
  <si>
    <t>Natural Environment Research Council(UK Research &amp; Innovation (UKRI)Natural Environment Research Council (NERC)); British Antarctic Survey (BAS); Russian-British Seminar of Young Scientists on Dynamical plasma processes in the heliosphere: from the Sun to the Earth; NERC(UK Research &amp; Innovation (UKRI)Natural Environment Research Council (NERC)); STFC(UK Research &amp; Innovation (UKRI)Science &amp; Technology Facilities Council (STFC))</t>
  </si>
  <si>
    <t>This work was funded by the Natural Environment Research Council under Grant NE/J020796/1 and uses datasets funded by Grant NE/J020796/1. The work was performed using hardware and support at the British Antarctic Survey (BAS). The SuperMAG data were obtained directly from Jesper Gjerloev but can be accessed online (http://supermag.jhuapl.edu/).The ACE data (IMF, solar wind velocity, and proton density) were obtained from ftp://spdf. gsfc. nasa. gov/pub/data/omni/high_res_omni/monthly_1min/on 3 June 2014. F10.7 data were obtained from ftp://ftp. ngdc. noaa. gov/STP/GEOMAGNETIC_DATA/INDICES/KP_AP/on 19 December 2012. The EOF reanalysis is available in the supporting information of Shore et al. (2018). We would like to thank Gareth Chisham and Mike Lockwood for helpful discussions. R. M. S. and J. C. C. would like to thank the organizers and sponsors of the Russian-British Seminar of Young Scientists on Dynamical plasma processes in the heliosphere: from the Sun to the Earth, which hosted discussions instrumental to the collaboration on this study. For the ground magnetometer data we gratefully acknowledge INTERMAGNET (we thank the National Institutes that support its contributing magnetic observatories and INTERMAGNET for promoting high standards ofmagnetic observatory practice [www.intermagnet.org]); USGS, Jeffrey J. Love;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Dr. Anna NaemiWiller; South Pole and McMurdo Magnetometer, PI's Louis J. Lanzarotti and Alan T. Weatherwax; ICESTAR; RAPIDMAG; PENGUIn; British Antarctic Survey; McMac, PI Dr. Peter Chi; BGS, PI Dr. Susan Macmillan; Pushkov Institute of Terrestrial Magnetism, Ionosphere and Radio Wave Propagation (IZMIRAN); GFZ, PI Dr. Juergen Matzka; MFGI, PI B. Heilig; IGFPAS, PI J. Reda; University of L'Aquila, PI M. Vellante; and SuperMAG, PI Jesper W. Gjerloev.</t>
  </si>
  <si>
    <t>10.1029/2019JA026543</t>
  </si>
  <si>
    <t>Green Accepted, hybrid, Green Submitted, Green Published</t>
  </si>
  <si>
    <t>WOS:000482985600079</t>
  </si>
  <si>
    <t>Bland, EC; Partamies, N; Heino, E; Yukimatu, AS; Miyaoka, H</t>
  </si>
  <si>
    <t>Bland, Emma C.; Partamies, Noora; Heino, Erkka; Yukimatu, Akira Sessai; Miyaoka, Hiroshi</t>
  </si>
  <si>
    <t>Energetic Electron Precipitation Occurrence Rates Determined Using the Syowa East SuperDARN Radar</t>
  </si>
  <si>
    <t>SuperDARN radar; particle precipitation; pulsating aurora; HF attenuation; Syowa; Antarctica</t>
  </si>
  <si>
    <t>RADIO ABSORPTION EVENTS; 3 MAGNETIC LATITUDES; NETWORK SUPERDARN; PULSATING AURORA; UPPER MESOSPHERE; BACKSCATTER; CONJUGATE; DYNAMICS; ECHOES</t>
  </si>
  <si>
    <t>We demonstrate that the Super Dual Auroral Radar Network (SuperDARN) radar at Syowa station, Antarctica, can be used to detect high frequency radio wave attenuation in the Dregion ionosphere during energetic electron precipitation (EEP) events. EEP-related attenuation is identified in the radar data as a sudden reduction in the backscatter power and background noise parameters. We focus initially on EEP associated with pulsating aurora and use images from a colocated all-sky camera as a validation data set for the radar-based EEP event detection method. Our results show that high-frequency attenuation that commences during periods of optical pulsating aurora typically continues for 2-4 hr after the camera stops imaging at dawn. We then use the radar data to determine EEP occurrence rates as a function of magnetic local time (MLT) using a database of 555 events detected in 2011. EEP occurrence rates are highest in the early morning sector and lowest at around 15:00-18:00 MLT. The postmidnight and morning sector occurrence rates exhibit significant seasonal variations, reaching approximately 50% in the winter and 15% in the summer, whereas no seasonal variations were observed in other MLT sectors. The mean event lifetime determined from the radar data was 2.25 hr, and 10% of events had lifetimes exceeding 5 hr.</t>
  </si>
  <si>
    <t>[Bland, Emma C.; Partamies, Noora] Birkeland Ctr Space Sci, Bergen, Norway; [Bland, Emma C.; Partamies, Noora; Heino, Erkka] Univ Ctr Svalbard, Dept Arctic Geophys, Longyearbyen, Norway; [Heino, Erkka] Univ Tromso, Dept Phys &amp; Technol, Tromso, Norway; [Yukimatu, Akira Sessai; Miyaoka, Hiroshi] Natl Inst Polar Res, Tokyo, Japan; [Yukimatu, Akira Sessai; Miyaoka, Hiroshi] Grad Univ Adv Studies SOKENDAI, Hayama, Japan</t>
  </si>
  <si>
    <t>University Centre Svalbard (UNIS); UiT The Arctic University of Tromso; Research Organization of Information &amp; Systems (ROIS); National Institute of Polar Research (NIPR) - Japan; Graduate University for Advanced Studies - Japan</t>
  </si>
  <si>
    <t>Bland, EC (corresponding author), Birkeland Ctr Space Sci, Bergen, Norway.;Bland, EC (corresponding author), Univ Ctr Svalbard, Dept Arctic Geophys, Longyearbyen, Norway.</t>
  </si>
  <si>
    <t>emmab@unis.no</t>
  </si>
  <si>
    <t>Bland, Emma/JAC-6039-2023; Partamies, Noora/G-3408-2014</t>
  </si>
  <si>
    <t>Heino, Erkka/0000-0002-8627-9318; Bland, Emma/0000-0002-0252-0400</t>
  </si>
  <si>
    <t>Research Council of Norway/CoE [223252/F50]; NIPR under the Ministry of Education, Culture, Sports, Science and Technology (MEXT), Japan</t>
  </si>
  <si>
    <t>Research Council of Norway/CoE; NIPR under the Ministry of Education, Culture, Sports, Science and Technology (MEXT), Japan</t>
  </si>
  <si>
    <t>This study was supported by the Research Council of Norway/CoE under contract 223252/F50. The CDC (All-sky Color Digital Camera) at Syowa station and the SENSU Syowa East (and South) SuperDARN radars are part of the Science Program of Japanese Antarctic Research Expedition (JARE) and are supported by NIPR under the Ministry of Education, Culture, Sports, Science and Technology (MEXT), Japan. The SuperDARN data were obtained from the British Antarctic Survey data mirror (https://www.bas.ac.uk/project/superdarn).The CDC data are available at the http://polaris.nipr.ac.jp/~ acaurora/aurora/Syowa/website. The solar flare event list was obtained from the Space Weather Database Of Notifications, Knowledge, Information (DONKI, https://kauai.ccmc.gsfc.nasa.gov/DONKI/search/).</t>
  </si>
  <si>
    <t>10.1029/2018JA026437</t>
  </si>
  <si>
    <t>Green Submitted, Green Published, hybrid</t>
  </si>
  <si>
    <t>WOS:000482985600083</t>
  </si>
  <si>
    <t>Reistad, JP; Laundal, KM; Ostgaard, N; Ohma, A; Haaland, S; Oksavik, K; Milan, SE</t>
  </si>
  <si>
    <t>Reistad, J. P.; Laundal, K. M.; Ostgaard, N.; Ohma, A.; Haaland, S.; Oksavik, K.; Milan, S. E.</t>
  </si>
  <si>
    <t>Separation and Quantification of Ionospheric Convection Sources: 1. A New Technique</t>
  </si>
  <si>
    <t>SECS; convection; lobe reconnection; northward IMF</t>
  </si>
  <si>
    <t>LATITUDE PLASMA CONVECTION; FIELD-ALIGNED CURRENTS; STATISTICAL PATTERNS; CURRENT SYSTEMS; MAGNETIC-FIELD; SUPERDARN; IMF; WIND</t>
  </si>
  <si>
    <t>This paper describes a novel technique that allows separation and quantification of different sources of convection in the high-latitude ionosphere. To represent the ionospheric convection electric field, we use the Spherical Elementary Convection Systems representation. We demonstrate how this technique can separate and quantify the contributions from different magnetospheric source regions to the overall ionospheric convection pattern. The technique is in particular useful for distinguishing the contributions of high-latitude reconnection associated with lobe cells from the low-latitude reconnection associated with Dungey two-cell circulation. The results from the current paper are utilized in a companion paper (Reistad et al., 2019, https://doi.org/10.1029/2019JA026641) to quantify how the dipole tilt angle influences lobe convection cells. We also describe a relation bridging other representations of the ionospheric convection electric field or potential to the Spherical Elementary Convection Systems description, enabling a similar separation of convection sources from existing models.</t>
  </si>
  <si>
    <t>[Reistad, J. P.; Laundal, K. M.; Ostgaard, N.; Ohma, A.; Haaland, S.; Oksavik, K.; Milan, S. E.] Univ Bergen, Birkeland Ctr Space Sci, Bergen, Norway; [Haaland, S.] Max Planck Inst Solar Syst Res, Gottingen, Germany; [Oksavik, K.] Univ Ctr Svalbard, Arctic Geophys, Longyearbyen, Norway; [Milan, S. E.] Univ Leicester, Dept Phys &amp; Astron, Leicester, Leics, England</t>
  </si>
  <si>
    <t>University of Bergen; Max Planck Society; University Centre Svalbard (UNIS); University of Leicester</t>
  </si>
  <si>
    <t>Oksavik, Kjellmar/GWZ-7781-2022; Ohma, Anders/V-8877-2018; Reistad, Jone Peter/AAE-5439-2021; Laundal, Karl/GXZ-6326-2022</t>
  </si>
  <si>
    <t>Oksavik, Kjellmar/0000-0003-4312-6992; Ohma, Anders/0000-0002-1234-6725; Reistad, Jone Peter/0000-0003-3509-5479; Laundal, Karl/0000-0001-5028-4943</t>
  </si>
  <si>
    <t>SuperDARN (Super Dual Auroral Radar Network) is an international collaboration involving more than 30 low-power HF radars that are operated and funded by universities and research organizations in Australia, Canada, China, France, Italy, Japan, Norway, South Africa, United Kingdom, and the United States. A large thanks to Evan Tomas from who we directly obtained the SuperDARN data. Raw files can be accessed via the SuperDARN data mirrors hosted by the British Antarctic Survey (https://www.bas.ac.uk/project/superdarn/#data) and University of Saskatchewan (https://superdarn.ca). We acknowledge the use of NASA/GSFC's Space Physics Data Facility (http://omniweb.gsfc.nasa.gov) for OMNI data. Financial support has also been provided to the authors by the Research Council of Norway under the contract 223252.</t>
  </si>
  <si>
    <t>10.1029/2019JA026634</t>
  </si>
  <si>
    <t>WOS:000482985600091</t>
  </si>
  <si>
    <t>Park, YH; Park, T; Kim, TW; Lee, SH; Hong, CS; Lee, JH; Rio, MH; Pujol, MI; Ballarotta, M; Durand, I; Provost, C</t>
  </si>
  <si>
    <t>Park, Y-H; Park, T.; Kim, T-W; Lee, S-H; Hong, C-S; Lee, J-H; Rio, M-H; Pujol, M-, I; Ballarotta, M.; Durand, I; Provost, C.</t>
  </si>
  <si>
    <t>Observations of the Antarctic Circumpolar Current Over the Udintsev Fracture Zone, the Narrowest Choke Point in the Southern Ocean</t>
  </si>
  <si>
    <t>ACC fronts; Udintsev Fracture Zone; narrowest choke point; altimetry; in situ observations</t>
  </si>
  <si>
    <t>DRAKE PASSAGE; MEAN-FLOW; WATER MASSES; HEAT-FLUX; CIRCULATION; TRANSPORT; FRONTS; VARIABILITY; ALTIMETRY; PATHWAYS</t>
  </si>
  <si>
    <t>An up-to-date map of the Antarctic Circumpolar Current (ACC) fronts is constructed from the latest version of mean dynamic topography (MDT) from satellite altimetry and reveals the narrowest ACC width in the Udintsev Fracture Zone (UFZ), with the strongest concentration of the three major ACC fronts within a limited distance as short as 170 km, about 40% narrower than that at Drake Passage. At 144 degrees W, at the entrance of the UFZ, which lies between the Pacific-Antarctic Ridge (PAR) and its eastwardly offset segment (offset PAR segment), there is a triple confluence of the Subantarctic Front, Polar Front, and Southern ACC Front . Downstream of this longitude, the Subantarctic Front progressively meanders northward over the relatively shallow offset PAR segment before channeling through the Eltanin Fracture Zone, thus diverging from the Polar Front which proceeds through the UFZ. In situ observations from two recent cruises at 144 degrees W confirm the satellite altimetry-derived frontal circulation in the UFZ region and yield a baroclinic transport relative to the bottom of 113 x 10(6) m(3)/s, comparable to that through Drake Passage. The hydrographic sections show no Antarctic bottom water colder than 0.2 degrees C. Characteristics of major water masses are described, and the implications for their potential downstream modifications at Drake Passage are discussed in terms of the meridional overturning circulation across the ACC. Mesoscale eddy activity with periods shorter than 90 days is predominantly concentrated in the immediate downstream area of the offset PAR segment, suggesting a substantial poleward eddy heat flux there.</t>
  </si>
  <si>
    <t>[Park, Y-H; Durand, I; Provost, C.] Univ Paris 06, Sorbonne Univ, UPMC, CNRS IRD MNHN,Lab LOCEAN IPSL, Paris, France; [Park, T.; Kim, T-W; Lee, S-H] Korea Polar Res Inst, Incheon, South Korea; [Hong, C-S; Lee, J-H] Korea Inst Ocean Sci &amp; Technol, Busan, South Korea; [Rio, M-H; Pujol, M-, I; Ballarotta, M.] Collect Localisat Satellites, Ramonville St Agne, France</t>
  </si>
  <si>
    <t>Institut de Recherche pour le Developpement (IRD); Museum National d'Histoire Naturelle (MNHN); Sorbonne Universite; Korea Polar Research Institute (KOPRI); Korea Institute of Ocean Science &amp; Technology (KIOST)</t>
  </si>
  <si>
    <t>Park, YH (corresponding author), Univ Paris 06, Sorbonne Univ, UPMC, CNRS IRD MNHN,Lab LOCEAN IPSL, Paris, France.</t>
  </si>
  <si>
    <t>young-hyang.park@mnhn.fr</t>
  </si>
  <si>
    <t>Ballarotta, Maxime/G-3112-2013; Kim, Tae-Wan/JGM-9981-2023</t>
  </si>
  <si>
    <t>Kim, Tae-Wan/0000-0001-5257-7256; BALLAROTTA, Maxime/0000-0002-4101-8704; Park, Young-Hyang/0000-0003-2873-3030; Lee, Jae Hak/0000-0003-4239-9016</t>
  </si>
  <si>
    <t>CNES; Korea Polar Research Institute [KOPRI PE18060]; KOPRI through KIOST [PN66500]</t>
  </si>
  <si>
    <t>CNES(Centre National D'etudes Spatiales); Korea Polar Research Institute(Korea Polar Research Institute of Marine Research Placement (KOPRI)); KOPRI through KIOST(Korea Polar Research Institute of Marine Research Placement (KOPRI))</t>
  </si>
  <si>
    <t>The program PHANTOM of LOCEAN/Sorbonne University is partly supported by CNES, with a technical support of Institut National des Sciences de l'Univers, Brest, for preparing mooring instruments. T. P., T. W. K., and S. H. L. are supported by the Korea Polar Research Institute grant KOPRI PE18060. C. S. H. and J. H. L. are supported by KOPRI through KIOST PN66500. We are grateful to KOPRI for the ship time to access this remote location and to the Captain and crew of Araon for their devoted professional efforts. Valuable comments from Igor Belkin and an anonymous reviewer helped us improve the original manuscript in clarifying the hydrographic criteria of the NB, the newly defined northernmost ACC front from altimetry. The CTD/O2 data used are in public archives SEANOE: CTDO Sections at the Udintsev Fracture Zone (https://doi.org/10.17882/59853). The geographical coordinates of the altimetry-derived five ACC fronts are also in public archives SEANOE: Altimetry-derived Antarctic Circumpolar Current fronts (https://doi.org/10.17882/59800).</t>
  </si>
  <si>
    <t>10.1029/2019JC015024</t>
  </si>
  <si>
    <t>IS3NI</t>
  </si>
  <si>
    <t>WOS:000482059700009</t>
  </si>
  <si>
    <t>Roach, CJ; Speer, K</t>
  </si>
  <si>
    <t>Roach, Christopher J.; Speer, Kevin</t>
  </si>
  <si>
    <t>Exchange of Water Between the Ross Gyre and ACC Assessed by Lagrangian Particle Tracking</t>
  </si>
  <si>
    <t>Ross Gyre; Southern Ocean</t>
  </si>
  <si>
    <t>ANTARCTIC BOTTOM WATER; SOUTHERN-OCEAN; SEASONAL VARIABILITY; TOPOGRAPHY; DEEP; CIRCULATION; TRANSPORT; MELTWATER; ICE</t>
  </si>
  <si>
    <t>To reach upwelling and downwelling zones deep within the Southern Ocean seasonal sea ice cover, water masses must move across the Antarctic Circumpolar Current and through current systems including the Ross Gyre, Weddell Gyre, and Antarctic Slope Current. In this study we focus our attention on the Lagrangian exchange between the Ross Gyre and surrounding current systems. We conducted numerical experiments using five-day 3-D velocity fields from the Southern Ocean State Estimate with a particle tracking package to identify pathways by which waters move from near the Antarctic coastal margins or Antarctic Circumpolar Current into the interior of the Ross Gyre, and to identify the time scales of variability associated with these pathways. Waters from near the Antarctic margins enter the Ross Gyre along the western and northern boundaries of gyre until the gyre separates from the Pacific-Antarctic Ridge near fracture zones. At this juncture, Antarctic Circumpolar Current-derived inflow dominates the across-gyre transport up to the Antarctic margin. Transport and exchange associated with different time-average components of flow are calculated to determine the relative contributions of high- and low-frequency and time-mean components. Plain Language Summary Formation of cold, dense waters in the Antarctic Zone south of the Polar Front plays a key role in driving the overturning circulation, with major implications on global climate. One of the key regions of dense water formation is the Ross Sea. However, between the Ross Sea and the wider Southern Ocean lies the Ross Gyre. So we need to understand how the Ross Gyre controls exchange between the continent and the Southern Ocean. We use velocities from a numerical model to track virtual water parcels as they move into the gyre. This lets us estimate total inflow and identify pathways the water takes to enter the gyre. We find that inflow into the Ross Gyre is enough to replace outflowing dense waters from the Ross Sea. We also find that most inflow enters via exchange with Antarctic Circumpolar Current at the northern and eastern limits of the gyre through a combination of eddy activity and low-frequency variability in the gyre boundary.</t>
  </si>
  <si>
    <t>[Roach, Christopher J.] LOCEAN, Paris, France; [Roach, Christopher J.] Univ Tasmania, Inst Marine &amp; Antarctic Studies, Hobart, Tas, Australia; [Speer, Kevin] Florida State Univ, Geophys Fluid Dynam Inst, Tallahassee, FL 32306 USA; [Speer, Kevin] Florida State Univ, Earth Ocean &amp; Atmospher Sci, Tallahassee, FL 32306 USA</t>
  </si>
  <si>
    <t>Museum National d'Histoire Naturelle (MNHN); Sorbonne Universite; University of Tasmania; State University System of Florida; Florida State University; State University System of Florida; Florida State University</t>
  </si>
  <si>
    <t>Roach, CJ (corresponding author), LOCEAN, Paris, France.;Roach, CJ (corresponding author), Univ Tasmania, Inst Marine &amp; Antarctic Studies, Hobart, Tas, Australia.</t>
  </si>
  <si>
    <t>christopher-john.roach@locean-ipsl.upmc.fr</t>
  </si>
  <si>
    <t>10.1029/2018JC014845</t>
  </si>
  <si>
    <t>WOS:000482059700017</t>
  </si>
  <si>
    <t>Freeman, NM; Munro, DR; Sprintall, J; Mazloff, MR; Purkey, S; Rosso, I; DeRanek, CA; Sweeney, C</t>
  </si>
  <si>
    <t>Freeman, Natalie M.; Munro, David R.; Sprintall, Janet; Mazloff, Matthew R.; Purkey, Sarah; Rosso, Isabella; DeRanek, Carissa A.; Sweeney, Colm</t>
  </si>
  <si>
    <t>The Observed Seasonal Cycle of Macronutrients in Drake Passage: Relationship to Fronts and Utility as a Model Metric</t>
  </si>
  <si>
    <t>Drake Passage; Silicate Front; Antarctic Polar Front; biogeochemistry; Southern Ocean; Antarctic Circumpolar Current</t>
  </si>
  <si>
    <t>ANTARCTIC CIRCUMPOLAR CURRENT; SURFACE OCEAN PCO(2); SOUTHERN-OCEAN; INORGANIC CARBON; PACIFIC SECTOR; TIME-SERIES; POLAR FRONT; CO2 FLUXES; VARIABILITY; IRON</t>
  </si>
  <si>
    <t>The Drake Passage Time-series (DPT) is used to quantify the spatial and seasonal variability of historically undersampled, biogeochemically relevant properties across the Drake Passage. From 2004-2017, discrete ship-based observations of surface macronutrients (silicate, nitrate, and phosphate), temperature, and salinity have been collected 5-8 times per year as part of the DPT program. Using the DPT and Antarctic Circumpolar Current (ACC) front locations derived from concurrent expendable bathythermograph data, the distinct physical and biogeochemical characteristics of ACC frontal zones are characterized. Biogeochemical-Argo floats in the region confirm that the near-surface sampling scheme of the DPT robustly captures mixed-layer biogeochemistry. While macronutrient concentrations consistently increase toward the Antarctic continent, their meridional distribution, variability, and biogeochemical gradients are unique across physical ACC fronts, suggesting a combination of physical and biological processes controlling nutrient availability and nutrient front location. The Polar Front is associated with the northern expression of the Silicate Front, marking the biogeographically relevant location between silicate-poor and silicate-rich waters. South of the northern Silicate Front, the silicate-to-nitrate ratio increases, with the sharpest gradient in silicate associated with the Southern ACC Front (i.e., the southern expression of the Silicate Front). Nutrient cycling is an important control on variability in the surface ocean partial pressure of carbon dioxide (pCO(2)). The robust characterization of the spatiotemporal variability of nutrients presented here highlights the utility of biogeochemical time series for diagnosing and potentially reducing biases in modeling Southern Ocean pCO(2) variability, and by inference, air-sea CO2 flux. Plain Language Summary Nutrients fuel phytoplankton communities that are important in the marine food web and global carbon cycling. Understanding modern-day nutrient availability and its physical and biological drivers is critical to accurately predict future climate with models. The Southern Ocean helps regulate climate and is vulnerable to future change, but as one of the least sampled oceans, physical and biogeochemical processes are still not fully understood. This study uses the 13-year Drake Passage Time-series, the longest year-round biogeochemical time series in the Southern Ocean, to quantify nutrient availability and variability on seasonal time scales. Across Drake Passage, temperatures decrease and nutrients increase toward Antarctica, exhibiting sharp gradients at currents and creating conditions favoring distinct phytoplankton groups. Nutrients are used by phytoplankton in summer and regenerated and resupplied by mixing in winter; these processes draw surface ocean carbon down in summer and increase carbon in winter. While nitrate is a necessary nutrient for all phytoplankton, silicate is only required by a single major phytoplankton group. Simultaneous observations of both nutrients allows us to better understand group-specific productivity and, ultimately, its impact on climate.</t>
  </si>
  <si>
    <t>[Freeman, Natalie M.; Sprintall, Janet; Mazloff, Matthew R.; Purkey, Sarah; Rosso, Isabella; DeRanek, Carissa A.] Univ Calif San Diego, Scripps Inst Oceanog, La Jolla, CA 92093 USA; [Munro, David R.] Univ Colorado, Cooperat Inst Res Environm Sci, Boulder, CO USA; [Munro, David R.; Sweeney, Colm] NOAA, Earth Syst Res Lab, Boulder, CO USA; [DeRanek, Carissa A.] Harvey Mudd Coll, Dept Biol, Claremont, CA 91711 USA</t>
  </si>
  <si>
    <t>University of California System; University of California San Diego; Scripps Institution of Oceanography; University of Colorado System; University of Colorado Boulder; National Oceanic Atmospheric Admin (NOAA) - USA; Claremont Colleges; Harvey Mudd College</t>
  </si>
  <si>
    <t>Freeman, NM (corresponding author), Univ Calif San Diego, Scripps Inst Oceanog, La Jolla, CA 92093 USA.</t>
  </si>
  <si>
    <t>n2freeman@ucsd.edu</t>
  </si>
  <si>
    <t>Sweeney, Colm/AAE-9291-2019; Munro, David/ABA-2074-2020; Mazloff, Matthew/AAG-6463-2019; Purkey, Sarah G/K-1983-2012; Freeman, Natalie/F-8672-2015</t>
  </si>
  <si>
    <t>Mazloff, Matthew/0000-0002-1650-5850; DeRanek, Carissa/0009-0002-3462-9694; MUNRO, DAVID/0000-0002-1373-7402; Sweeney, Colm/0000-0002-4517-0797; Sprintall, Janet/0000-0002-7428-7580; Freeman, Natalie/0000-0002-4718-5650; Purkey, Sarah/0000-0002-1893-6224; rosso, isabella/0000-0002-6761-7297</t>
  </si>
  <si>
    <t>NSF/NOAA; National Science Foundation, Division of Polar Programs [NSF PLR-1425989]; NASA Earth Science MEaSUREs Program; NASA Earth Science Physical Oceanography Program; NSF [1543457, 1542902]; NSF's Southern Ocean Carbon and Climate Observations and Modeling (SOCCOM) Project under the NSF Award [PLR-1425989]; NOAA; NASA; U.S. GO-SHIP through NSF [OCE-1437015]; NSF GEO/OCE REU site grant (NSF) [1659793]; Directorate For Geosciences; Division Of Ocean Sciences [1659793] Funding Source: National Science Foundation; Office of Polar Programs (OPP); Directorate For Geosciences [1542902] Funding Source: National Science Foundation</t>
  </si>
  <si>
    <t>NSF/NOAA(National Oceanic Atmospheric Admin (NOAA) - USA); National Science Foundation, Division of Polar Programs(National Science Foundation (NSF)); NASA Earth Science MEaSUREs Program; NASA Earth Science Physical Oceanography Program(National Aeronautics &amp; Space Administration (NASA)); NSF(National Science Foundation (NSF)); NSF's Southern Ocean Carbon and Climate Observations and Modeling (SOCCOM) Project under the NSF Award; NOAA(National Oceanic Atmospheric Admin (NOAA) - USA); NASA(National Aeronautics &amp; Space Administration (NASA)); U.S. GO-SHIP through NSF; NSF GEO/OCE REU site grant (NSF); Directorate For Geosciences; Division Of Ocean Sciences(National Science Foundation (NSF)NSF - Directorate for Geosciences (GEO)); Office of Polar Programs (OPP); Directorate For Geosciences(National Science Foundation (NSF)NSF - Directorate for Geosciences (GEO))</t>
  </si>
  <si>
    <t>We thank the ARSV Laurence M. Gould marine and science support teams for their collection of DPT discrete and underway samples (available at www.ldeo.columbia.edu/res/pi/CO2/carbondioxide/pages/global_ ph. html); nutrient analyses were performed at Chesapeake Biological Laboratory and the Oceanographic Data Facility at Scripps Institution of Oceanography. XBT data are made freely available by the Scripps High Resolution XBT program (www-hrx. ucsd. edu/ax22. html). Cruise reports for SR01 data (Sweeney et al., 2012) and SOCCOM deployment cruises can be found on the CLIVAR and Carbon Hydrographic Data Office (CCHDO) website (https://cchdo.ucsd.edu/); in using CCHDO, we acknowledge the NSF/NOAA-funded U.S. Repeat Hydrography Program. BGC-Argo data were collected and made freely available by the Southern Ocean Carbon and Climate Observations and Modeling (SOCCOM) Project funded by the National Science Foundation, Division of Polar Programs (NSF PLR-1425989), supplemented by NASA, and by the International Argo Program and the NOAA programs that contribute to it (www.argo.ucsd.edu.argo.jcommops.org).The Argo Program is part of the Global Ocean Observing System. The SOCCOM data used here are available online (doi. org/10.6075/J0QJ7FJP; Snapshot 2018-09-12; Johnson et al., 2018). B-SOSE is an integral part of the SOCCOM project and output can be found on the SOSE website (www.sose.ucsd.edu).AVISO SSH products are provided by the Copernicus Marine and Environment Monitoring Service (CMEMS). Microwave radiometer wind speed data are processed by Remote Sensing Systems with funding from the NASA Earth Science MEaSUREs Program and the NASA Earth Science Physical Oceanography Program (accessible at www.remss.com).This work has benefited from discussions with Ariane Verdy. We thank Gordon R. Stephenson Jr. for providing the XBT-derived MLD values from his 2012 study and Lynne Talley for providing objective mapping code for gridding the SR01 data. N. M. F. is grateful for support from the John B. McKee Foundation for educational and general purposes for Scripps Institution of Oceanography and the G. Unger Vetlesen Foundation to support Scripps' global change research effort. D. R. M. and C. S. were supported by NSF award 1543457. J. S. was supported by NSF Award 1542902. M. R. M. and I. R. were supported by NSF's Southern Ocean Carbon and Climate Observations and Modeling (SOCCOM) Project under the NSF Award PLR-1425989, with additional support from NOAA and NASA; logistical support for SOCCOM was provided by NSF through the U.S. Antarctic Program. S.G.P. was supported by U.S. GO-SHIP through NSF grant OCE-1437015. C.A.D. was supported by a NSF GEO/OCE REU site grant (NSF award 1659793) to Scripps Institution of Oceanography.</t>
  </si>
  <si>
    <t>10.1029/2019JC015052</t>
  </si>
  <si>
    <t>WOS:000482059700024</t>
  </si>
  <si>
    <t>Cabré, A; Pelegrí, JL; Valles-Casanova, I</t>
  </si>
  <si>
    <t>Cabre, A.; Pelegri, J. L.; Valles-Casanova, I</t>
  </si>
  <si>
    <t>Subtropical-Tropical Transfer in the South Atlantic Ocean</t>
  </si>
  <si>
    <t>WESTERN BOUNDARY CIRCULATION; MERIDIONAL TRANSPORTS; HEAT-TRANSPORT; WATER MASSES; MODEL; INTERMEDIATE; VARIABILITY; SHALLOW; PATHWAYS; DEEP</t>
  </si>
  <si>
    <t>Here we explore the water transfer between the subtropical and tropical gyres of the South Atlantic Ocean to better understand its unique equatorward heat delivery. A Lagrangian technique is applied to the reanalysis product GLORYS2V4 in order to trace back the western boundary flow in the tropical (North Brazil Undercurrent, NBUC) and subtropical (Brazil Current) gyres. Most of the northward NBUC core transport (14.9 Sv at 8 degrees S) arrives from the eastern boundary subtropical current (Benguela Current) via the zonal South Equatorial Current. This subtropical-tropical transfer represents the core of the returning limb of the Atlantic meridional overturning circulation and accounts for most of the observed increase in heat and salt-volume transports (0.18 PW and 0.19 Sv from 30 degrees S to 8 degrees S, respectively) across the South Atlantic. The NBUC also includes Antarctic Intermediate Water below 400 m (7.4 Sv at 8 degrees S) coming from the interior subtropical gyre, as well as water from the current's surface and peripheral components coming from the tropical gyre (13.3 Sv at 8 degrees S). The Brazil Current (9.9 Sv at 29 degrees S) is mostly composed of subtropical water originating in the upper 800 m west of the eastern boundary current at 30 degrees S (8.5 Sv), with a minor contribution of surface tropical water that transfers to the subtropics (1.4 Sv).</t>
  </si>
  <si>
    <t>[Cabre, A.; Pelegri, J. L.; Valles-Casanova, I] CSIC, Inst Ciencies Mar, Barcelona, Spain</t>
  </si>
  <si>
    <t>Consejo Superior de Investigaciones Cientificas (CSIC); CSIC - Centro Mediterraneo de Investigaciones Marinas y Ambientales (CMIMA); CSIC - Instituto de Ciencias del Mar (ICM)</t>
  </si>
  <si>
    <t>Cabré, A (corresponding author), CSIC, Inst Ciencies Mar, Barcelona, Spain.</t>
  </si>
  <si>
    <t>annanusca@gmail.com</t>
  </si>
  <si>
    <t>Pelegrí, Josep L/L-5815-2014</t>
  </si>
  <si>
    <t>Pelegrí, Josep L/0000-0003-0661-2190; Cabre, Anna/0000-0002-9739-6704; Valles Casanova, Ignasi/0000-0003-2084-852X</t>
  </si>
  <si>
    <t>Beatriu de Pinos fellowship; Spanish government [BES2015-071314]; Spanish government through project VA-DE-RETRO [CTM2014-56987-P]; Spanish government through project SAGA [RTI2018-100844-BC33]</t>
  </si>
  <si>
    <t>Beatriu de Pinos fellowship; Spanish government(Spanish Government); Spanish government through project VA-DE-RETRO; Spanish government through project SAGA</t>
  </si>
  <si>
    <t>A. Cabre is grateful to the Beatriu de Pinos fellowship and the program Marie Curie Actions COFUND of the 7th Framework Program for Research and Technological Development of the European Union. I. Valles-Casanova acknowledges an FPI contract (BES2015-071314) from the Spanish government. We also acknowledge funding from the Spanish government through projects VA-DE-RETRO (reference CTM2014-56987-P) and SAGA (reference RTI2018-100844-BC33). GLORYS2V4 monthly-averaged data were obtained upon request from https://www.mercator-ocean.fr/en/solutions-expertise/how-to-access-themercator-ocean-services/let-s-defineyour-needs/.The authors are indebted to the Mercator Ocean Service for providing these reanalysis data.</t>
  </si>
  <si>
    <t>10.1029/2019JC015160</t>
  </si>
  <si>
    <t>WOS:000482059700027</t>
  </si>
  <si>
    <t>Porter, DF; Springer, SR; Padman, L; Fricker, HA; Tinto, KJ; Riser, SC; Bell, RE</t>
  </si>
  <si>
    <t>Porter, David F.; Springer, Scott R.; Padman, Laurie; Fricker, Helen A.; Tinto, Kirsty J.; Riser, Stephen C.; Bell, Robin E.</t>
  </si>
  <si>
    <t>ROSETTA-Ice Team</t>
  </si>
  <si>
    <t>Evolution of the Seasonal Surface Mixed Layer of the Ross Sea, Antarctica, Observed With Autonomous Profiling Floats</t>
  </si>
  <si>
    <t>autonomous floats; freshwater budget; mixed layer evolution; Southern Ocean observations; Ross ice shelf; sea ice processes</t>
  </si>
  <si>
    <t>CIRCUMPOLAR DEEP-WATER; ICE-SHELF; CONTINENTAL-SHELF; OCEAN; AMUNDSEN; VARIABILITY; CIRCULATION; CLIMATE; WESTERN; DRIVEN</t>
  </si>
  <si>
    <t>Oceanographic conditions on the continental shelf of the Ross Sea, Antarctica, affect sea ice production, Antarctic Bottom Water formation, mass loss from the Ross Ice Shelf, and ecosystems. Since ship access to the Ross Sea is restricted by sea ice in winter, most upper ocean measurements have been acquired in summer. We report the first multiyear time series of temperature and salinity throughout the water column, obtained with autonomous profiling floats. Seven Apex floats were deployed in 2013 on the midcontinental shelf, and six Air-Launched Autonomous Micro Observer floats were deployed in late 2016, mostly near the ice shelf front. Between profiles, most floats were parked on the seabed to minimize lateral motion. Surface mixed layer temperatures, salinities, and depths, in winter were -1.8 degrees C, 34.34, and 250-500 m, respectively. Freshwater from sea ice melt in early December formed a shallow (20 m) surface mixed layer, which deepened to 50-80 m and usually warmed to above -0.5 degrees C by late January. Upper-ocean freshening continued throughout the summer, especially in the eastern Ross Sea and along the ice shelf front. This freshening requires substantial lateral advection that is dominated by inflow from melting of sea ice and ice shelves in the Amundsen Sea and by inputs from the Ross Ice Shelf. Changes in upper-ocean freshwater and heat content along the ice shelf front in summer affect cross-ice front advection, ice shelf melting, and calving processes that determine the rate of mass loss from the grounded Antarctic Ice Sheet in this sector. Plain Language Summary Measurements of temperature and salinity in coastal Antarctic waters are generally restricted to summer when sea ice disappears so that ships can operate there. Moored sensors can collect data through winter but are usually deployed below 200-300 m to minimize risk of damage from drifting icebergs. We describe a novel approach, using autonomous profilers deployed by ship and aircraft, to collect data from the seabed to the ocean surface throughout the year. We deployed 13 profilers in the Ross Sea, Antarctica. Most profilers were programmed to sit on the seabed between profiles to minimize drift and to continue profiling even when ice cover prevented their ascent to the surface. As expected, annual changes in upper-ocean temperature and salinity were closely related to seasonal changes in sea ice. However, the upper ocean continued to freshen even after the sea ice had all melted, suggesting that substantial amounts of freshwater must be coming from ice melting in the adjacent Amundsen Sea. Increasing our understanding of sources of freshwater in the Ross Sea will improve our predictions of this region's changing role in Antarctic sea ice formation, ice loss from the Antarctic Ice Sheet, and Southern Ocean ecosystems.</t>
  </si>
  <si>
    <t>[Porter, David F.; Tinto, Kirsty J.; Bell, Robin E.] Columbia Univ, Lamont Doherty Earth Observ, New York, NY 10027 USA; [Springer, Scott R.] Earth &amp; Space Res, Seattle, WA USA; [Padman, Laurie] Earth &amp; Space Res, Corvallis, OR USA; [Fricker, Helen A.] Scripps Inst Oceanog, La Jolla, CA USA; [Riser, Stephen C.] Univ Washington, Sch Oceanog, Seattle, WA 98195 USA</t>
  </si>
  <si>
    <t>Columbia University; University of California System; University of California San Diego; Scripps Institution of Oceanography; University of Washington; University of Washington Seattle</t>
  </si>
  <si>
    <t>Porter, DF (corresponding author), Columbia Univ, Lamont Doherty Earth Observ, New York, NY 10027 USA.</t>
  </si>
  <si>
    <t>dporter@ldeo.columbia.edu</t>
  </si>
  <si>
    <t>Padman, Laurence/AAH-3808-2021; Porter, David/AAV-3950-2020; Springer, Scott/AAH-3218-2019</t>
  </si>
  <si>
    <t>Porter, David/0000-0002-9724-7303; Springer, Scott/0000-0002-6669-4557; Padman, Laurence/0000-0003-2010-642X; Fricker, Helen Amanda/0000-0002-0921-1432</t>
  </si>
  <si>
    <t>ROSETTA-Ice project - NSF Antarctic Integrated System Science [1443677, 1443498, 1443534]; NSF Ocean Sciences Grant [1357522]; Gordon and Betty Moore Foundation; University of Washington NSF [OPP-1425989]; NOAA [NA150AR4320063]; Old York Foundation; Scripps Institution of Oceanography; Directorate For Geosciences; Division Of Ocean Sciences [1357522] Funding Source: National Science Foundation</t>
  </si>
  <si>
    <t>ROSETTA-Ice project - NSF Antarctic Integrated System Science; NSF Ocean Sciences Grant; Gordon and Betty Moore Foundation(Gordon and Betty Moore Foundation); University of Washington NSF; NOAA(National Oceanic Atmospheric Admin (NOAA) - USA); Old York Foundation; Scripps Institution of Oceanography(University of California System); Directorate For Geosciences; Division Of Ocean Sciences(National Science Foundation (NSF)NSF - Directorate for Geosciences (GEO))</t>
  </si>
  <si>
    <t>This work was supported by the ROSETTA-Ice project funded by NSF Antarctic Integrated System Science, Grants 1443677, 1443498, and 1443534; NSF Ocean Sciences Grant 1357522, and the Gordon and Betty Moore Foundation. Apex floats were supported by the University of Washington NSF Grant OPP-1425989 and NOAA Grant NA150AR4320063. ALAMO floats were procured through the generous support of the Old York Foundation and the Scripps Institution of Oceanography John Dove Isaacs Chair. We thank the New York Air National Guard for their invaluable assistance with ALAMO deployment from their LC-130 aircraft. We are indebted to Stan Jacobs for his insights into Ross Sea oceanography and two thorough, anonymous reviewers of this manuscript. Steve Jayne and colleagues at Woods Hole Oceanographic Institute received and decoded ALAMO data (available at https://www.ldeo.columbia.edu/polar-geophysics-group/publications). Argo data are collected and made freely available by the International Argo Program and the national programs that contribute to it (http://www.argo.ucsd.edu, http://argo.jcommops.org). The Argo Program is part of the Global Ocean Observing System.</t>
  </si>
  <si>
    <t>10.1029/2018JC014683</t>
  </si>
  <si>
    <t>WOS:000482059700034</t>
  </si>
  <si>
    <t>Mack, SL; Dinniman, MS; Klinck, JM; McGillicuddy, DJ; Padman, L</t>
  </si>
  <si>
    <t>Mack, Stefanie L.; Dinniman, Michael S.; Klinck, John M.; McGillicuddy, Dennis J., Jr.; Padman, Laurence</t>
  </si>
  <si>
    <t>Modeling Ocean Eddies on Antarctica's Cold Water Continental Shelves and Their Effects on Ice Shelf Basal Melting</t>
  </si>
  <si>
    <t>CIRCUMPOLAR DEEP-WATER; PINE ISLAND GLACIER; NUMERICAL-SIMULATION; MIDOCEAN EDDIES; CIRCULATION; EDDY; TRANSPORT; SHEET; FLOW; VARIABILITY</t>
  </si>
  <si>
    <t>Changes in the rate of ocean-driven basal melting of Antarctica's ice shelves can alter the rate at which the grounded ice sheet loses mass and contributes to sea level change. Melt rates depend on the inflow of ocean heat, which occurs through steady circulation and eddy fluxes. Previous studies have demonstrated the importance of eddy fluxes for ice shelves affected by relatively warm intrusions of Circumpolar Deep Water. However, ice shelves on cold water continental shelves primarily melt from dense shelf water near the grounding line and from light surface water at the ice shelf front. Eddy effects on basal melt of these ice shelves have not been studied. We investigate where and when a regional ocean model of the Ross Sea resolves eddies and determine the effect of eddy processes on basal melt. The size of the eddies formed depends on water column stratification and latitude. We use simulations at horizontal grid resolutions of 5 and 1.5km and, in the 1.5-km model, vary the degree of topography smoothing. The higher-resolution models generate about 2-2.5 times as many eddies as the low-resolution model. In all simulations, eddies cross the ice shelf front in both directions. However, there is no significant change in basal melt between low- and high-resolution simulations. We conclude that higher-resolution models (&lt;1km) are required to better represent eddies in the Ross Sea but hypothesize that basal melt of the Ross Ice Shelf is relatively insensitive to our ability to fully resolve the eddy field.</t>
  </si>
  <si>
    <t>[Mack, Stefanie L.] Univ Washington, Appl Phys Lab, Seattle, WA 98105 USA; [Dinniman, Michael S.; Klinck, John M.] Old Dominion Univ, Ctr Coastal Phys Oceanog, Norfolk, VA USA; [McGillicuddy, Dennis J., Jr.] Woods Hole Oceanog Inst, Falmouth, MA USA; [Padman, Laurence] Earth &amp; Space Res, Seattle, WA USA</t>
  </si>
  <si>
    <t>University of Washington; University of Washington Seattle; Old Dominion University; Woods Hole Oceanographic Institution</t>
  </si>
  <si>
    <t>Mack, SL (corresponding author), Univ Washington, Appl Phys Lab, Seattle, WA 98105 USA.</t>
  </si>
  <si>
    <t>macksl@uw.edu</t>
  </si>
  <si>
    <t>Padman, Laurence/AAH-3808-2021</t>
  </si>
  <si>
    <t>McGillicuddy, Dennis/0000-0002-1437-2425; Klinck, John/0000-0003-4312-5201; Mack, Stefanie Lynn/0000-0002-0995-9678; Dinniman, Michael/0000-0001-7519-9278; Padman, Laurence/0000-0003-2010-642X</t>
  </si>
  <si>
    <t>NSF Antarctic Research Program [ANT-0944174, ANT-0944165, ANT-1443677]; NSF Ocean Sciences Program [OCE-1357522]; Future of Ice Initiative at the University of Washington; Turing High Performance Computing Cluster at Old Dominion University</t>
  </si>
  <si>
    <t>NSF Antarctic Research Program; NSF Ocean Sciences Program(National Science Foundation (NSF)); Future of Ice Initiative at the University of Washington; Turing High Performance Computing Cluster at Old Dominion University</t>
  </si>
  <si>
    <t>This research was funded by NSF's Antarctic Research Program (ANT-0944174, ANT-0944165, and ANT-1443677), Ocean Sciences Program (OCE-1357522), and by the Future of Ice Initiative at the University of Washington. It was supported by the Turing High Performance Computing Cluster at Old Dominion University. S. M. acknowledges the support of her dissertation committee. Portions of this work appear in S. M.'s PhD thesis. The eddy tracking code and specific version of ROMS are on S. M.'s github (https://github.com/mnemoniko). Forcing files to run the simulations described are in three separate records on zenodo. org under DOIs 10.5281/zenodo.2649541, 10.5281/zenodo.2649547, and 10.5281/zenodo.2650294. We thank three anonymous reviewers for their helpful suggestions.</t>
  </si>
  <si>
    <t>10.1029/2018JC014688</t>
  </si>
  <si>
    <t>WOS:000482059700041</t>
  </si>
  <si>
    <t>Belyaev, KP; Morozov, EG; Tuchkova, NP</t>
  </si>
  <si>
    <t>Belyaev, K. P.; Morozov, E. G.; Tuchkova, N. P.</t>
  </si>
  <si>
    <t>Meridional Mass Transport of Bottom Water in the South Atlantic</t>
  </si>
  <si>
    <t>IZVESTIYA ATMOSPHERIC AND OCEANIC PHYSICS</t>
  </si>
  <si>
    <t>Antarctic Bottom Water; CTD casts; mass transport; GKF data assimilation method; Lomonosov-2 supercomputer; DKRZ Mistral cluster system; MPI-ESM joint model</t>
  </si>
  <si>
    <t>OCEAN CIRCULATION; DATA ASSIMILATION; MODEL</t>
  </si>
  <si>
    <t>Estimates of the meridional mass transport of Antarctic Bottom Water, calculated using the coupled ocean-atmosphere Earth System Model on the basis of the original data assimilation method are presented. For assimilation, we use data of the latitudinal CTD sections of temperature and salinity of the WOCE international experiment in 1991-1995. Estimates of the current velocities of Antarctic Bottom Water with the assimilation of observational data are given. We used the author's data-assimilation method, which was previously referred to as the generalized Kalman Filter (GKF) method. In this particular case, it coincides with the classical Kalman method (EnKF). We also present the estimates of mass transport based on a standard geostrophic dynamic scheme. It is shown that model calculations with data assimilation are qualitatively the same and are quantitatively close to the estimates of the geostrophic flow transport based on the dynamic method.</t>
  </si>
  <si>
    <t>[Belyaev, K. P.; Morozov, E. G.] Russian Acad Sci, Shirshov Inst Oceanol, Moscow 117997, Russia; [Belyaev, K. P.; Tuchkova, N. P.] Russian Acad Sci, Dorodnicyn Comp Ctr FRC CSC, Moscow 119333, Russia</t>
  </si>
  <si>
    <t>Russian Academy of Sciences; Shirshov Institute of Oceanology; Russian Academy of Sciences</t>
  </si>
  <si>
    <t>Morozov, EG (corresponding author), Russian Acad Sci, Shirshov Inst Oceanol, Moscow 117997, Russia.</t>
  </si>
  <si>
    <t>egmorozov@mail.ru</t>
  </si>
  <si>
    <t>Tuchkova, Natalia P/M-8005-2018; Belayev, Konstantin/AAD-6822-2022; Morozov, Eugene G/L-3023-2018; Tuchkova, Natalia/M-8005-2018</t>
  </si>
  <si>
    <t>Tuchkova, Natalia P/0000-0001-5357-9640; Morozov, Eugene/0000-0002-0251-3454; Tuchkova, Natalia/0000-0001-6518-5817; Belyaev, Konstantin/0000-0003-2111-2709</t>
  </si>
  <si>
    <t>Russian Foundation for Basic Research [17-08-00085]; Russian Science Foundation [16-17-10149]</t>
  </si>
  <si>
    <t>Russian Foundation for Basic Research(Russian Foundation for Basic Research (RFBR)Spanish Government); Russian Science Foundation(Russian Science Foundation (RSF))</t>
  </si>
  <si>
    <t>This research was performed within the Scientific State Task (theme no. 0149-2019-0004) and supported in part by the Russian Foundation for Basic Research (dynamic calculation) (project no. 17-08-00085) and Russian Science Foundation (analysis of field data) (project no. 16-17-10149). Data assimilation was implemented on the Lomonosov 2 supercomputer at Lomonosov Moscow State University.</t>
  </si>
  <si>
    <t>0001-4338</t>
  </si>
  <si>
    <t>1555-628X</t>
  </si>
  <si>
    <t>IZV ATMOS OCEAN PHY+</t>
  </si>
  <si>
    <t>Izv. Atmos. Ocean. Phys.</t>
  </si>
  <si>
    <t>10.1134/S0001433819040029</t>
  </si>
  <si>
    <t>IR9NZ</t>
  </si>
  <si>
    <t>WOS:000481773100009</t>
  </si>
  <si>
    <t>Spray, JF; Bohaty, SM; Davies, A; Bailey, I; Romans, BW; Cooper, MJ; Milton, JA; Wilson, PA</t>
  </si>
  <si>
    <t>Spray, James F.; Bohaty, Steven M.; Davies, Andrew; Bailey, Ian; Romans, Brian W.; Cooper, Matthew J.; Milton, James A.; Wilson, Paul A.</t>
  </si>
  <si>
    <t>North Atlantic Evidence for a Unipolar Icehouse Climate State at the Eocene-Oligocene Transition</t>
  </si>
  <si>
    <t>Eocene-Oligocene Transition; ice-rafted debris; deep-sea currents; glaciation; Southeast Newfoundland Ridge</t>
  </si>
  <si>
    <t>ICE-RAFTED DEBRIS; WESTERN SUPERIOR PROVINCE; PB ISOTOPIC GEOCHEMISTRY; LEAD-ISOTOPE; K-FELDSPAR; CRUSTAL CONTAMINATION; CALCITE COMPENSATION; ANTARCTIC GLACIATION; BIPOLAR GLACIATION; AMITSOQ GNEISSES</t>
  </si>
  <si>
    <t>Earth's climate transitioned from a warm unglaciated state to a colder glaciated icehouse state during the Cenozoic. Extensive ice sheets were first sustained on Antarctica at the Eocene-Oligocene Transition (EOT, similar to 34 Ma), but there is intense debate over whether Northern Hemisphere ice sheets developed simultaneously at this time or tens of millions of years later. Here we report on EOT-age sediments that contain detrital sand from Integrated Ocean Drilling Program Sites U1406 and U1411 on the Newfoundland margin. These sites are ideally located to test competing hypotheses of the extent of Arctic glaciation, being situated in the North Atlantic's iceberg alley where icebergs, calved from both the Greenland Ice Sheet today, and the Laurentide Ice Sheet during the Pleistocene, are concentrated by the Labrador Current and deposit continentally derived detritus. Here we show that detrital sand grains present in these EOT-aged sediments from the Newfoundland margin, initially interpreted to represent ice rafting, were sourced from the midlatitudes of North America. We find that these grains were transported to the western North Atlantic by fluvial and downslope processes, not icebergs, and were subsequently reworked and deposited by deep-water contour currents on the Newfoundland margin. Our findings are inconsistent with the presence of extensive ice sheets on southern and western Greenland and the northeastern Canadian Arctic. This contradicts extensive bipolar glaciation at the EOT. The unipolar icehouse arose because of contrasting latitudinal continental configurations at the poles, requiring more intense Cenozoic climatic deterioration to trigger extensive Northern Hemisphere glaciation.</t>
  </si>
  <si>
    <t>[Spray, James F.; Bohaty, Steven M.; Cooper, Matthew J.; Milton, James A.; Wilson, Paul A.] Univ Southampton, Natl Oceanog Ctr Southampton, Waterfront Campus, Southampton, Hants, England; [Bailey, Ian] Univ Exeter, Coll Engn Math &amp; Phys Sci, Camborne Sch Mines, Penryn Campus, Penryn, England; [Bailey, Ian] Univ Exeter, Coll Engn Math &amp; Phys Sci, Environm &amp; Sustainabil Inst, Penryn Campus, Penryn, England; [Romans, Brian W.] Virginia Tech, Dept Geosci, Blacksburg, VA USA</t>
  </si>
  <si>
    <t>University of Southampton; NERC National Oceanography Centre; University of Exeter; University of Exeter; Virginia Polytechnic Institute &amp; State University</t>
  </si>
  <si>
    <t>Spray, JF; Wilson, PA (corresponding author), Univ Southampton, Natl Oceanog Ctr Southampton, Waterfront Campus, Southampton, Hants, England.</t>
  </si>
  <si>
    <t>jamesfspray@icloud.com; paul.wilson@noc.soton.ac.uk</t>
  </si>
  <si>
    <t>Davies, Andrew/GXA-2513-2022; Romans, Brian W/G-2035-2010; Bailey, Ian/G-4707-2010</t>
  </si>
  <si>
    <t>Davies, Andrew/0000-0002-7048-2709; Bailey, Ian/0000-0001-5150-5437; Wilson, Paul/0000-0001-6425-8906; Milton, James/0000-0003-4245-5532; Spray, James/0000-0002-1722-1366</t>
  </si>
  <si>
    <t>U.S. National Science Foundation; EPSRC [EPH01506X]; NERC-UKIODP CASE studentship [NE/K007211/1]; Halliburton [NE/K007211/1]; NERC [NE/I006168/1, NE/K008390/1, NE/l007452/1,]; Royal Society; NERC [NE/I006168/1, NE/K008390/1, NE/K014137/1, NE/L007452/1] Funding Source: UKRI</t>
  </si>
  <si>
    <t>U.S. National Science Foundation(National Science Foundation (NSF)); EPSRC(UK Research &amp; Innovation (UKRI)Engineering &amp; Physical Sciences Research Council (EPSRC)); NERC-UKIODP CASE studentship; Halliburton; NERC(UK Research &amp; Innovation (UKRI)Natural Environment Research Council (NERC)); Royal Society(Royal Society); NERC(UK Research &amp; Innovation (UKRI)Natural Environment Research Council (NERC))</t>
  </si>
  <si>
    <t>All samples were provided by the IODP, which was sponsored by the U.S. National Science Foundation and participating countries under management of Joint Oceanographic Institutions, Inc. We thank our IODP Expedition 342 colleagues, W. Hale, and A. Wuelbers for help in the Bremen Core Repository, and Dan King and Agnieszka Michalik for technical laboratory assistance. We acknowledge the help of Ian Sinclair and Orestis Katsamenis, of the mu-VIS X-ray Imaging Centre at the University of Southampton, for provision of tomographic imaging facilities, supported by EPSRC grant EPH01506X. Funding for this project was provided by a NERC-UKIODP CASE studentship in partnership with Halliburton (NE/K007211/1), together with NERC grants (NE/I006168/1 and NE/K008390/1, P. A. W; NE/l007452/1, S. M. B) and a Royal Society Wolfson Merit award to P. A. W. Data from this study can be found in the supporting information.</t>
  </si>
  <si>
    <t>10.1029/2019PA003563</t>
  </si>
  <si>
    <t>IS0EI</t>
  </si>
  <si>
    <t>WOS:000481820300006</t>
  </si>
  <si>
    <t>Lacerra, M; Lund, DC; Gebbie, G; Oppo, DW; Yu, JM; Schmittner, A; Umling, NE</t>
  </si>
  <si>
    <t>Lacerra, Matthew; Lund, David C.; Gebbie, Geoffrey; Oppo, Delia W.; Yu, Jimin; Schmittner, Andreas; Umling, Natalie E.</t>
  </si>
  <si>
    <t>Less Remineralized Carbon in the Intermediate-Depth South Atlantic During Heinrich Stadial 1</t>
  </si>
  <si>
    <t>B; Ca; Last deglaciation; carbon cycling</t>
  </si>
  <si>
    <t>WATER MASS GEOMETRY; ATMOSPHERIC CO2; NORTH-ATLANTIC; LAST DEGLACIATION; OCEAN CIRCULATION; PACIFIC DEEP; CLIMATE; SEA; DELTA-C-13; RATIOS</t>
  </si>
  <si>
    <t>The last deglaciation (similar to 20-10 kyr BP) was characterized by a major shift in Earth's climate state, when the global mean surface temperature rose similar to 4 degrees C and the concentration of atmospheric CO2 increased similar to 80 ppmv. Model simulations suggest that the initial 30 ppmv rise in atmospheric CO2 may have been driven by reduced efficiency of the biological pump or enhanced upwelling of carbon-rich waters from the abyssal ocean. Here we evaluate these hypotheses using benthic foraminiferal B/Ca (a proxy for deep water [CO32-]) from a core collected at 1,100-m water depth in the Southwest Atlantic. Our results imply that [CO32-] increased by 22 2 mu mol/kg early in Heinrich Stadial 1, or a decrease in Sigma CO2 of approximately 40 mu mol/kg, assuming there were no significant changes in alkalinity. Our data imply that remineralized phosphate declined by approximately 0.3 mu mol/kg during Heinrich Stadial 1, equivalent to 40% of the modern remineralized signal at this location. Because tracer inversion results indicate remineralized phosphate at the core site reflects the integrated effect of export production in the sub-Antarctic, our results imply that biological productivity in the Atlantic sector of the Southern Ocean was reduced early in the deglaciation, contributing to the initial rise in atmospheric CO2.</t>
  </si>
  <si>
    <t>[Lacerra, Matthew; Lund, David C.] Univ Connecticut, Dept Marine Sci, Groton, CT 06340 USA; [Lacerra, Matthew] Princeton Univ, Dept Geosci, Princeton, NJ 08544 USA; [Gebbie, Geoffrey] Woods Hole Oceanog Inst, Dept Phys Oceanog, Woods Hole, MA 02543 USA; [Oppo, Delia W.; Umling, Natalie E.] Woods Hole Oceanog Inst, Dept Geol &amp; Geophys, Woods Hole, MA 02543 USA; [Umling, Natalie E.] Amer Museum Nat Hist, Dept Earth &amp; Planetary Sci, New York, NY 10024 USA; [Yu, Jimin] Australian Natl Univ, Res Sch Earth Sci, Acton, ACT, Australia; [Schmittner, Andreas] Oregon State Univ, Coll Earth Ocean &amp; Atmospher Sci, Corvallis, OR 97331 USA</t>
  </si>
  <si>
    <t>University of Connecticut; Princeton University; Woods Hole Oceanographic Institution; Woods Hole Oceanographic Institution; American Museum of Natural History (AMNH); Australian National University; Oregon State University</t>
  </si>
  <si>
    <t>Lacerra, M (corresponding author), Univ Connecticut, Dept Marine Sci, Groton, CT 06340 USA.;Lacerra, M (corresponding author), Princeton Univ, Dept Geosci, Princeton, NJ 08544 USA.</t>
  </si>
  <si>
    <t>mlacerra@princeton.edu</t>
  </si>
  <si>
    <t>Schmittner, Andreas/O-9647-2015; Yu, Jimin/I-7770-2012</t>
  </si>
  <si>
    <t>Schmittner, Andreas/0000-0002-8376-0843; Umling, Natalie/0000-0001-9999-1737; Yu, Jimin/0000-0002-3896-1777; Oppo, Delia/0000-0003-2946-5904</t>
  </si>
  <si>
    <t>NSF [OCE-1702231]</t>
  </si>
  <si>
    <t>We would like to thank Barbel Honisch at Lamont-Doherty Earth Observatory of Columbia University for help with methods development and Sarah McCart for technical assistance with ICP-MS analyses. We would also like to give special thanks to Anna lisa Mudahy, who was responsible for picking a substantial portion of the benthic foraminifera used in this study. We are grateful to the WHOI core lab for sample collection and archiving. This work was supported by NSF grant OCE-1702231 to D. L.</t>
  </si>
  <si>
    <t>10.1029/2018PA003537</t>
  </si>
  <si>
    <t>WOS:000481820300011</t>
  </si>
  <si>
    <t>Labarrere, B; Prinzing, A; Dorey, T; Chesneau, E; Hennion, F</t>
  </si>
  <si>
    <t>Labarrere, Bastien; Prinzing, Andreas; Dorey, Thomas; Chesneau, Emeline; Hennion, Francoise</t>
  </si>
  <si>
    <t>Variations of Secondary Metabolites among Natural Populations of Sub-Antarctic Ranunculus Species Suggest Functional Redundancy and Versatility</t>
  </si>
  <si>
    <t>PLANTS-BASEL</t>
  </si>
  <si>
    <t>Ranunculus biternatus; Ranunculus pseudotrullifolius; Ranunculus moseleyi; secondary metabolite variation; amines; quercetins; natural populations; environment; redundancy; sub-Antarctic plants</t>
  </si>
  <si>
    <t>PERFORMANCE LIQUID-CHROMATOGRAPHY; PRINGLEA-ANTISCORBUTICA; STRESS RESPONSES; PLANTS; POLYAMINES; EVOLUTION; PHENOTYPES; VARIABILITY; INVOLVEMENT; FLAVONOIDS</t>
  </si>
  <si>
    <t>Plants produce a high diversity of metabolites which help them sustain environmental stresses and are involved in local adaptation. However, shaped by both the genome and the environment, the patterns of variation of the metabolome in nature are difficult to decipher. Few studies have explored the relative parts of geographical region versus environment or phenotype in metabolomic variability within species and none have discussed a possible effect of the region on the correlations between metabolites and environments or phenotypes. In three sub-Antarctic Ranunculus species, we examined the role of region in metabolite differences and in the relationship between individual compounds and environmental conditions or phenotypic traits. Populations of three Ranunculus species were sampled across similar environmental gradients in two distinct geographical regions in iles Kerguelen. Two metabolite classes were studied, amines (quantified by high-performance liquid chromatography and fluorescence spectrophotometry) and flavonols (quantified by ultra-high-performance liquid chromatography with triple quadrupole mass spectrometry). Depending on regions, the same environment or the same trait may be related to different metabolites, suggesting metabolite redundancy within species. In several cases, a given metabolite showed different or even opposite relations with the same environmental condition or the same trait across the two regions, suggesting metabolite versatility within species. Our results suggest that metabolites may be functionally redundant and versatile within species, both in their response to environments and in their relation with the phenotype. These findings open new perspectives for understanding evolutionary responses of plants to environmental changes.</t>
  </si>
  <si>
    <t>[Labarrere, Bastien; Prinzing, Andreas; Chesneau, Emeline; Hennion, Francoise] Univ Rennes 1, CNRS, OSUR, UMR ECOBIO 6553, Av Gen Leclerc, F-35042 Rennes, France; [Dorey, Thomas] Inst Systemat &amp; Evolutionare Bot, Zollikerstr 107, CH-8008 Zurich, Switzerland</t>
  </si>
  <si>
    <t>Centre National de la Recherche Scientifique (CNRS); CNRS - Institute of Ecology &amp; Environment (INEE); Universite Rennes 2; Universite de Rennes</t>
  </si>
  <si>
    <t>Hennion, F (corresponding author), Univ Rennes 1, CNRS, OSUR, UMR ECOBIO 6553, Av Gen Leclerc, F-35042 Rennes, France.</t>
  </si>
  <si>
    <t>francoise.hennion@univ-rennes1.fr</t>
  </si>
  <si>
    <t>Hennion, Francoise/P-3356-2014</t>
  </si>
  <si>
    <t>Hennion, Francoise/0000-0001-5355-5614; Dorey, Thomas/0000-0002-1945-6193</t>
  </si>
  <si>
    <t>INSTITUT POLAIRE FRANCAIS IPEV [1116, 136]; Ministry of Research and Education (France); CNRS LIA AntarctPlantAdapt</t>
  </si>
  <si>
    <t>INSTITUT POLAIRE FRANCAIS IPEV; Ministry of Research and Education (France); CNRS LIA AntarctPlantAdapt</t>
  </si>
  <si>
    <t>This research was funded by INSTITUT POLAIRE FRANCAIS IPEV, grants 1116 (PlantEvol) and 136 (Ecobio). B. L. was supported by a PhD grant from Ministry of Research and Education (France). The APC was funded by CNRS LIA AntarctPlantAdapt.</t>
  </si>
  <si>
    <t>2223-7747</t>
  </si>
  <si>
    <t>Plants-Basel</t>
  </si>
  <si>
    <t>10.3390/plants8070234</t>
  </si>
  <si>
    <t>IR5OV</t>
  </si>
  <si>
    <t>WOS:000481484800027</t>
  </si>
  <si>
    <t>Xu, M; Li, YB; Yang, QH; Gao, AE; Han, B; Yang, YJ; Yu, LJ; Wang, LL</t>
  </si>
  <si>
    <t>Xu, Min; Li, Yubin; Yang, Qinghua; Gao, Andrew E.; Han, Bo; Yang, Yuanjian; Yu, Lejiang; Wang, Linlin</t>
  </si>
  <si>
    <t>Radiosonde-Observed Vertical Profiles and Increasing Trends of Temperature and Humidity during 2005-2018 at the South Pole</t>
  </si>
  <si>
    <t>ATMOSPHERE</t>
  </si>
  <si>
    <t>the South Pole; temperature; humidity; vertical profile; trend</t>
  </si>
  <si>
    <t>DOME C; TROPOSPHERIC TEMPERATURE; ANTARCTIC PENINSULA; SURFACE; STRATOSPHERE; MAXIMUM; HEIGHT</t>
  </si>
  <si>
    <t>The vertical profiles and trends of temperature and humidity at the South Pole up to 10 km above mean sea level (amsl) were investigated by using radiosonde data collected from March 2005 to February 2018. During an average year between 2005 and 2018, the highest (lowest) temperature in the lower troposphere was approximately -25 degrees C (-60 degrees C) in December (July) at a height of about 500 m above the surface (at the surface). A temperature inversion layer above the surface was found during the whole year but was weaker during the summer, while the inversion layers at the tropopause (about 8 km amsl) mostly disappeared during spring and winter. General warming trends were found at all heights and months, but in a few heights and months cooling trends still occurred (e.g., in September below 7 km amsl). Nevertheless, seasonal and yearly averaged temperatures all presented warming trends: 1.1, 1.3, 0.6, 1.5 and 1.1 degrees C/decade at the surface, and 0.7, 1.0, 0.3, 0.3 and 0.6 degrees C/decade for the layer average from the surface to 10 km amsl, for spring, summer, autumn, winter, and yearly average, respectively. Most of the water vapor was confined in the lowermost 3 km of the atmosphere with a maximum of 0.35 g kg(-1) in December at a 200 m height above surface, and the specific humidity had the similar characteristic of annual cycle and inversion layers as the temperature. At heights below 5 km amsl, increasing trends of specific humidity larger than 0.02 g kg(-1)/decade occurred during summer months, including the late spring and early autumn, and the annual mean showed an increasing trend of about 0.01-0.02 g kg(-1)/decade. Meanwhile, above 5 km amsl, the trends became small and generally less than 0.02 g kg(-1)/decade in all the months, and beyond 7 km amsl the specific humidity remained almost invariant due to its small moisture content as compared with lower levels. From the surface to 10 km amsl, the specific humidity averaged trends of 0.0062, 0.019, 0.0013, 0.002 and 0.007 g kg(-1)/decade for spring, summer, autumn, winter and yearly average, respectively.</t>
  </si>
  <si>
    <t>[Xu, Min] Nanjing Univ Informat Sci &amp; Technol, Sch Remote Sensing &amp; Geomat Engn, Collaborat Innovat Ctr Forecast &amp; Evaluat Meteoro, Nanjing 210044, Jiangsu, Peoples R China; [Li, Yubin] Nanjing Univ Informat Sci &amp; Technol, Sch Atmospher Phys, Collaborat Innovat Ctr Forecast &amp; Evaluat Meteoro, Nanjing 210044, Jiangsu, Peoples R China; [Yang, Qinghua; Han, Bo] Sun Yat Sen Univ, Sch Atmospher Sci, Zhuhai 519082, Peoples R China; [Yang, Qinghua; Han, Bo] Sun Yat Sen Univ, Guangdong Prov Key Lab Climate Change &amp; Nat Disas, Zhuhai 519082, Peoples R China; [Yang, Qinghua; Han, Bo] Southern Marine Sci &amp; Engn Guangdong Lab Zhuhai, Zhuhai 519082, Peoples R China; [Gao, Andrew E.] Edgemont Jr Senior High Sch, Scarsdale, NY 10583 USA; [Yang, Yuanjian] Chinese Univ Hong Kong, Inst Environm Energy &amp; Sustainabil, Hong Kong 999077, Peoples R China; [Yu, Lejiang] Polar Res Inst China, SOA Key Lab Polar Sci, Shanghai 200136, Peoples R China; [Wang, Linlin] Chinese Acad Sci, Inst Atmospher Phys, Beijing 100029, Peoples R China</t>
  </si>
  <si>
    <t>Nanjing University of Information Science &amp; Technology; Nanjing University of Information Science &amp; Technology; Sun Yat Sen University; Sun Yat Sen University; Southern Marine Science &amp; Engineering Guangdong Laboratory; Southern Marine Science &amp; Engineering Guangdong Laboratory (Zhuhai); Chinese University of Hong Kong; Polar Research Institute of China; Chinese Academy of Sciences; Institute of Atmospheric Physics, CAS</t>
  </si>
  <si>
    <t>Li, YB (corresponding author), Nanjing Univ Informat Sci &amp; Technol, Sch Atmospher Phys, Collaborat Innovat Ctr Forecast &amp; Evaluat Meteoro, Nanjing 210044, Jiangsu, Peoples R China.;Yang, QH (corresponding author), Sun Yat Sen Univ, Sch Atmospher Sci, Zhuhai 519082, Peoples R China.;Yang, QH (corresponding author), Sun Yat Sen Univ, Guangdong Prov Key Lab Climate Change &amp; Nat Disas, Zhuhai 519082, Peoples R China.</t>
  </si>
  <si>
    <t>liyubin@nuist.edu.cn; yangqh25@mail.sysu.edu.cn</t>
  </si>
  <si>
    <t>yang, yang/HGT-7999-2022; Han, Bo/KBC-0855-2024; Li, Yubin/HOC-0722-2023; LAPC, IAP/AAI-6991-2020; Yang, Yuan-Jian/AAR-2465-2021; Wang, Linlin/AAH-6222-2020; yang, yang/GWB-9426-2022; Yang, Yuanjian/AAC-7494-2020</t>
  </si>
  <si>
    <t>Han, Bo/0000-0002-6137-7907; Li, Yubin/0000-0003-3965-3845; LAPC, IAP/0000-0002-0025-3484; Yang, Yuan-Jian/0000-0003-3486-6286;</t>
  </si>
  <si>
    <t>National Key Research and Development Program of Ministry of Science and Technology of China [2016YFA0602100]; Opening Fund of Key Laboratory of Land Surface Process and Climate Change in Cold and Arid Regions, CAS [LPCC2018001, LPCC2018005]; Opening fund of State Key Laboratory of Cryospheric Science [SKLCS-OP-2019-09]</t>
  </si>
  <si>
    <t>National Key Research and Development Program of Ministry of Science and Technology of China; Opening Fund of Key Laboratory of Land Surface Process and Climate Change in Cold and Arid Regions, CAS; Opening fund of State Key Laboratory of Cryospheric Science</t>
  </si>
  <si>
    <t>This study was supported by the National Key Research and Development Program of Ministry of Science and Technology of China (2016YFA0602100), the Opening Fund of Key Laboratory of Land Surface Process and Climate Change in Cold and Arid Regions, CAS (No. LPCC2018001, LPCC2018005), and the Opening fund of State Key Laboratory of Cryospheric Science (SKLCS-OP-2019-09).</t>
  </si>
  <si>
    <t>2073-4433</t>
  </si>
  <si>
    <t>ATMOSPHERE-BASEL</t>
  </si>
  <si>
    <t>Atmosphere</t>
  </si>
  <si>
    <t>10.3390/atmos10070365</t>
  </si>
  <si>
    <t>IQ3CL</t>
  </si>
  <si>
    <t>WOS:000480628300017</t>
  </si>
  <si>
    <t>Bantcev, DV; Ganyushkin, DA; Chistyakov, KV; Volkov, IV; Ekaykin, AA; Veres, AN; Tokarev, IV; Shtykova, NB; Andreeva, TA</t>
  </si>
  <si>
    <t>Bantcev, Dmitry, V; Ganyushkin, Dmitry A.; Chistyakov, Kirill, V; Volkov, Ilya V.; Ekaykin, Alexey A.; Veres, Arina N.; Tokarev, Igor, V; Shtykova, Natalya B.; Andreeva, Tatiana A.</t>
  </si>
  <si>
    <t>The Components of the Glacial Runoff of the Tsambagarav Massif from Stable Water Isotope Data</t>
  </si>
  <si>
    <t>Inner Asia; Altai; glaciers; stable isotopes; runoff</t>
  </si>
  <si>
    <t>WESTERN MONGOLIA; NORTH; RIVER; MOUNTAINS</t>
  </si>
  <si>
    <t>The aim of this study was to determine the contribution of snow and glacial ice to the river fluxes, and to identify the type of ice formation in the Tsambagarav massif (the northwestern part of Mongolia). The main method for this study was isotopic analysis of water samples. The isotopic separation showed that the shares of the main components in the total runoff differed for different rivers of the massif. Alongside with that, glacial meltwater prevailed in all the investigated fluxes. The share of snow and firn in the meltwater coming from the surface of the large valley glaciers in the middle of the ablation season in 2017 changed by only 10%-from 20% to 30%. Thus, further reduction of glaciation caused by global climate change could significantly affect the water balance of the study area. The isotopic composition of glacial ice proves that its alimentation primarily comes from precipitation during the transitional seasons. Superimposed ice is not the basis for nourishment of the glaciers of the Tsambagarav massif.</t>
  </si>
  <si>
    <t>[Bantcev, Dmitry, V; Ganyushkin, Dmitry A.; Chistyakov, Kirill, V; Volkov, Ilya V.; Ekaykin, Alexey A.; Veres, Arina N.; Shtykova, Natalya B.; Andreeva, Tatiana A.] St Petersburg State Univ, Inst Earth Sci, Univ Skaya Nab 7-9, St Petersburg 199034, Russia; [Ekaykin, Alexey A.; Veres, Arina N.] Arctic &amp; Antarctic Res Inst, Beringa 38, St Petersburg 199397, Russia; [Tokarev, Igor, V] St Petersburg State Univ, Res Pk,Univ Skaya Nab 7-9, St Petersburg 199034, Russia</t>
  </si>
  <si>
    <t>Saint Petersburg State University; Arctic &amp; Antarctic Research Institute; Saint Petersburg State University</t>
  </si>
  <si>
    <t>Bantcev, DV (corresponding author), St Petersburg State Univ, Inst Earth Sci, Univ Skaya Nab 7-9, St Petersburg 199034, Russia.</t>
  </si>
  <si>
    <t>d.bantsev@spbu.ru</t>
  </si>
  <si>
    <t>Tokarev, Igor Vladimirovich/ADR-9438-2022; Bantcev, Dmitrii/AAK-2319-2020; Volkov, Illya IV/K-5221-2013; Chistyakov, Kirill V/M-8489-2013; Ganyushkin, Dmitry/M-8516-2013; Veres, Arina/HJY-8317-2023; Shtykova, Natalia/M-3758-2015; Ekaykin, Alexey/K-9894-2015</t>
  </si>
  <si>
    <t>Tokarev, Igor Vladimirovich/0000-0003-1095-0731; Ganyushkin, Dmitry/0000-0001-6109-8652; Shtykova, Natalia/0000-0001-7999-5992; Volkov, Ilia/0000-0001-9374-2676; Ekaykin, Alexey/0000-0001-9819-2802; Andreeva, Tat'ana/0000-0002-5699-8389</t>
  </si>
  <si>
    <t>Russian Foundation for Basic Research (RFBR) [No19-05-00535]</t>
  </si>
  <si>
    <t>Russian Foundation for Basic Research (RFBR)(Russian Foundation for Basic Research (RFBR))</t>
  </si>
  <si>
    <t>This research was funded by Russian Foundation for Basic Research (RFBR), grant number No19-05-00535.</t>
  </si>
  <si>
    <t>10.3390/geosciences9070297</t>
  </si>
  <si>
    <t>IN9NI</t>
  </si>
  <si>
    <t>WOS:000479005300019</t>
  </si>
  <si>
    <t>Stelling, JM; Yu, ZC</t>
  </si>
  <si>
    <t>Stelling, Jonathan M.; Yu, Zicheng</t>
  </si>
  <si>
    <t>Regional Climate Change Recorded in Moss Oxygen and Carbon Isotopes from a Late Holocene Peat Archive in the Western Antarctic Peninsula</t>
  </si>
  <si>
    <t>stable isotopes; paleoclimate; Antarctic Peninsula; hydroclimate; temperature; Chorisodontium aciphyllum</t>
  </si>
  <si>
    <t>SOUTHERN ANNULAR MODE; SURFACE-TEMPERATURE; VARIABILITY; GLACIER; ACCUMULATION; CONNECTIONS; VEGETATION; RETREAT; IMPACTS; TRENDS</t>
  </si>
  <si>
    <t>The Antarctic Peninsula (AP) climate is characterized by a high degree of variability, which poses a problem when attempting to put modern change in the context of natural variation. Therefore, novel methods are required to disentangle sometimes conflicting climate records from the region. In recent years, the development of Antarctic moss-cellulose isotopes as a proxy for summer terrestrial growing conditions has become more widespread, with the isotopes Delta C-13 and delta O-18 reflecting moss productivity and peatbank moisture conditions, respectively. Here, we used a combined Delta C-13 and delta O-18 isotope analysis of moss Chorisodontium aciphyllum cellulose from a peatbank located on Litchfield Island in the western AP to document changes in climate over the last 1700 years. High Delta C-13 values (&gt;15 parts per thousand) indicate warm and productive conditions on Litchfield Island from 1600 to 1350 cal yr BP (350 to 600 AD) and over the last 100 years. The delta O-18 record shows two distinct intervals of dry conditions at 1350-1000 cal yr BP (600-950 AD) and at 500-0 cal yr BP (1450-1950 AD). Our record indicates that terrestrial ecosystems in the AP have responded to regional climate driven by atmospheric circulation, such as the southern annular mode (SAM) and, to a lesser extent, changes in ocean circulation.</t>
  </si>
  <si>
    <t>[Stelling, Jonathan M.; Yu, Zicheng] Lehigh Univ, Dept Earth &amp; Environm Sci, Bethlehem, PA 18015 USA</t>
  </si>
  <si>
    <t>Lehigh University</t>
  </si>
  <si>
    <t>Stelling, JM; Yu, ZC (corresponding author), Lehigh Univ, Dept Earth &amp; Environm Sci, Bethlehem, PA 18015 USA.</t>
  </si>
  <si>
    <t>jmsa14@lehigh.edu; ziy2@lehigh.edu</t>
  </si>
  <si>
    <t>Stelling, Jonathan/0000-0003-3887-4240; Yu, Zicheng/0000-0003-2358-2712</t>
  </si>
  <si>
    <t>US NSF-Antarctic Earth Sciences Program [PLR 1246190, 1246359]; Directorate For Geosciences [1246359] Funding Source: National Science Foundation; Office of Polar Programs (OPP) [1246359] Funding Source: National Science Foundation</t>
  </si>
  <si>
    <t>US NSF-Antarctic Earth Sciences Program(National Science Foundation (NSF)NSF - Directorate for Geosciences (GEO)); Directorate For Geosciences(National Science Foundation (NSF)NSF - Directorate for Geosciences (GEO)); Office of Polar Programs (OPP)(National Science Foundation (NSF)NSF - Directorate for Geosciences (GEO))</t>
  </si>
  <si>
    <t>This project was funded by US NSF-Antarctic Earth Sciences Program (PLR 1246190 and 1246359).</t>
  </si>
  <si>
    <t>10.3390/geosciences9070282</t>
  </si>
  <si>
    <t>WOS:000479005300004</t>
  </si>
  <si>
    <t>Song, HJ</t>
  </si>
  <si>
    <t>Song, Hyo-Jong</t>
  </si>
  <si>
    <t>Extended representation of wind-mass correlation by ensemble forecasting for data assimilation</t>
  </si>
  <si>
    <t>QUARTERLY JOURNAL OF THE ROYAL METEOROLOGICAL SOCIETY</t>
  </si>
  <si>
    <t>data assimilation; ensemble forecasting; hybrid 4DEnVar; numerical weather prediction; wind-mass correlation</t>
  </si>
  <si>
    <t>VARIATIONAL DATA ASSIMILATION; OSSE-BASED EVALUATION; KALMAN FILTER; PART I; SYSTEM; MODEL; BALANCE; IMPLEMENTATION; CORE; NWP</t>
  </si>
  <si>
    <t>Initialization for numerical weather prediction models is of utmost importance especially in the short-range forecast of the weather accompanying extreme events such as heavy rainfall, heatwaves, and so on. The balance relationship between wind and mass in the initialized field has been an important issue since Richardson's first attempt at numerical prediction. In a climatological framework, regressed-linear and analytic-nonlinear balancing methods are used to impose the wind-mass correlation onto the analysis increment, which results from data assimilation procedures. The advection of horizontal wind destroys the isotropy assumption by the regressed-linear balance approach. The nonlinear balance equation approach including the advection process reduces this disadvantage more or less. However, it is shown that forecast ensemble correlation helps even the regressed balance approach to address the anisotropy in the hybridization framework. The regressed balance approach, in common with the nonlinear balance, experiences (a) considerable residual of the horizontal momentum conservation in the Antarctic stratosphere, and (b) lack of thermodynamic energy relationship between divergent wind and temperature in the Tropics. This study demonstrates with phenomenological examples that these weaknesses of the traditional (especially, regressed) methods are effectively resolved by forecast ensemble covariance.</t>
  </si>
  <si>
    <t>[Song, Hyo-Jong] Korea Inst Atmospher Predict Syst, Data Assimilat Team, 4F Pk Sq,35 Boramaero 5 Gil, Seoul 07071, South Korea</t>
  </si>
  <si>
    <t>Song, HJ (corresponding author), Korea Inst Atmospher Predict Syst, Data Assimilat Team, 4F Pk Sq,35 Boramaero 5 Gil, Seoul 07071, South Korea.</t>
  </si>
  <si>
    <t>hj.song@kiaps.org</t>
  </si>
  <si>
    <t>Korea Meteorological Administration</t>
  </si>
  <si>
    <t>Korea Meteorological Administration(Korea Meteorological Administration (KMA))</t>
  </si>
  <si>
    <t>0035-9009</t>
  </si>
  <si>
    <t>1477-870X</t>
  </si>
  <si>
    <t>Q J ROY METEOR SOC</t>
  </si>
  <si>
    <t>Q. J. R. Meteorol. Soc.</t>
  </si>
  <si>
    <t>A</t>
  </si>
  <si>
    <t>10.1002/qj.3541</t>
  </si>
  <si>
    <t>IN9WH</t>
  </si>
  <si>
    <t>WOS:000479030200013</t>
  </si>
  <si>
    <t>Heinemann, G; Glaw, L; Willmes, S</t>
  </si>
  <si>
    <t>Heinemann, Guenther; Glaw, Lukas; Willmes, Sascha</t>
  </si>
  <si>
    <t>A Satellite-Based Climatology of Wind-Induced Surface Temperature Anomalies for the Antarctic</t>
  </si>
  <si>
    <t>katabatic winds; MODIS ice surface temperatures; ice shelves; Antarctic</t>
  </si>
  <si>
    <t>ERA-INTERIM; KATABATIC WINDS; ICE SHELF; LAND; SEA; PARAMETERIZATIONS; GREENLAND; INVERSION; DYNAMICS; MODEL</t>
  </si>
  <si>
    <t>It is well-known that katabatic winds can be detected as warm signatures in the surface temperature over the slopes of the Antarctic ice sheets. For appropriate synoptic forcing and/or topographic channeling, katabatic surges occur, which result in warm signatures also over adjacent ice shelves. Moderate Resolution Imaging Spectroradiometer (MODIS) ice surface temperature (IST) data are used to detect warm signatures over the Antarctic for the winter periods 2002-2017. In addition, high-resolution (5 km) regional climate model data is used for the years of 2002 to 2016. We present a case study and a climatology of wind-induced IST anomalies for the Ross Ice Shelf and the eastern Weddell Sea. The IST anomaly distributions show maxima around 10-15K for the slopes, but values of more than 25K are also found. Katabatic surges represent a strong climatological signal with a mean warm anomaly of more than 5K on more than 120 days per winter for the Byrd Glacier and the Nimrod Glacier on the Ross Ice Shelf. The mean anomaly for the Brunt Ice Shelf is weaker, and exceeds 5K on about 70 days per winter. Model simulations of the IST are compared to the MODIS IST, and show a very good agreement. The model data show that the near-surface stability is a better measure for the response to the wind than the IST itself.</t>
  </si>
  <si>
    <t>[Heinemann, Guenther; Glaw, Lukas; Willmes, Sascha] Univ Trier, Environm Meteorol, D-54286 Trier, Germany</t>
  </si>
  <si>
    <t>Universitat Trier</t>
  </si>
  <si>
    <t>Heinemann, G (corresponding author), Univ Trier, Environm Meteorol, D-54286 Trier, Germany.</t>
  </si>
  <si>
    <t>heinemann@uni-trier.de</t>
  </si>
  <si>
    <t>Willmes, Sascha/J-5796-2012</t>
  </si>
  <si>
    <t>Deutsche Forschungsgemeinschaft [HE 2740/19, HE 2740/22, WI 3314/3, SPP1158]; Open Access Fund of the University of Trier; German Research Foundation (DFG) within the Open Access Publishing funding programme</t>
  </si>
  <si>
    <t>Deutsche Forschungsgemeinschaft(German Research Foundation (DFG)); Open Access Fund of the University of Trier; German Research Foundation (DFG) within the Open Access Publishing funding programme(German Research Foundation (DFG))</t>
  </si>
  <si>
    <t>This research was partly funded by the Deutsche Forschungsgemeinschaft under grant numbers HE 2740/19, HE 2740/22 and WI 3314/3 in the framework of the priority programme SPP1158 Antarctic Research with comparative investigations in Arctic ice areas. The publication was funded by the Open Access Fund of the University of Trier and the German Research Foundation (DFG) within the Open Access Publishing funding programme.</t>
  </si>
  <si>
    <t>10.3390/rs11131539</t>
  </si>
  <si>
    <t>IL1HA</t>
  </si>
  <si>
    <t>WOS:000477049000031</t>
  </si>
  <si>
    <t>Wu, ZL; Wang, JG; Liu, YX; He, XF; Liu, Y; Xu, WX</t>
  </si>
  <si>
    <t>Wu, Zhilu; Wang, Jungang; Liu, Yanxiong; He, Xiufeng; Liu, Yang; Xu, Wenxue</t>
  </si>
  <si>
    <t>Validation of 7 Years in-Flight HY-2A Calibration Microwave Radiometer Products Using Numerical Weather Model and Radiosondes</t>
  </si>
  <si>
    <t>HY-2A CMR; numerical weather model; wet tropospheric correction; precipitable water vapor; brightness temperature; radiosondes</t>
  </si>
  <si>
    <t>PRECIPITABLE WATER-VAPOR; TROPOSPHERIC PATH DELAY; HEIGHT MEASUREMENTS; PERFORMANCE</t>
  </si>
  <si>
    <t>Haiyang-2A (HY-2A) has been working in-flight for over seven years, and the accuracy of HY-2A calibration microwave radiometer (CMR) data is extremely important for the wet troposphere delay correction (WTC) in sea surface height (SSH) determination. We present a comprehensive evaluation of the HY-2A CMR observation using the numerical weather model (NWM) for all the data available period from October 2011 to February 2018, including the WTC and the precipitable water vapor (PWV). The ERA(ECMWF Re-Analysis)-Interim products from European Centre for Medium-Range Weather Forecasts (ECMWF) are used for the validation of HY-2A WTC and PWV products. In general, a global agreement of root-mean-square (RMS) of 2.3 cm in WTC and 3.6 mm in PWV are demonstrated between HY-2A observation and ERA-Interim products. Systematic biases are revealed where before 2014 there was a positive WTC/PWV bias and after that, a negative one. Spatially, HY-2A CMR products show a larger bias in polar regions compared with mid-latitude regions and tropical regions and agree better in the Antarctic than in the Arctic with NWM. Moreover, HY-2A CMR products have larger biases in the coastal area, which are all caused by the brightness temperature (TB) contamination from land or sea ice. Temporally, the WTC/PWV biases increase from October 2011 to March 2014 with a systematic bias over 1 cm in WTC and 2 mm in PWV, and the maximum RMS values of 4.62 cm in WTC and 7.61 mm in PWV occur in August 2013, which is because of the unsuitable retrieval coefficients and systematic TB measurements biases from 37 GHz band. After April 2014, the TB bias is corrected, HY-2A CMR products agree very well with NWM from April 2014 to May 2017 with the average RMS of 1.68 cm in WTC and 2.65 mm in PWV. However, since June 2017, TB measurements from the 18.7 GHz band become unstable, which led to the huge differences between HY-2A CMR products and the NWM with an average RMS of 2.62 cm in WTC and 4.33 mm in PWV. HY-2A CMR shows high accuracy when three bands work normally and further calibration for HY-2A CMR is in urgent need. Furtherly, 137 global coastal radiosonde stations were used to validate HY-2A CMR. The validation based on radiosonde data shows the same variation trend in time of HY-2A CMR compared to the results from ECMWF, which verifies the results from ECMWF.</t>
  </si>
  <si>
    <t>[Wu, Zhilu; Liu, Yanxiong; He, Xiufeng] Hohai Univ, Sch Earth Sci &amp; Engn, Nanjing 211100, Jiangsu, Peoples R China; [Wu, Zhilu; Liu, Yanxiong; Liu, Yang; Xu, Wenxue] MNR, FIO, Qingdao 266061, Shandong, Peoples R China; [Wang, Jungang] GeoForschungZentrum GFZ, Dept Geodesy, D-14473 Potsdam, Germany; [Wang, Jungang] Tech Univ Berlin, Inst Geodesy &amp; Geoinformat Sci, D-10623 Berlin, Germany</t>
  </si>
  <si>
    <t>Hohai University; Helmholtz Association; Helmholtz-Center Potsdam GFZ German Research Center for Geosciences; Technical University of Berlin</t>
  </si>
  <si>
    <t>Liu, YX (corresponding author), Hohai Univ, Sch Earth Sci &amp; Engn, Nanjing 211100, Jiangsu, Peoples R China.;Liu, YX (corresponding author), MNR, FIO, Qingdao 266061, Shandong, Peoples R China.</t>
  </si>
  <si>
    <t>yxliu@fio.org.cn</t>
  </si>
  <si>
    <t>Wang, Jungang/ABA-9657-2021</t>
  </si>
  <si>
    <t>Wang, Jungang/0000-0002-7060-5342; Liu, Yang/0000-0001-7442-5149; Liu, Yanxiong/0000-0002-4746-6479</t>
  </si>
  <si>
    <t>National Key R&amp;D Program of China [2017YFC1405100]; National Natural Science Foundation of China [41876106]; China Scholarship Council [201606260035]</t>
  </si>
  <si>
    <t>National Key R&amp;D Program of China; National Natural Science Foundation of China(National Natural Science Foundation of China (NSFC)); China Scholarship Council(China Scholarship Council)</t>
  </si>
  <si>
    <t>This research was funded by the National Key R&amp;D Program of China (2017YFC1405100) and the National Natural Science Foundation of China (41876106). Mr. Jungang Wang was financially supported by the China Scholarship Council (File No.201606260035).</t>
  </si>
  <si>
    <t>10.3390/rs11131616</t>
  </si>
  <si>
    <t>WOS:000477049000107</t>
  </si>
  <si>
    <t>Shore, RM; Freeman, MP; Gjerloev, JW</t>
  </si>
  <si>
    <t>Shore, R. M.; Freeman, M. P.; Gjerloev, J. W.</t>
  </si>
  <si>
    <t>Interplanetary Magnetic Field Control of Polar Ionospheric Equivalent Current System Modes</t>
  </si>
  <si>
    <t>SPACE WEATHER-THE INTERNATIONAL JOURNAL OF RESEARCH AND APPLICATIONS</t>
  </si>
  <si>
    <t>DP 2 FLUCTUATIONS; IMF B-Y; SOLAR-WIND; MAGNETOSPHERE; TIMESCALES; CONVECTION; COMPONENTS</t>
  </si>
  <si>
    <t>We analyze the response of different ionospheric equivalent current modes to variations in the interplanetary magnetic field (IMF) components B-y and B-z. Each mode comprises a fixed spatial pattern whose amplitude varies in time, identified by a month-by-month empirical orthogonal function separation of surface measured magnetic field variance. Here we focus on four sets of modes that have been previously identified as DPY, DP2, NBZ, and DP1. We derive the cross-correlation function of each mode set with either IMF B-y or B-z for lags ranging from -10 to +600 mins with respect to the IMF state at the bow shock nose. For all four sets of modes, the average correlation can be reproduced by a sum of up to three linear responses to the IMF component, each centered on a different lag. These are interpreted as the statistical ionospheric responses to magnetopause merging (15- to 20-min lag) and magnetotail reconnection (60-min lag) and to IMF persistence. Of the mode sets, NBZ and DPY are the most predictable from a given IMF component, with DP1 (the substorm component) the least predictable. The proportion of mode variability explained by the IMF increases for the longer lags, thought to indicate conductivity feedbacks from substorms. In summary, we confirm the postulated physical basis of these modes and quantify their multiple reconfiguration timescales.</t>
  </si>
  <si>
    <t>[Shore, R. M.; Freeman, M. P.] British Antarctic Survey, Cambridge, England; [Gjerloev, J. W.] Johns Hopkins Univ, Appl Phys Lab, Laurel, MD USA; [Gjerloev, J. W.] Univ Bergen, Birkelancl Ctr Excellence, Dept Phys &amp; Technol, Bergen, Norway</t>
  </si>
  <si>
    <t>UK Research &amp; Innovation (UKRI); Natural Environment Research Council (NERC); NERC British Antarctic Survey; Johns Hopkins University; Johns Hopkins University Applied Physics Laboratory; University of Bergen</t>
  </si>
  <si>
    <t>Gjerloev, Jesper/C-2116-2016; Freeman, Mervyn/E-5687-2019</t>
  </si>
  <si>
    <t>Freeman, Mervyn/0000-0002-8653-8279; Shore, Robert/0000-0002-8386-1425</t>
  </si>
  <si>
    <t>Natural Environment Research Council [NE/J020796/1, NE/N01099X/1]; NERC [bas0100031, NE/J020796/1, NE/N01099X/1] Funding Source: UKRI</t>
  </si>
  <si>
    <t>This work was funded by the Natural Environment Research Council under grants NE/J020796/1 and NE/N01099X/1. We would like to thank Eelco Doornbos, Steve Browett, Maria-TheresiaWalach, John Coxon, Suzie Imber, Gareth Chisham, and three anonymous reviewers for discussions which improved the paper. The EOF reanalysis model used in this study is available in the supporting information of Shore et al. (2018). OMNI data were downloaded from ftp://spdf.gsfc.nasa.gov/pub/data/omni/high_res_omni/monthly_1min/on 06 March 2014. F10.7 data were obtained from ftp://ftp.ngdc.noaa.gov/STP/GEOMAGNETIC_DATA/INDICES/KP_AP/on 19 December 2012. For the SuperMAG ground magnetometer data, we gratefully acknowledge: INTERMAGNET (we thank the national institutes that support its contributing magnetic observatories and INTERMAGNET for promoting high standards of magnetic observatory practice; www.intermagnet.org); USGS, Jeffrey J. Love; CARISMA, PI Ian Mann; CANMOS; The S-RAMP Database, K. Yumoto and K. Shiokawa; The SPIDR database; AARI, Oleg Troshichev; The MACCS program, M. Engebretson, Geomagnetism Unit of the Geological Survey of Canada; GIMA; MEASURE, UCLA IGPP and Florida Institute of Technology; SAMBA, Eftyhia Zesta; 210 Chain, K. Yumoto; SAMNET, Farideh Honary; the institutes who maintain the IMAGE magnetometer array, Eija Tanskanen; PENGUIN; AUTUMN, Martin Connors; DTU Space, Anna NaemiWiller; South Pole and McMurdo Magnetometer, Louis J. Lanzarotti and Alan T. Weatherwax; ICESTAR; RAPIDMAG; PENGUIn; British Antarctic Survey; McMac, Peter Chi; BGS, Susan Macmillan; Pushkov Institute of Terrestrial Magnetism, Ionosphere and RadioWave Propagation (IZMIRAN); GFZ, Juergen Matzka; MFGI, B. Heilig; IGFPAS, J. Reda; University of L'Aquila, M. Vellante; and SuperMAG, JesperW. Gjerloev.</t>
  </si>
  <si>
    <t>1542-7390</t>
  </si>
  <si>
    <t>SPACE WEATHER</t>
  </si>
  <si>
    <t>Space Weather</t>
  </si>
  <si>
    <t>10.1029/2019SW002161</t>
  </si>
  <si>
    <t>Astronomy &amp; Astrophysics; Geochemistry &amp; Geophysics; Meteorology &amp; Atmospheric Sciences</t>
  </si>
  <si>
    <t>IO3LP</t>
  </si>
  <si>
    <t>hybrid, Green Accepted, Green Submitted</t>
  </si>
  <si>
    <t>WOS:000479282100003</t>
  </si>
  <si>
    <t>Lozinski, AR; Horne, RB; Glauert, SA; Del Zanna, G; Heynderickx, D; Evans, HDR</t>
  </si>
  <si>
    <t>Lozinski, Alexander R.; Horne, Richard B.; Glauert, Sarah A.; Del Zanna, Giulio; Heynderickx, Daniel; Evans, Hugh D. R.</t>
  </si>
  <si>
    <t>Solar Cell Degradation Due to Proton Belt Enhancements During Electric Orbit Raising to GEO</t>
  </si>
  <si>
    <t>INNER RADIATION BELT; DISPLACEMENT DAMAGE; MARCH 24; SIMULATION; ENERGY; SPACE; MAGNETOSPHERE; DIFFUSION; MODEL; ZONE</t>
  </si>
  <si>
    <t>The recent introduction of all-electric propulsion on geosynchronous satellites enables lower-cost access to space by replacing chemical propellant. However, the time period required to initially raise the satellite to geostationary orbit (GEO) is around 200 days. During this time the satellite can be exposed to dynamic increases in trapped flux, which are challenging to model. To understand the potential penalty of this new technique in terms of radiation exposure, the influence of several key parameters on solar cell degradation during the electric orbit raising period has been investigated. This is achieved by calculating the accumulation of nonionizing dose through time for a range of approaches. We demonstrate the changes in degradation caused by launching during a long-lived (hundreds of days) enhancement in megaelectron volt trapped proton flux for three different electric orbit raising scenarios and three different thicknesses of coverglass. Results show that launching in an active environment can increase solar cell degradation due to trapped protons by similar to 5% before start of service compared with a quiet environment. The crucial energy range for such enhancements in proton flux is 3-10 MeV (depending on shielding). Further changes of a few percent can occur between different trajectories, or when a 50-mu m change in coverglass thickness is applied.</t>
  </si>
  <si>
    <t>[Lozinski, Alexander R.; Horne, Richard B.; Glauert, Sarah A.] British Antarctic Survey, Cambridge, England; [Lozinski, Alexander R.; Del Zanna, Giulio] Univ Cambridge, Dept Appl Math &amp; Theoret Phys, Cambridge, England; [Heynderickx, Daniel] DH Consultancy BVBA, Leuven, Belgium; [Evans, Hugh D. R.] European Space Agcy, European Space Res &amp; Technol Ctr, Noordwijk, Netherlands</t>
  </si>
  <si>
    <t>UK Research &amp; Innovation (UKRI); Natural Environment Research Council (NERC); NERC British Antarctic Survey; University of Cambridge; European Space Agency</t>
  </si>
  <si>
    <t>Lozinski, AR (corresponding author), British Antarctic Survey, Cambridge, England.;Lozinski, AR (corresponding author), Univ Cambridge, Dept Appl Math &amp; Theoret Phys, Cambridge, England.</t>
  </si>
  <si>
    <t>alezin33@bas.ac.uk</t>
  </si>
  <si>
    <t>Horne, Richard B/U-3764-2019; Heynderickx, Daniel/JBS-0816-2023</t>
  </si>
  <si>
    <t>Horne, Richard B/0000-0002-0412-6407; Heynderickx, Daniel/0000-0001-7136-9014; Del Zanna, Giulio/0000-0002-4125-0204; Lozinski, Alexander/0000-0002-6508-487X</t>
  </si>
  <si>
    <t>Natural Environment Research Council (NERC) [NE/R009457/1]; ESA through a CCN on ESA [4000117974/16/NL/LF]; NERC [NE/P01738X/1]; STFC (UK) via the consolidated grant of the DAMTP atomic astrophysics group [ST/P000665/1]; NERC [NE/P01738X/1, 1940244, NE/R009457/1, bas0100031] Funding Source: UKRI; STFC [ST/P000665/1, ST/R000743/1] Funding Source: UKRI</t>
  </si>
  <si>
    <t>Natural Environment Research Council (NERC)(UK Research &amp; Innovation (UKRI)Natural Environment Research Council (NERC)); ESA through a CCN on ESA; NERC(UK Research &amp; Innovation (UKRI)Natural Environment Research Council (NERC)); STFC (UK) via the consolidated grant of the DAMTP atomic astrophysics group; NERC(UK Research &amp; Innovation (UKRI)Natural Environment Research Council (NERC)); STFC(UK Research &amp; Innovation (UKRI)Science &amp; Technology Facilities Council (STFC))</t>
  </si>
  <si>
    <t>This work was funded by the Natural Environment Research Council (NERC) via Doctoral Training Programme NE/R009457/1. Alexander R. Lozinski acknowledges support by ESA through a CCN on ESA Contract 4000117974/16/NL/LF (VALIRENE). Richard B. Horne and Sarah A. Glauert acknowledge NERC Highlight Topic Grant NE/P01738X/1 (Rad-Sat). Giulio Del Zanna acknowledges support by STFC (UK) via the consolidated grant of the DAMTP atomic astrophysics group (ST/P000665/1). Spenvis can be accessed at the https://www.spenvis.oma.be/website.Information about PyEphem can be obtained from the website (https://rhodesmill.org/pyephem/).TLE data for each orbit were obtained from the website (https://www.space-track.org/).</t>
  </si>
  <si>
    <t>10.1029/2019SW002213</t>
  </si>
  <si>
    <t>WOS:000479282100008</t>
  </si>
  <si>
    <t>Le Cozannet, G; Thiéblemont, R; Rohmer, J; Idier, D; Manceau, JC; Quique, R</t>
  </si>
  <si>
    <t>Le Cozannet, Goneri; Thieblemont, Remi; Rohmer, Jeremy; Idier, Deborah; Manceau, Jean-Charles; Quique, Robin</t>
  </si>
  <si>
    <t>Low-End Probabilistic Sea-Level Projections</t>
  </si>
  <si>
    <t>WATER</t>
  </si>
  <si>
    <t>sea-level rise; projections; probabilistic</t>
  </si>
  <si>
    <t>ANTARCTIC ICE-SHEET; VERTICAL LAND MOTION; SURFACE MASS-BALANCE; RISE; CLIMATE; MODEL; GREENLAND; UNCERTAINTY; SCENARIOS; GLACIERS</t>
  </si>
  <si>
    <t>In the area of sea-level rise, recent research has focused on assessing either likely or high end future sea levels, but less attention has been given to low-end sea-level projections, exploring best-case potential sea-level changes and providing the basis for estimating minimum adaptation needs. Here, we provide global and regional probabilistic sea-level projections using conservative projections of glaciers and ice-sheets melting and a selection of models from the Coupled Model Intercomparison Project phase 5 (CMIP5) delivering moderate thermal expansion. Our low-end sea-level projections are higher than previously estimated because they rely on modeling outcomes only, and do not add any expert judgement, aiming essentially at delivering more realistic upper tails. While there are good reasons to believe that our projections are excessively optimistic, they can be used as low-end sea-level projections in order to inform users with low aversion to uncertainty. Our low-end sea-level projection exceeds 0.5 m along most inhabited coasts by 2100 for business as usual greenhouse gas emissions (RCP8.5), which is relevant for adaptation practitioners as long as efficient climate change mitigation policies are not implemented. This means that without efficient climate mitigation, an acceleration of sea-level rise can hardly be avoided during the 21st century.</t>
  </si>
  <si>
    <t>[Le Cozannet, Goneri; Thieblemont, Remi; Rohmer, Jeremy; Idier, Deborah; Manceau, Jean-Charles; Quique, Robin] Bur Rech Geol &amp; Minieres, French Geol Survey, 3 Ave Claude Guillemin, F-45060 Orleans, France</t>
  </si>
  <si>
    <t>Bureau de Recherches Geologiques et Minieres (BRGM)</t>
  </si>
  <si>
    <t>Le Cozannet, G (corresponding author), Bur Rech Geol &amp; Minieres, French Geol Survey, 3 Ave Claude Guillemin, F-45060 Orleans, France.</t>
  </si>
  <si>
    <t>g.lecozannet@brgm.fr</t>
  </si>
  <si>
    <t>IDIER, Déborah/A-7890-2012; Rohmer, Jeremy/AAJ-6489-2020; Thiéblemont, Rémi/P-4777-2018</t>
  </si>
  <si>
    <t>IDIER, Déborah/0000-0003-1235-2348; Rohmer, Jeremy/0000-0001-9083-5965; Thiéblemont, Rémi/0000-0003-0160-2276; Le Cozannet, Goneri/0000-0003-2421-3003</t>
  </si>
  <si>
    <t>BRGM; ANR DELTA project (French National Research Agency) [ANR-17-CE03-0001]; French Ministry for an Ecological and Solidary Transition (MTES); ERA4CS [690462]; Agence Nationale de la Recherche (ANR) [ANR-17-CE03-0001] Funding Source: Agence Nationale de la Recherche (ANR)</t>
  </si>
  <si>
    <t>BRGM(Bureau de Recherches Geologiques et Minieres (BRGM)); ANR DELTA project (French National Research Agency)(Agence Nationale de la Recherche (ANR)); French Ministry for an Ecological and Solidary Transition (MTES); ERA4CS; Agence Nationale de la Recherche (ANR)(Agence Nationale de la Recherche (ANR))</t>
  </si>
  <si>
    <t>This research was funded by BRGM and the ERA4CS (grant number: 690462): GLC and JR through the INSeaPTION project; RT, JCM, ID and RQ: ECLISEA project. This research also contributes to the ANR DELTA project (French National Research Agency, ANR-17-CE03-0001) and the Convention on financial support for climate services of the French Ministry for an Ecological and Solidary Transition (MTES).</t>
  </si>
  <si>
    <t>2073-4441</t>
  </si>
  <si>
    <t>WATER-SUI</t>
  </si>
  <si>
    <t>Water</t>
  </si>
  <si>
    <t>10.3390/w11071507</t>
  </si>
  <si>
    <t>Environmental Sciences; Water Resources</t>
  </si>
  <si>
    <t>Environmental Sciences &amp; Ecology; Water Resources</t>
  </si>
  <si>
    <t>IQ3DW</t>
  </si>
  <si>
    <t>WOS:000480632300192</t>
  </si>
  <si>
    <t>Curran, NM; Joy, KH; Snape, JF; Pernet-Fisher, JF; Gilmour, JD; Nemchin, AA; Whitehouse, MJ; Burgess, R</t>
  </si>
  <si>
    <t>Curran, N. M.; Joy, K. H.; Snape, J. F.; Pernet-Fisher, J. F.; Gilmour, J. D.; Nemchin, A. A.; Whitehouse, M. J.; Burgess, R.</t>
  </si>
  <si>
    <t>The early geological history of the Moon inferred from ancient lunar meteorite Miller Range 13317</t>
  </si>
  <si>
    <t>14 BRECCIAS IMPLICATIONS; NOBLE-GASES; MARE BASALTS; PETROGENESIS; AGES; EVOLUTION; CRUST; HIGHLANDS; MELT; GEOCHEMISTRY</t>
  </si>
  <si>
    <t>Miller Range (MIL) 13317 is a heterogeneous basalt-bearing lunar regolith breccia that provides insights into the early magmatic history of the Moon. MIL 13317 is formed from a mixture of material with clasts having an affinity to Apollo ferroan anorthosites and basaltic volcanic rocks. Noble gas data indicate that MIL 13317 was consolidated into a breccia between 2610 +/- 780Ma and 1570 +/- 470Ma where it experienced a complex near-surface irradiation history for similar to 835 +/- 84Myr, at an average depth of similar to 30cm. The fusion crust has an intermediate composition (Al2O3 15.9 wt%; FeO 12.3 wt%) with an added incompatible trace element (Th 5.4 ppm) chemical component. Taking the fusion crust to be indicative of the bulk sample composition, this implies that MIL 13317 originated from a regolith that is associated with a mare-highland boundary that is KREEP-rich (i.e., K, rare earth elements, and P). A comparison of bulk chemical data from MIL 13317 with remote sensing data from the Lunar Prospector orbiter suggests that MIL 13317 likely originated from the northwest region of Oceanus Procellarum, east of Mare Nubium, or at the eastern edge of Mare Frigoris. All these potential source areas are on the near side of the Moon, indicating a close association with the Procellarum KREEP Terrane. Basalt clasts in MIL 13317 are from a very low-Ti to low-Ti (between 0.14 and 0.32 wt%) source region. The similar mineral fractionation trends of the different basalt clasts in the sample suggest they are comagmatic in origin. Zircon-bearing phases and Ca-phosphate grains in basalt clasts and matrix grains yield Pb-207/Pb-206 ages between 4344 +/- 4 and 4333 +/- 5Ma. These ancient Pb-207/Pb-206 ages indicate that the meteorite has sampled a range of Pre-Nectarian volcanic rocks that are poorly represented in the Apollo, Luna, and lunar meteorite collections. As such, MIL 13317 adds to the growing evidence that basaltic volcanic activity on the Moon started as early as similar to 4340Ma, before the main period of lunar mare basalt volcanism at similar to 3850Ma.</t>
  </si>
  <si>
    <t>[Curran, N. M.; Joy, K. H.; Pernet-Fisher, J. F.; Gilmour, J. D.; Burgess, R.] Univ Manchester, Sch Earth &amp; Environm Sci, Oxford Rd, Manchester M13 9PL, Lancs, England; [Curran, N. M.] NASA, Goddard Space Flight Ctr, 8800 Greenbelt Rd, Greenbelt, MD 20771 USA; [Snape, J. F.; Whitehouse, M. J.] Swedish Museum Nat Hist, Dept Geosci, SE-10405 Stockholm, Sweden; [Nemchin, A. A.] Curtin Univ, Dept Appl Geol, Perth, WA 6845, Australia</t>
  </si>
  <si>
    <t>University of Manchester; National Aeronautics &amp; Space Administration (NASA); NASA Goddard Space Flight Center; Swedish Museum of Natural History; Curtin University</t>
  </si>
  <si>
    <t>Curran, NM (corresponding author), Univ Manchester, Sch Earth &amp; Environm Sci, Oxford Rd, Manchester M13 9PL, Lancs, England.;Curran, NM (corresponding author), NASA, Goddard Space Flight Ctr, 8800 Greenbelt Rd, Greenbelt, MD 20771 USA.</t>
  </si>
  <si>
    <t>natalie.m.curran@nasa.gov</t>
  </si>
  <si>
    <t>Snape, Joshua/AAV-5834-2020; Snape, Joshua/CAG-4238-2022; Gilmour, Jamie Duncan/G-7515-2011; Whitehouse, Martin J/E-1425-2013</t>
  </si>
  <si>
    <t>Burgess, Ray/0000-0001-7674-8718; Snape, Joshua/0000-0002-1804-420X; Pernet-Fisher, John/0000-0002-2779-175X; Gilmour, Jamie/0000-0003-1990-8636</t>
  </si>
  <si>
    <t>NSF; NASA; Science and Technology Facilities Council [ST/M001253/1, ST/R000751/1]; Royal Society [UF140190]; Knut and Alice Wallenberg Foundation [2012.0097]; Swedish Research Council [VR 621-2012-4370]; University of Iceland; Swedish Museum of Natural History; STFC [ST/R000751/1, ST/M001253/1] Funding Source: UKRI</t>
  </si>
  <si>
    <t>NSF(National Science Foundation (NSF)); NASA(National Aeronautics &amp; Space Administration (NASA)); Science and Technology Facilities Council(UK Research &amp; Innovation (UKRI)Science &amp; Technology Facilities Council (STFC)); Royal Society(Royal Society); Knut and Alice Wallenberg Foundation(Knut &amp; Alice Wallenberg Foundation); Swedish Research Council(Swedish Research Council); University of Iceland; Swedish Museum of Natural History; STFC(UK Research &amp; Innovation (UKRI)Science &amp; Technology Facilities Council (STFC))</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</si>
  <si>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Julia Cartwright, James Day, and two anonymous reviewers for providing helpful reviews on an earlier version of the manuscript and Timothy Jull for editorial handling. We thank Jon Fellows (University of Manchester) for assistance with the ESEM and EMP analyses, and John Cowpe for noble gas expertise. We acknowledge the Science and Technology Facilities Council (PhD studentship to Natalie Curran and consolidated grants ST/M001253/1 and ST/R000751/1) and Royal Society (UF140190) for funding. Joshua Snape, Alexander Nemchin, and Martin Whitehouse acknowledge grant funding from the Knut and Alice Wallenberg Foundation (2012.0097) and the Swedish Research Council (VR 621-2012-4370). The NordSIMS facility operates as a Swedish-Icelandic infrastructure, supported by the Swedish Research Council, the University of Iceland, and the Swedish Museum of Natural History, of which this is publication 595. We also thank Randy Korotev (Washington University) for his informative Lunar Meteorite List, and Chuck Meyer (JSC) and Kevin Righter (JSC) for the Apollo and Lunar meteorite compendiums.</t>
  </si>
  <si>
    <t>10.1111/maps.13295</t>
  </si>
  <si>
    <t>IN7FP</t>
  </si>
  <si>
    <t>WOS:000478847500002</t>
  </si>
  <si>
    <t>Pittarello, L; Yamaguchi, A; Roszjar, J; Debaille, V; Koeberl, C; Claeys, P</t>
  </si>
  <si>
    <t>Pittarello, Lidia; Yamaguchi, Akira; Roszjar, Julia; Debaille, Vinciane; Koeberl, Christian; Claeys, Philippe</t>
  </si>
  <si>
    <t>To be or not to be oxidized: A case study of olivine behavior in the fusion crust of ureilite A 09368 and H chondrites A 09004 and A 09502</t>
  </si>
  <si>
    <t>ATMOSPHERIC ENTRY; COSMIC SPHERULES; COOLING RATE; METEORITE; OXYGEN; FE; CRYSTALLIZATION; TEMPERATURES; PETROLOGY; STONY</t>
  </si>
  <si>
    <t>Meteorite fusion crusts are quenched melt layers formed during meteoroid atmospheric entry, mostly preserved as coating on the meteorite surface. Antarctic ureilite Asuka (A) 09368 and H chondrites A 09004 and A 09502 exhibit well preserved thick fusion crusts, characterized by extensive olivine crystallization. As olivine is one of the major components of most meteorites and its petrologic behavior is well constrained, it can be roughly considered as representative for the bulk meteorite. Thus, in this work, the evolution of olivine in fusion crusts of the above-listed selected samples is investigated. The different shape and chemistry of olivine crystallized in the fusion crust, both as overgrown rim on relic olivine clasts and as new crystals, suggest a general temperature and cooling rate gradient. The occurrence of reverse and oscillatory zoning in individual olivine grains within the fusion crust suggests complex redox reactions. Overall, the investigated fusion crusts exhibit a general oxidation of the relatively reduced initial material. However, evidence of local reduction is preserved. Reduction is likely triggered by the presence of carbon in the ureilite or by overheating during the atmospheric entry. Constraining these processes provides a potential analog for interpreting features observed in cosmic spherules and micrometeorites and for calibrating experiments and numerical models on the formation of fusion crusts.</t>
  </si>
  <si>
    <t>[Pittarello, Lidia; Koeberl, Christian] Univ Vienna, Dept Lithospher Res, Althanstr 14, A-1090 Vienna, Austria; [Yamaguchi, Akira] Natl Inst Polar Res, 10-3 Midori Cho, Tachikawa, Tokyo 1908518, Japan; [Yamaguchi, Akira] SOKENDAI Grad Univ Adv Studies, Sch Multidisciplinary Sci, Dept Polar Sci, Tokyo 1908518, Japan; [Roszjar, Julia; Koeberl, Christian] Nat Hist Museum Vienna, Burgring 7, A-1010 Vienna, Austria; [Debaille, Vinciane] Univ Libre Bruxelles, Lab G Time Geochim Tracage Isotop Mineral &amp; Elema, Ave FD,Roosevelt 50, B-1050 Brussels, Belgium; [Claeys, Philippe] Vrije Univ Brussel, Analyt Environm &amp; Geochem AMGC, Pl Laan 2, B-1050 Brussels, Belgium</t>
  </si>
  <si>
    <t>University of Vienna; Research Organization of Information &amp; Systems (ROIS); National Institute of Polar Research (NIPR) - Japan; Graduate University for Advanced Studies - Japan; Universite Libre de Bruxelles; Vrije Universiteit Brussel</t>
  </si>
  <si>
    <t>Pittarello, L (corresponding author), Univ Vienna, Dept Lithospher Res, Althanstr 14, A-1090 Vienna, Austria.</t>
  </si>
  <si>
    <t>lidia.pittarello@univie.ac.at</t>
  </si>
  <si>
    <t>Pittarello, Lidia/AAF-2904-2019; (VUB), VRIJE UNIVERSITEIT BRUSSEL/B-4895-2008</t>
  </si>
  <si>
    <t>Pittarello, Lidia/0000-0002-1080-0226; (VUB), VRIJE UNIVERSITEIT BRUSSEL/0000-0002-4585-7687; Debaille, Vinciane/0000-0002-6544-4564; Roszjar, Julia/0000-0001-9921-5500; Koeberl, Christian/0000-0001-5155-7405</t>
  </si>
  <si>
    <t>BELAM project - Belgian Science Policy Office (BELSPO); SAMBA project - Belgian Science Policy Office (BELSPO); IUAP Planet Topers project - Belgian Science Policy Office (BELSPO); Austrian Science Fund (FWF); FRS-FNRS; ERC StG ISoSyC</t>
  </si>
  <si>
    <t>BELAM project - Belgian Science Policy Office (BELSPO); SAMBA project - Belgian Science Policy Office (BELSPO); IUAP Planet Topers project - Belgian Science Policy Office (BELSPO); Austrian Science Fund (FWF)(Austrian Science Fund (FWF)); FRS-FNRS(Fonds de la Recherche Scientifique - FNRS); ERC StG ISoSyC</t>
  </si>
  <si>
    <t>S. McKibbin is greatly thanked for his contribution to the initial work. T. Ojima is thanked for providing sample photographs and assistance with the optical microscope at the NIPR. We thank C. Hammer for insightful discussions on the topic. L. Folco, M. Genge, K. Righter, and two anonymous reviewers are acknowledged for their helpful comments on a previous version of the manuscript. The authors thank A. Krzesinska, D. Hezel, and K. Righter for insightful comments that helped to improve this manuscript, and G. Benedix and T. Jull for the editorial handling. This study was funded by the BELAM, SAMBA, and IUAP Planet Topers projects, supported by Belgian Science Policy Office (BELSPO). L. P. is currently funded by the Austrian Science Fund (FWF). Ph. C. also thanks the Research Foundation Flanders (FWO) and the VUB Strategic Research Program. V. D. thanks the FRS-FNRS and ERC StG ISoSyC for present funding.</t>
  </si>
  <si>
    <t>10.1111/maps.13284</t>
  </si>
  <si>
    <t>WOS:000478847500010</t>
  </si>
  <si>
    <t>Litzke, V; Ottensmann, M; Forcada, J; Heitzmann, L; Hoffman, JI</t>
  </si>
  <si>
    <t>Litzke, Vivienne; Ottensmann, Meinolf; Forcada, Jaume; Heitzmann, Louise; Hoffman, Joseph Ivan</t>
  </si>
  <si>
    <t>Heterozygosity at neutral and immune loci is not associated with neonatal mortality due to microbial infection in Antarctic fur seals</t>
  </si>
  <si>
    <t>Antarctic fur seal (Arctocephalus gazella); heterozygosity-fitness correlation (HFC); bacterial infection; inbreeding; pinniped</t>
  </si>
  <si>
    <t>MAJOR HISTOCOMPATIBILITY COMPLEX; FITNESS CORRELATIONS; MICROSATELLITE VARIATION; INBREEDING DEPRESSION; PARENTAL RELATEDNESS; POWER ANALYSIS; GENETIC-BASIS; CANINE SIZE; ROE DEER; POPULATION</t>
  </si>
  <si>
    <t>Numerous studies have reported correlations between the heterozygosity of genetic markers and fitness. These heterozygosity-fitness correlations (HFCs) play a central role in evolutionary and conservation biology, yet their mechanistic basis remains open to debate. For example, fitness associations have been widely reported at both neutral and functional loci, yet few studies have directly compared the two, making it difficult to gauge the relative contributions of genome-wide inbreeding and specific functional genes to fitness. Here, we compared the effects of neutral and immune gene heterozygosity on death from bacterial infection in Antarctic fur seal (Arctocephalus gazella) pups. We specifically developed a panel of 13 microsatellites from expressed immune genes and genotyped these together with 48 neutral loci in 234 individuals, comprising 39 pups that were classified at necropsy as having most likely died of bacterial infection together with a five times larger matched sample of healthy surviving pups. Identity disequilibrium quantified from the neutral markers was positive and significant, indicative of variance in inbreeding within the study population. However, multilocus heterozygosity did not differ significantly between healthy and infected pups at either class of marker, and little evidence was found for fitness associations at individual loci. These results support a previous study of Antarctic fur seals that found no effects of heterozygosity at nine neutral microsatellites on neonatal survival and thereby help to refine our understanding of how HFCs vary across the life cycle. Given that nonsignificant HFCs are underreported in the literature, we also hope that our study will contribute toward a more balanced understanding of the wider importance of this phenomenon.</t>
  </si>
  <si>
    <t>[Litzke, Vivienne; Ottensmann, Meinolf; Hoffman, Joseph Ivan] Bielefeld Univ, Dept Anim Behav, D-33501 Bielefeld, Germany; [Forcada, Jaume; Hoffman, Joseph Ivan] British Antarctic Survey, Cambridge, England; [Heitzmann, Louise] CNRS, Inst Sci Evolut, Montpellier, France</t>
  </si>
  <si>
    <t>University of Bielefeld; UK Research &amp; Innovation (UKRI); Natural Environment Research Council (NERC); NERC British Antarctic Survey; Centre National de la Recherche Scientifique (CNRS); Institut de Recherche pour le Developpement (IRD); Universite de Montpellier</t>
  </si>
  <si>
    <t>Hoffman, JI (corresponding author), Bielefeld Univ, Dept Anim Behav, D-33501 Bielefeld, Germany.</t>
  </si>
  <si>
    <t>joseph.hoffman@uni-bielefeld.de</t>
  </si>
  <si>
    <t>Forcada, Jaume/GYU-0677-2022; Ottensmann, Meinolf/AAF-2032-2020; Hoffman, Joseph/K-7725-2012</t>
  </si>
  <si>
    <t>Ottensmann, Meinolf/0000-0003-3112-6928; Hoffman, Joseph/0000-0001-5895-8949; Litzke, Vivienne/0000-0002-3170-6060</t>
  </si>
  <si>
    <t>10.1002/ece3.5317</t>
  </si>
  <si>
    <t>IN4KU</t>
  </si>
  <si>
    <t>WOS:000478644700009</t>
  </si>
  <si>
    <t>Weldrick, CK; Trebilco, R; Davies, DM; Swadling, KM</t>
  </si>
  <si>
    <t>Weldrick, Christine K.; Trebilco, Rowan; Davies, Diana M.; Swadling, Kerrie M.</t>
  </si>
  <si>
    <t>Trophodynamics of Southern Ocean pteropods on the southern Kerguelen Plateau</t>
  </si>
  <si>
    <t>Clio pyramidata; Clione limacina; isotopic niche; size-based; Spongiobranchaea australis; trophic position</t>
  </si>
  <si>
    <t>STABLE-ISOTOPE RATIOS; TROPHIC NICHE WIDTH; MIDWATER FOOD-WEB; CLIONE-LIMACINA; CLIMATE-CHANGE; ANTARCTIC PTEROPODS; CARBON ISOTOPES; FATTY-ACIDS; ROSS SEA; LIPIDS</t>
  </si>
  <si>
    <t>Pteropods are a group of small marine gastropods that are highly sensitive to multiple stressors associated with climate change. Their trophic ecology is not well studied, with most research having focused primarily on the effects of ocean acidification on their fragile, aragonite shells. Stable isotopes analysis coupled with isotope-based Bayesian niche metrics is useful for characterizing the trophic structure of biological assemblages. These approaches have not been implemented for pteropod assemblages. We used isotope-based Bayesian niche metrics to investigate the trophic relationships of three co-occurring pteropod species, with distinct feeding behaviors, sampled from the Southern Kerguelen Plateau area in the Indian Sector of the Southern Ocean-a biologically and economically important but poorly studied region. Two of these species were gymnosomes (shell-less pteropods), which are traditionally regarded as specialist predators on other pteropods, and the third species was a thecosome (shelled pteropod), which are typically generalist omnivores. For each species, we aimed to understand (a) variability and overlap among isotopic niches; and (b) whether there was a relationship between body size and trophic position. Observed isotopic niche areas were broadest for gymnosomes, especially Clione limacina antarctica, whose observed isotopic niche area was wider than expected on both delta C-13 and delta N-15 value axes. We also found that trophic position significantly increased with increasing body length for Spongiobranchaea australis. We found no indication of a dietary shift toward increased trophic position with increasing body size for Clio pyramidata f. sulcata. Trophic positions ranged from 2.8 to 3.5, revealing an assemblage composed of both primary and secondary consumer behaviors. This study provides a comprehensive comparative analysis on trophodynamics in Southern Ocean pteropod species, and supports previous studies using gut content, fatty acid and stable isotope analyses. Combined, our results illustrate differences in intraspecific trophic behavior that may be attributed to differential feeding strategies at species level.</t>
  </si>
  <si>
    <t>[Weldrick, Christine K.; Trebilco, Rowan; Swadling, Kerrie M.] Univ Tasmania, Inst Marine &amp; Antarctic Studies, Locked Bag 129, Hobart, Tas 7001, Australia; [Weldrick, Christine K.; Trebilco, Rowan; Davies, Diana M.; Swadling, Kerrie M.] Univ Tasmania, Antarctic Climate &amp; Ecosyst Cooperat Res Ctr, Hobart, Tas, Australia; [Davies, Diana M.] CSIRO Oceans &amp; Atmosphere, Hobart, Tas, Australia</t>
  </si>
  <si>
    <t>University of Tasmania; University of Tasmania; Antarctic Climate &amp; Ecosystems Cooperative Research Centre (ACE CRC); Commonwealth Scientific &amp; Industrial Research Organisation (CSIRO)</t>
  </si>
  <si>
    <t>Weldrick, CK (corresponding author), Univ Tasmania, Inst Marine &amp; Antarctic Studies, Locked Bag 129, Hobart, Tas 7001, Australia.</t>
  </si>
  <si>
    <t>christine.weldrick@utas.edu.au</t>
  </si>
  <si>
    <t>Trebilco, Rowan/I-5311-2012; Weldrick, Christine/N-2617-2017</t>
  </si>
  <si>
    <t>Trebilco, Rowan/0000-0001-9712-8016; Weldrick, Christine/0000-0003-1099-438X; Swadling, Kerrie/0000-0002-7620-841X; Davies, Diana M./0000-0001-6304-3938</t>
  </si>
  <si>
    <t>10.1002/ece3.5380</t>
  </si>
  <si>
    <t>WOS:000478644700019</t>
  </si>
  <si>
    <t>Jin, QH; Fu, ZY; Guan, LP; Jiang, HY</t>
  </si>
  <si>
    <t>Jin, Qinghao; Fu, Zhiyang; Guan, Liping; Jiang, Haiying</t>
  </si>
  <si>
    <t>Syntheses of Benzo[d]Thiazol-2(3H)-One Derivatives and Their Antidepressant and Anticonvulsant Effects</t>
  </si>
  <si>
    <t>benzo[d]thiazol; synthesis; antarctic-derived fungus; antidepressant; anticonvulsant</t>
  </si>
  <si>
    <t>ANTIEPILEPTIC DRUG DEVELOPMENT; IN-VITRO; BEHAVIORAL DESPAIR; BENZOTHIAZOLE; DEPRESSION; DESIGN; MICE</t>
  </si>
  <si>
    <t>Thirty-four new benzo[d]thiazol derivatives 2a-2i, 3a-3r, and 4a-4g were synthesized and investigated for their potential antidepressant and anticonvulsant effects. In a forced swimming test, 2c and 2d showed the highest antidepressant and anticonvulsant effects. 2c and 2d displayed a higher percentage decrease in immobility duration (89.96% and 89.62%, respectively) than that of fluoxetine (83.62%). In the maximal electroshock seizure test, 3n and 3q showed the highest anticonvulsant effect, with ED50 values of 46.1 and 64.3 mg kg(-)(1), and protective indices of 6.34 and 4.11, respectively, which were similar to those of phenobarbital or valproate. We also found that the mechanism for the antidepressant activity of 2c and 2d may be via increasing the concentrations of serotonin and norepinephrine.</t>
  </si>
  <si>
    <t>[Jin, Qinghao] Zhejiang Ocean Univ, Donghai Sci &amp; Technol Coll, Zhoushan 316000, Peoples R China; [Fu, Zhiyang; Guan, Liping] Zhejiang Ocean Univ, Food &amp; Pharm Coll, Zhoushan 316022, Peoples R China; [Jiang, Haiying] Jiaxing Univ, Coll Med, Jiaxing 314001, Peoples R China</t>
  </si>
  <si>
    <t>Zhejiang Ocean University; Zhejiang Ocean University; Jiaxing University</t>
  </si>
  <si>
    <t>Guan, LP (corresponding author), Zhejiang Ocean Univ, Food &amp; Pharm Coll, Zhoushan 316022, Peoples R China.;Jiang, HY (corresponding author), Jiaxing Univ, Coll Med, Jiaxing 314001, Peoples R China.</t>
  </si>
  <si>
    <t>glp730@163.com; jiangyang7689@aliyun.com</t>
  </si>
  <si>
    <t>National Natural Science Foundation of China [81560149, 81760207]</t>
  </si>
  <si>
    <t>National Natural Science Foundation of China(National Natural Science Foundation of China (NSFC))</t>
  </si>
  <si>
    <t>This study was financially supported by the National Natural Science Foundation of China (No. 81560149; No. 81760207).</t>
  </si>
  <si>
    <t>10.3390/md17070430</t>
  </si>
  <si>
    <t>IN4NA</t>
  </si>
  <si>
    <t>Green Published, gold, Green Submitted</t>
  </si>
  <si>
    <t>WOS:000478650600023</t>
  </si>
  <si>
    <t>Liao, L; Su, SY; Zhao, B; Fan, CQ; Zhang, J; Li, HR; Chen, B</t>
  </si>
  <si>
    <t>Liao, Li; Su, Shiyuan; Zhao, Bin; Fan, Chengqi; Zhang, Jin; Li, Huirong; Chen, Bo</t>
  </si>
  <si>
    <t>Biosynthetic Potential of a Novel Antarctic Actinobacterium Marisediminicola antarctica ZS314T Revealed by Genomic Data Mining and Pigment Characterization</t>
  </si>
  <si>
    <t>Marisediminicola; Antarctica; carotenoid; actinobacteria; natural products; gene cluster</t>
  </si>
  <si>
    <t>GENE-CLUSTER; PROTON PUMP; CAROTENOIDS; BACTERIUM; XANTHORHODOPSIN; PREDICTION; PATHWAY; C-30; C-40</t>
  </si>
  <si>
    <t>Rare actinobacterial species are considered as potential resources of new natural products. Marisediminicola antarctica ZS314(T) is the only type strain of the novel actinobacterial genus Marisediminicola isolated from intertidal sediments in East Antarctica. The strain ZS314(T) was able to produce reddish orange pigments at low temperatures, showing characteristics of carotenoids. To understand the biosynthetic potential of this strain, the genome was completely sequenced for data mining. The complete genome had 3,352,609 base pairs (bp), much smaller than most genomes of actinomycetes. Five biosynthetic gene clusters (BGCs) were predicted in the genome, including a gene cluster responsible for the biosynthesis of C50 carotenoid, and four additional BGCs of unknown oligosaccharide, salinixanthin, alkylresorcinol derivatives, and NRPS (non-ribosomal peptide synthetase) or amino acid-derived compounds. Further experimental characterization indicated that the strain may produce C.p.450-like carotenoids, supporting the genomic data analysis. A new xanthorhodopsin gene was discovered along with the analysis of the salinixanthin biosynthetic gene cluster. Since little is known about this genus, this work improves our understanding of its biosynthetic potential and provides opportunities for further investigation of natural products and strategies for adaptation to the extreme Antarctic environment.</t>
  </si>
  <si>
    <t>[Liao, Li; Su, Shiyuan; Zhao, Bin; Zhang, Jin; Li, Huirong; Chen, Bo] Polar Res Inst China, SOA Key Lab Polar Sci, 451 Jinqiao Rd, Shanghai 200136, Peoples R China; [Su, Shiyuan] Shanghai Ocean Univ, Coll Marine Sci, Shanghai 201306, Peoples R China; [Zhao, Bin] East China Univ Sci &amp; Technol, Sch Biotechnol, Shanghai 200237, Peoples R China; [Fan, Chengqi] Chinese Acad Fishery Sci, East China Sea Fisheries Res Inst, Minist Agr, Key Lab East China Sea &amp; Ocean Fishery Resources, Shanghai 200090, Peoples R China</t>
  </si>
  <si>
    <t>Polar Research Institute of China; Shanghai Ocean University; East China University of Science &amp; Technology; Ministry of Agriculture &amp; Rural Affairs; Chinese Academy of Fishery Sciences; East China Sea Fisheries Research Institute, CAFS</t>
  </si>
  <si>
    <t>Liao, L; Chen, B (corresponding author), Polar Res Inst China, SOA Key Lab Polar Sci, 451 Jinqiao Rd, Shanghai 200136, Peoples R China.</t>
  </si>
  <si>
    <t>liaoli@pric.org.cn; chenbo@pric.org.cn</t>
  </si>
  <si>
    <t>Liao, Li/0000-0002-8548-1928</t>
  </si>
  <si>
    <t>National Key R&amp;D Program of China [2018YFC1406702]; National Natural Science Foundation of China [41406181]; State Key Laboratory of Microbial Technology Open Projects Fund</t>
  </si>
  <si>
    <t>National Key R&amp;D Program of China; National Natural Science Foundation of China(National Natural Science Foundation of China (NSFC)); State Key Laboratory of Microbial Technology Open Projects Fund</t>
  </si>
  <si>
    <t>This research was funded by the National Key R&amp;D Program of China (2018YFC1406702), National Natural Science Foundation of China (Grant No. 41406181), and State Key Laboratory of Microbial Technology Open Projects Fund (Project NO. M2017-03).</t>
  </si>
  <si>
    <t>10.3390/md17070388</t>
  </si>
  <si>
    <t>WOS:000478650600048</t>
  </si>
  <si>
    <t>Faluaburu, MS; Nakai, R; Imura, S; Naganuma, T</t>
  </si>
  <si>
    <t>Faluaburu, Merry Sailonga; Nakai, Ryosuke; Imura, Satoshi; Naganuma, Takeshi</t>
  </si>
  <si>
    <t>Phylotypic Characterization of Mycobionts and Photobionts of Rock Tripe Lichen in East Antarctica</t>
  </si>
  <si>
    <t>MICROORGANISMS</t>
  </si>
  <si>
    <t>lichens; symbiosis; mycobionts; photobionts; chloroplasts; cyanobacteria</t>
  </si>
  <si>
    <t>CD-HIT; DIVERSITY; FUNGI; UMBILICARIA; ASCOMYCOTA; EVOLUTION; SOIL; COMMUNITIES; SENSITIVITY; MICROBIOME</t>
  </si>
  <si>
    <t>Saxicolous rock ripe lichens that grow on rocks in the East Antarctic fellfields were sampled for phylotypic characterization of its constituent mycobionts (fungi) and photobionts (algae and cyanobacteria). The rock tripe lichen-forming fungal and algal phylotypes were classified under the common lichen-forming genera of ascomycetes, namely, Umbilicaria, and green algae, namely, Trebouxia and Coccomyxa. However, phylotypes of the green algal chloroplasts and the lichen-associated cyanobacteria showed unexpectedly high diversity. The detected chloroplast phylotypes were not fully affiliated with the green algal genera Trebouxia or Coccomyxa. The predominant chloroplast phylotype demonstrated maximum resemblance to Neglectella solitaria, which is neither a known Antarctic species nor a typical lichen photobiont. Another dominant chloroplast phylotype belonged to the atypical Antarctic green algae family. Cyanobacterial phylotypes were dominated by those affiliated with the Microcoleus species rather than the well-known lichen-associates, Nostoc species. The occurrences of these Microcoleus-affiliated cyanobacterial phylotypes were specifically abundant within the Yukidori Valley site, one of the Antarctic Specially Protected Areas (ASPA). The ASPA site, along with another 50 km-distant site, yielded most of the cryptic diversity in the phylotypes of chloroplasts and cyanobacteria, which may contribute to the phenotypic variability within the rock tripe lichen photobionts.</t>
  </si>
  <si>
    <t>[Faluaburu, Merry Sailonga; Naganuma, Takeshi] Hiroshima Univ, Grad Sch Biosphere Sci, 1-4-4 Kagamiyama, Higashihiroshima, Hiroshima 7398528, Japan; [Nakai, Ryosuke] Natl Inst Adv Ind Sci &amp; Technol, Bioprod Res Inst, Appl Mol Microbiol Res Grp, 2-17-2-1 Tsukisamu Higashi, Sapporo, Hokkaido 0628517, Japan; [Imura, Satoshi] Res Org Informat &amp; Syst, Natl Inst Polar Res, 10-3 Midori Cho, Tachikawa, Tokyo 1908518, Japan; [Imura, Satoshi] SOKENDAI, 10-3 Midori Cho, Tachikawa, Tokyo 1908518, Japan; [Naganuma, Takeshi] Hiroshima Univ, Grad Sch Integrated Sci Life, 1-4-4 Kagamiyama, Higashihiroshima, Hiroshima 7398528, Japan</t>
  </si>
  <si>
    <t>Hiroshima University; National Institute of Advanced Industrial Science &amp; Technology (AIST); Research Organization of Information &amp; Systems (ROIS); National Institute of Polar Research (NIPR) - Japan; Hiroshima University</t>
  </si>
  <si>
    <t>Naganuma, T (corresponding author), Hiroshima Univ, Grad Sch Biosphere Sci, 1-4-4 Kagamiyama, Higashihiroshima, Hiroshima 7398528, Japan.;Naganuma, T (corresponding author), Hiroshima Univ, Grad Sch Integrated Sci Life, 1-4-4 Kagamiyama, Higashihiroshima, Hiroshima 7398528, Japan.</t>
  </si>
  <si>
    <t>takn@hiroshima-u.ac.jp</t>
  </si>
  <si>
    <t>Naganuma, Takeshi/AAX-7064-2021; Nakai, Ryosuke/O-6217-2015</t>
  </si>
  <si>
    <t>Naganuma, Takeshi/0000-0003-1925-9461; Nakai, Ryosuke/0000-0002-3078-6695</t>
  </si>
  <si>
    <t>Japan Society for the Promotion of Science (JSPS) KAKENHI [JP16H05765]; National Institute of Polar Research (NIPR) of Japan through General Collaboration Project [26-42, 29-28]</t>
  </si>
  <si>
    <t>Japan Society for the Promotion of Science (JSPS) KAKENHI(Ministry of Education, Culture, Sports, Science and Technology, Japan (MEXT)Japan Society for the Promotion of ScienceGrants-in-Aid for Scientific Research (KAKENHI)); National Institute of Polar Research (NIPR) of Japan through General Collaboration Project</t>
  </si>
  <si>
    <t>This study was supported by Japan Society for the Promotion of Science (JSPS) KAKENHI Grant Number JP16H05765 and by the National Institute of Polar Research (NIPR) of Japan through General Collaboration Project nos. 26-42 and 29-28.</t>
  </si>
  <si>
    <t>2076-2607</t>
  </si>
  <si>
    <t>Microorganisms</t>
  </si>
  <si>
    <t>10.3390/microorganisms7070203</t>
  </si>
  <si>
    <t>IN4AY</t>
  </si>
  <si>
    <t>WOS:000478618800004</t>
  </si>
  <si>
    <t>Crous, PW; Carnegie, AJ; Wingfield, MJ; Sharma, R; Mughini, G; Noordeloos, ME; Santini, A; Shouche, YS; Bezerra, JDP; Dima, B; Guarnaccia, V; Imrefi, I; Jurjevic, Z; Knapp, DG; Kovacs, GM; Magista, D; Perrone, G; Rama, T; Rebriev, YA; Shivas, RG; Singh, SM; Souza-Motta, CM; Thangavel, R; Adhapure, NN; Alexandrova, AV; Alfenas, AC; Alfenas, RF; Alvarado, P; Alves, AL; Andrade, DA; Andrade, JP; Barbosa, RN; Barili, A; Barnes, CW; Baseia, IG; Bellanger, JM; Berlanas, C; Bessette, AE; Bessette, AR; Biketova, AY; Bomfim, FS; Brandrud, TE; Bransgrove, K; Brito, ACQ; Cano-Lira, JF; Cantillo, T; Cavalcanti, AD; Cheewangkoon, R; Chikowski, RS; Conforto, C; Cordeiro, TRL; Craine, JD; Cruz, R; Damm, U; de Oliveira, RJV; de Souza, JT; de Souza, HG; Dearnaley, JDW; Dimitrov, RA; Dovana, F; Erhard, A; Esteve-Raventós, F; Félix, CR; Ferisin, G; Fernandes, RA; Ferreira, RJ; Ferro, LO; Figueiredo, CN; Frank, JL; Freire, KTLS; García, D; Gené, J; Gesiorska, A; Gibertoni, TB; Gondra, RAG; Gouliamova, DE; Gramaje, D; Guard, F; Gusmao, LFP; Haitook, S; Hirooka, Y; Houbraken, J; Hubka, V; Inamdar, A; Iturriaga, T; Iturrieta-González, I; Jadan, M; Jiang, N; Justo, A; Kachalkin, AV; Kapitonov, VI; Karadelev, M; Karakehian, J; Kasuya, T; Kautmanová, I; Kruse, J; Kusan, I; Kuznetsova, TA; Landell, MF; Larsson, KH; Lee, HB; Lima, DX; Lira, CRS; Machado, AR; Madrid, H; Magalhaes, OMC; Majerova, H; Malysheva, EF; Mapperson, RR; Marbach, PAS; Martín, MP; Martín-Sanz, A; Matocec, N; McTaggart, AR; Mello, JF; Melo, RFR; Mesic, A; Michereff, SJ; Miller, AN; Minoshima, A; Molinero-Ruiz, L; Morozova, OV; Mosoh, D; Nabe, M; Naik, R; Nara, K; Nascimento, SS; Neves, RP; Olariaga, I; Oliveira, RL; Oliveira, TGL; Ono, T; Ordoñez, ME; Ottoni, AD; Paiva, LM; Pancorbo, F; Pant, B; Pawlowska, J; Peterson, SW; Raudabaugh, DB; Rodríguez-Andrade, E; Rubio, E; Rusevska, K; Santiago, ALCMA; Santos, ACS; Santos, C; Sazanova, NA; Shah, S; Sharma, J; Silva, BDB; Siquier, JL; Sonawane, MS; Stchigel, AM; Svetasheva, T; Tamakeaw, N; Telleria, MT; Tiago, PV; Tian, CM; Tkalcec, Z; Tomashevskaya, MA; Truong, HH; Vecherskii, MV; Visagie, CM; Vizzini, A; Yilmaz, N; Zmitrovich, IV; Zvyagina, EA; Boekhout, T; Kehlet, T; Læssoe, T; Groenewald, JZ</t>
  </si>
  <si>
    <t>Crous, P. W.; Carnegie, A. J.; Wingfield, M. J.; Sharma, R.; Mughini, G.; Noordeloos, M. E.; Santini, A.; Shouche, Y. S.; Bezerra, J. D. P.; Dima, B.; Guarnaccia, V.; Imrefi, I.; Jurjevic, Z.; Knapp, D. G.; Kovacs, G. M.; Magista, D.; Perrone, G.; Rama, T.; Rebriev, Y. A.; Shivas, R. G.; Singh, S. M.; Souza-Motta, C. M.; Thangavel, R.; Adhapure, N. N.; Alexandrova, A. V.; Alfenas, A. C.; Alfenas, R. F.; Alvarado, P.; Alves, A. L.; Andrade, D. A.; Andrade, J. P.; Barbosa, R. N.; Barili, A.; Barnes, C. W.; Baseia, I. G.; Bellanger, J. -M.; Berlanas, C.; Bessette, A. E.; Bessette, A. R.; Biketova, A. Yu.; Bomfim, F. S.; Brandrud, T. E.; Bransgrove, K.; Brito, A. C. Q.; Cano-Lira, J. F.; Cantillo, T.; Cavalcanti, A. D.; Cheewangkoon, R.; Chikowski, R. S.; Conforto, C.; Cordeiro, T. R. L.; Craine, J. D.; Cruz, R.; Damm, U.; de Oliveira, R. J. V.; de Souza, J. T.; de Souza, H. G.; Dearnaley, J. D. W.; Dimitrov, R. A.; Dovana, F.; Erhard, A.; Esteve-Raventos, F.; Felix, C. R.; Ferisin, G.; Fernandes, R. A.; Ferreira, R. J.; Ferro, L. O.; Figueiredo, C. N.; Frank, J. L.; Freire, K. T. L. S.; Garcia, D.; Gene, J.; Gesiorska, A.; Gibertoni, T. B.; Gondra, R. A. G.; Gouliamova, D. E.; Gramaje, D.; Guard, F.; Gusmao, L. F. P.; Haitook, S.; Hirooka, Y.; Houbraken, J.; Hubka, V.; Inamdar, A.; Iturriaga, T.; Iturrieta-Gonzalez, I.; Jadan, M.; Jiang, N.; Justo, A.; Kachalkin, A. V.; Kapitonov, V. I.; Karadelev, M.; Karakehian, J.; Kasuya, T.; Kautmanova, I.; Kruse, J.; Kusan, I.; Kuznetsova, T. A.; Landell, M. F.; Larsson, K. -H.; Lee, H. B.; Lima, D. X.; Lira, C. R. S.; Machado, A. R.; Madrid, H.; Magalhaes, O. M. C.; Majerova, H.; Malysheva, E. F.; Mapperson, R. R.; Marbach, P. A. S.; Martin, M. P.; Martin-Sanz, A.; Matocec, N.; McTaggart, A. R.; Mello, J. F.; Melo, R. F. R.; Mesic, A.; Michereff, S. J.; Miller, A. N.; Minoshima, A.; Molinero-Ruiz, L.; Morozova, O. V.; Mosoh, D.; Nabe, M.; Naik, R.; Nara, K.; Nascimento, S. S.; Neves, R. P.; Olariaga, I.; Oliveira, R. L.; Oliveira, T. G. L.; Ono, T.; Ordonez, M. E.; Ottoni, A. de M.; Paiva, L. M.; Pancorbo, F.; Pant, B.; Pawlowska, J.; Peterson, S. W.; Raudabaugh, D. B.; Rodriguez-Andrade, E.; Rubio, E.; Rusevska, K.; Santiago, A. L. C. M. A.; Santos, A. C. S.; Santos, C.; Sazanova, N. A.; Shah, S.; Sharma, J.; Silva, B. D. B.; Siquier, J. L.; Sonawane, M. S.; Stchigel, A. M.; Svetasheva, T.; Tamakeaw, N.; Telleria, M. T.; Tiago, P. V.; Tian, C. M.; Tkalcec, Z.; Tomashevskaya, M. A.; Truong, H. H.; Vecherskii, M. V.; Visagie, C. M.; Vizzini, A.; Yilmaz, N.; Zmitrovich, I. V.; Zvyagina, E. A.; Boekhout, T.; Kehlet, T.; Laessoe, T.; Groenewald, J. Z.</t>
  </si>
  <si>
    <t>Fungal Planet description sheets: 868-950</t>
  </si>
  <si>
    <t>PERSOONIA</t>
  </si>
  <si>
    <t>ITS nrDNA barcodes; LSU; new taxa; systematics</t>
  </si>
  <si>
    <t>BAYESIAN PHYLOGENETIC INFERENCE; STEM-END ROT; SP. NOV.; GENUS CALVATIA; GENERA; MYCOSPHAERELLA; DIVERSITY; YEAST; IDENTIFICATION; PHIALOCEPHALA</t>
  </si>
  <si>
    <t>Novel species of fungi described in this study include those from various countries as follows: Australia, Chaetomella pseudocircinoseta and Coniella pseudodiospyri on Eucalyptus microcorys leaves, Cladophialophora eucalypti, Teratosphaeria dunnii and Vermiculariopsiella dunnii on Eucalyptus dunnii leaves, Cylindrium grande and Hypsotheca eucalyptorum on Eucalyptus grandis leaves, Elsinoe salignae on Eucalyptus saligna leaves, Marasmius lebeliae on litter of regenerating subtropical rainforest, Phialoseptomonium eucalypti (incl. Phialoseptomonium gen. nov.) on Eucalyptus grandis x camaldulensis leaves, Phlogicylindrium pawpawense on Eucalyptus tereticornis leaves, Phyllosticta longicauda as an endophyte from healthy Eustrephus latifolius leaves, Pseudosydowia eucalyptorum on Eucalyptus sp. leaves, Saitozyma wallum on Banksia aemula leaves, Teratosphaeria henryi on Corymbia henryi leaves. Brazil, Aspergillus bezerrae, Backusella azygospora, Mariannaea terricola and Talaromyces pernambucoensis from soil, Calonectria matogrossensis on Eucalyptus urophylla leaves, Calvatia brasiliensis on soil, Carcinomyces nordestinensis on Bromelia antiacantha leaves, Dendryphiella stromaticola on small branches of an unidentified plant, Nigrospora brasiliensis on Nopalea cochenillifera leaves, Penicillium alagoense as a leaf endophyte on a Miconia sp., Podosordaria nigrobrunnea on dung, Spegazzinia bromeliacearum as a leaf endophyte on Tilandsia catimbauensis, Xylobolus brasiliensis on decaying wood. Bulgaria, Kazachstania molopis from the gut of the beetle Molops piceus. Croatia, Mollisia endocrystallina from a fallen decorticated Picea abies tree trunk. Ecuador, Hygrocybe rodomaculata on soil. Hungary, Alfoldia vorosii (incl.Alfoldia gen. nov.) from Juniperus communis roots, Kiskunsagia ubrizsyi (incl. Kiskunsagia gen. nov.) from Fumana procumbens roots. India, Aureobasidium tremulum as laboratory contaminant, Leucosporidium himalayensis and Naganishia indica from windblown dust on glaciers. Italy, Neodevriesia cycadicola on Cycas sp. leaves, Pseudocercospora pseudomyrticola on Myrtus communis leaves, Ramularia pistaciae on Pistacia lentiscus leaves, Neognomoniopsis quercina (incl. Neognomoniopsis gen. nov.) on Quercus ilex leaves. Japan, Diaporthe fructicola on Passiflora edulis x P. edulis f. flavicarpa fruit, Entoloma nipponicum on leaf litter in a mixed Cryptomeria japonica and Acer spp. forest. Macedonia, Astraeus macedonicus on soil. Malaysia, Fusicladium eucalyptigenum on Eucalyptus sp. twigs, Neoacrodontiella eucalypti (incl. Neoacrodontiella gen. nov.) on Eucalyptus urophylla leaves. Mozambique, Meliola gorongosensis on dead Philenoptera violacea leaflets. Nepal, Coniochaeta dendrobiicola from Dendriobium lognicornu roots. New Zealand, Neodevriesia sexualis and Thozetella neonivea on Archontophoenix cunninghamiana leaves. Norway, Calophoma sandfjordenica from a piece of board on a rocky shoreline, Clavaria parvispora on soil, Didymella finnmarkica from a piece of Pinus sylvestris driftwood. Poland, Sugiyamaella trypani from soil. Portugal, Colletotrichum feijoicola from Acca sellowiana. Russia, Crepidotus tobolensis on Populus tremula debris, Entoloma ekaterinae, Entoloma erhardii and Suillus gastroflavus on soil, Nakazawaea ambrosiae from the galleries of Ips typographus under the bark of Picea abies. Slovenia, Pluteus ludwigii on twigs of broadleaved trees. South Africa, Anungitiomyces stellenboschiensis (incl. Anungitiomyces gen. nov.) and Niesslia stellenboschiana on Eucalyptus sp. leaves, Beltraniella pseudoportoricensis on Podocarpus falcatus leaf litter, Corynespora encephalarti on Encephalartos sp. leaves, Cytospora pavettae on Pavetta revoluta leaves, Helminthosporium erythrinicola on Erythrina humeana leaves, Helminthosporium syzygii on a Syzygium sp. barkcanker, Libertasomyces aloeticus on Aloe sp. leaves, Penicillium lunae from Musa sp. fruit, Phyllosticta lauridiae on Lauridia tetragona leaves, Pseudotruncatella bolusanthi (incl. Pseudotruncatellaceae fam. nov.) and Dactylella bolusanthi on Bolusanthus speciosus leaves. Spain, Apenidiella foetida on submerged plant debris, Inocybe grammatoides on Quercus ilex subsp. ilex forest humus, Ossicaulis salomii on soil, Phialemonium guarroi from soil. Thailand, Pantospora chromolaenae on Chromolaena odorata leaves. Ukraine, Cadophora helianthi from Helianthus annuus stems. USA, Boletus pseudopinophilus on soil under slash pine, Botryotrichum foricae, Penicillium americanum and Penicillium minnesotense from air. Vietnam, Lycoperdon vietnamense on soil. Morphological and culture characteristics are supported by DNA barcodes.</t>
  </si>
  <si>
    <t>[Crous, P. W.; Houbraken, J.; Boekhout, T.; Groenewald, J. Z.] Westerdijk Fungal Biodivers Inst, POB 85167, NL-3508 AD Utrecht, Netherlands; [Crous, P. W.; Wingfield, M. J.; Visagie, C. M.; Yilmaz, N.] Univ Pretoria, Fac Nat &amp; Agr Sci, Dept Biochem Genet &amp; Microbiol, FABI, Private Bag X20, ZA-0028 Pretoria, South Africa; [Carnegie, A. J.] NSW Dept Primary Ind, Forest Hlth &amp; Biosecur, Forestry, Level 12,10 Valentine Ave, Parramatta, NSW 2150, Australia; [Sharma, R.; Shouche, Y. S.; Mosoh, D.; Sonawane, M. S.] SP Pune Univ, Natl Ctr Cell Sci, NCMR, Pune 411007, Maharashtra, India; [Mughini, G.] Res Ctr Forestry &amp; Wood CREA, Via Valle Quist 27, I-00166 Rome, Italy; [Noordeloos, M. E.] Naturalis Biodivers Ctr, Sect Bot, POB 9517, NL-2300 RA Leiden, Netherlands; [Santini, A.] CNR, Inst Sustainable Plant Protect, I-50019 Sesto Fiorentino, FI, Italy; [Bezerra, J. D. P.; Souza-Motta, C. M.; Alves, A. L.; Barbosa, R. N.; Bomfim, F. S.; Brito, A. C. Q.; Cavalcanti, A. D.; Chikowski, R. S.; Cordeiro, T. R. L.; Cruz, R.; Ferreira, R. J.; Ferro, L. O.; Freire, K. T. L. S.; Gibertoni, T. B.; Lima, D. X.; Lira, C. R. S.; Machado, A. R.; Magalhaes, O. M. C.; Mello, J. F.; Melo, R. F. R.; Nascimento, S. S.; Neves, R. P.; Oliveira, T. G. L.; Ottoni, A. de M.; Paiva, L. M.; Santiago, A. L. C. M. A.; Santos, A. C. S.; Tiago, P. V.] Univ Fed Pernambuco, Dept Micol, Recife, PE, Brazil; [Dima, B.; Imrefi, I.; Knapp, D. G.; Kovacs, G. M.] Eotvos Lorand Univ, Inst Biol, Dept Plant Anat, Pazmany Peter Setany 1-C, H-1117 Budapest, Hungary; [Guarnaccia, V.] Univ Torino, DiSAFA, Largo Paolo Braccini 2, I-10095 Grugliasco, TO, Italy; [Jurjevic, Z.; Erhard, A.] EMSL Analyt Inc, 200 Route 130 North, Cinnaminson, NJ 08077 USA; [Magista, D.; Perrone, G.] CNR, Inst Sci Food Prod, Via Amendola 122-O, I-70126 Bari, Italy; [Rama, T.] Arctic Univ Norway, Univ Tromso, Norwegian Coll Fishery Sci, Marbio, Tromso, Norway; [Rebriev, Y. A.] Russian Acad Sci, South Sci Ctr, Rostov Na Donu, Russia; [Shivas, R. G.; Dearnaley, J. D. W.; Kruse, J.; Mapperson, R. R.] Univ Southern Queensland, Ctr Crop Hlth, Toowoomba, Qld 4350, Australia; [Singh, S. M.; Naik, R.] Natl Ctr Antarctic &amp; Ocean Res, Vasco Da Gama 403804, Goa, India; [Singh, S. M.] Banaras Hindu Univ, Varanasi, Uttar Pradesh, India; [Thangavel, R.] Minist Primary Ind, Plant Hlth &amp; Environm Lab, POB 2095, Auckland 1140, New Zealand; [Adhapure, N. N.; Inamdar, A.] Vivekanand Arts Sardar Dalipsingh Commerce &amp; Sci, Dept Biotechnol &amp; Microbiol, Aurangabad 431001, Maharashtra, India; [Alexandrova, A. V.] Lomonosov Moscow State Univ MSU, Fac Biol, 1,12 Leninskie Gory Str, Moscow 119234, Russia; [Alexandrova, A. V.] Joint Russian Vietnamese Trop Res &amp; Technol Ctr, Hanoi, Vietnam; [Alexandrova, A. V.] RUDN Univ, Peoples Friendship Univ Russia, 6 Miklouho Maclay Str, Moscow 117198, Russia; [Alfenas, A. C.] Univ Fed Vicosa, Dept Fitopatol, Vicosa, MG, Brazil; [Alfenas, R. F.] Univ Fed Mato Grosso, Dept Engn Florestal, Cuiaba, Brazil; [Alvarado, P.] ALVALAB, Avda Bruselas 2-3B, Oviedo 33011, Spain; [Andrade, D. A.; Felix, C. R.; Landell, M. F.] Univ Fed Alagoas, ICBS, Maceio, Brazil; [Andrade, J. P.] Univ Estadual Feira de Santana, Av Transnordestina S-N, BR-44036900 Feira De Santana, BA, Brazil; [Barili, A.; Barnes, C. W.; Ordonez, M. E.] Pontificia Univ Catolica Ecuador, Escuela Ciencias Biol, Av 12 Octubre 1076 &amp; Roca, Quito, Ecuador; [Baseia, I. G.] Univ Fed Rio Grande do Norte, Ctr Biociencias, Dept Bot &amp; Zool, Campus Univ, BR-59072970 Natal, RN, Brazil; [Bellanger, J. -M.] Univ Paul Valery Montpellier, Univ Montpellier, CNRS, CEFE,EPHE,IRD,INSERM,Campus CNRS, 1919 Route Mende, F-34293 Montpellier, France; [Berlanas, C.; Gramaje, D.] Univ La Rioja, CSIC, Gobierno La Rioja, Inst Ciencias &amp; Vino, Ctra LO-20,Salida 13, Logrono 26007, La Rioja, Spain; [Bessette, A. E.; Bessette, A. R.] 170 Live Oak Circle, St Marys, GA 31558 USA; [Biketova, A. Yu.] Hungarian Acad Sci, Biol Res Ctr, Synthet &amp; Syst Biol Unit, H-6726 Szeged, Hungary; [Brandrud, T. E.] Norwegian Inst Nat Res, Gaustadalleen 21, NO-0349 Oslo, Norway; [Bransgrove, K.] Plant Pathol Herbarium, Dept Agr &amp; Fisheries, Dutton Pk, Brisbane, Qld 4102, Australia; [Cano-Lira, J. F.; Garcia, D.; Gene, J.; Iturrieta-Gonzalez, I.; Rodriguez-Andrade, E.; Stchigel, A. M.] Univ Rovira &amp; Virgili, Med Sch, Mycol Unit, St Llorenc 21, Reus 43201, Tarragona, Spain; [Cano-Lira, J. F.; Garcia, D.; Gene, J.; Iturrieta-Gonzalez, I.; Rodriguez-Andrade, E.; Stchigel, A. M.] Univ Rovira &amp; Virgili, IISPV, St Llorenc 21, Reus 43201, Tarragona, Spain; [Cantillo, T.; Gusmao, L. F. P.] Univ Estadual Feira de Santana, Dept Ciencias Biol, Av Transnordestina S-N, BR-44036900 Feira De Santana, BA, Brazil; [Cheewangkoon, R.; Haitook, S.; Tamakeaw, N.] Chiang Mai Univ, Fac Agr, Dept Entomol &amp; Plant Pathol, Chiang Mai 50200, Thailand; [Conforto, C.] Inst Nacl Tecnol Agr, Inst Patol Vegetal, Cordoba, Argentina; [Craine, J. D.] 5320 N Peachtree Rd, Dunwoody, GA 30338 USA; [Damm, U.] Senckenberg Museum Nat Hist Gorlitz, PF 300 154, D-02806 Gorlitz, Germany; [Oliveira, R. L.] Univ Fed Rio Grande do Norte, Ctr Biociencias, Programa Posgrad Sistemat &amp; Evolucao, Av Senador Salgado Filho 3000, BR-59072970 Natal, RN, Brazil; [de Oliveira, R. J. V.] CEPEC, Comissao Execut Plano Lavoura Cacaueira CEPLAC, Itabuna, Bahia, Brazil; [de Souza, J. T.] Univ Fed Lavras, Lavras, MG, Brazil; [de Souza, H. G.; Figueiredo, C. N.; Marbach, P. A. S.] Reconcavo Bahia Fed Univ, Cachoeira, Bahia, Brazil; [Dimitrov, R. A.] Natl Ctr Infect &amp; Parasit Dis, 26 Yanko Sakazov Blvd, Sofia 1504, Bulgaria; [Dovana, F.; Vizzini, A.] Univ Turin, Dept Life Sci &amp; Syst Biol, Viale PA Mattioli 25, I-10125 Turin, Italy; [Esteve-Raventos, F.] Univ Alcala, Dept Ciencias Vida, Area Bot, Madrid 28805, Spain; [Ferisin, G.] Via A Vespucci 7, I-33052 Cervignano Del Friuli, UD, Italy; [Fernandes, R. A.] Univ Fed Brasilia, Dept Fitopatol, Brasilia, DF, Brazil; [Frank, J. L.] Southern Oregon Univ, Dept Biol, Ashland, OR 97520 USA; [Gesiorska, A.; Pawlowska, J.] Univ Warsaw, Biol &amp; Chem Res Ctr, Dept Mol Phylogenet &amp; Evolut, Fac Biol, Ul Zwirki &amp; Wigury 101, PL-02089 Warsaw, Poland; [Gondra, R. A. G.] Univ Utrecht, POB 80125, NL-3508 TC Utrecht, Netherlands; [Gouliamova, D. E.] Bulgarian Acad Sci, Stephan Angeloff Inst Microbiol, 26 Acad Georgi Bonchev, Sofia 1113, Bulgaria; [Hirooka, Y.; Minoshima, A.; Truong, H. H.] Hosei Univ, Fac Biosci, Dept Clin Plant Sci, 3-7-2 Kajino Cho, Koganei, Tokyo, Japan; [Hubka, V.; Raudabaugh, D. B.] Charles Univ Prague, Fac Sci, Dept Bot, Benatska 2, Prague 12801 2, Czech Republic; [Hubka, V.] Inst Microbiol CAS, Lab Fungal Genet &amp; Metab, Vvi, Videnska 1083, Prague 14220 4, Czech Republic; [Iturriaga, T.; Miller, A. N.] Univ Illinois, Illinois Nat Hist Survey, 1816 South Oak St, Champaign, IL 61820 USA; [Iturriaga, T.] Cornell Univ, Plant Pathol Herbarium, 334 Plant Sci Bldg, Ithaca, NY 14853 USA; [Jadan, M.; Kusan, I.; Matocec, N.; Mesic, A.; Tkalcec, Z.] Rudjer Boskovic Inst, Bijenicka Cesta 54, HR-10000 Zagreb, Croatia; [Jiang, N.; Tian, C. M.] Beijing Forestry Univ, Minist Educ, Key Lab Silviculture &amp; Conservat, Beijing 100083, Peoples R China; [Justo, A.] Clark Univ, Dept Biol, 950 Main St, Worcester, MA 01610 USA; [Kachalkin, A. V.] Lomonosov Moscow State Univ, Moscow, Russia; [Kachalkin, A. V.; Tomashevskaya, M. A.] RAS, GK Skryabin Inst Biochem &amp; Physiol Microorganisms, All Russian Collect Microorganisms, Pushchino, Russia; [Kapitonov, V. I.] Russian Acad Sci, Ural Branch, Tobolsk Complex Sci Stn, 626152 Tobolsk, Russia; [Karadelev, M.; Rusevska, K.] Ss Cyril &amp; Methodius Univ, Fac Nat Sci &amp; Math, Inst Biol, Skopje, North Macedonia; [Karakehian, J.] Harvard Univ, Farlow Herbarium, 22 Divin Ave, Cambridge, MA 02138 USA; [Kasuya, T.] Keio Univ, Dept Biol, Kohoku Ku, 4-1-1 Hiyoshi, Yokohama, Kanagawa 2238521, Japan; [Kautmanova, I.] Nat Hist Museum, Slovak Natl Museum, Vjanaskeho Nab 2,POB 13, Bratislava 81006, Slovakia; [Kuznetsova, T. A.; Vecherskii, M. V.] RAS, AN Severtsov Inst Ecol &amp; Evolut, Moscow, Russia; [Larsson, K. -H.] Univ Oslo, Nat Hist Museum, POB 1172, N-0318 Blindern, Norway; [Lee, H. B.] Chonnam Natl Univ, Coll Agr &amp; Life Sci, Div Food Technol Biotechnol &amp; Agrochem, Environm Microbiol Lab, Gwangju, South Korea; [Madrid, H.] Univ Mayor, Fac Ciencias, Ctr Genom &amp; Bioinformat, Santiago 5750, Chile; [Majerova, H.] Slovak Univ Technol Bratislava, Biochem &amp; Microbiol Dept, Fac Chem &amp; Food Technol, Radlinskeho 9, Bratislava 81237, Slovakia; [Malysheva, E. F.; Morozova, O. V.; Zmitrovich, I. V.] Russian Acad Sci, Komarov Bot Inst, St Petersburg, Russia; [Martin, M. P.; Telleria, M. T.] CSIC, RJB, Dept Micol, Plaza Murillo 2, Madrid 28014, Spain; [Martin-Sanz, A.] Pioneer HiBred Int Inc, Campus Dupont Pioneer,Ctra Sevilla Cazalla Km 4-6, La Rinconada 41309, Spain; [McTaggart, A. R.] Univ Queensland, Queensland Alliance Agr &amp; Food Innovat, St Lucia, Qld 4069, Australia; [Michereff, S. J.] Univ Fed Cariri, Ctr Ciencias Agr &amp; Biodiversidade, Barbalha, Ceara, Brazil; [Molinero-Ruiz, L.] CSIC, Inst Sustainable Agr, Dept Crop Protect, Cordoba 14004, Spain; [Nabe, M.] 2-2-1 Sakuragaoka Nakamachi,Nishi Ku, Kobe, Hyogo 6512226, Japan; [Nara, K.] Univ Tokyo, Grad Sch Frontier Sci, Kashiwa, Chiba 2778563, Japan; [Olariaga, I.] Univ Rey Juan Carlos, Biol Geol &amp; Inorgan Chem Dept, C Tulipan S-N, Madrid 28933, Spain; [Ono, T.] Tokyo Metropolitan Agr &amp; Forestry Res Ctr, Ogasawara Subtrop Branch, Tokyo, Japan; [Pancorbo, F.] Pintores El Paular 25, Madrid 28740, Spain; [Peterson, S. W.] ARS, Mycotoxin Prevent &amp; Appl Microbiol Res Unit, USDA, 1815 North Univ St, Peoria, IL 61604 USA; [Rubio, E.] C Jose Cueto 3-5 B, Aviles 33401, Asturias, Spain; [Santos, C.] Univ La Frontera, BIOREN UFRO, Dept Ciencias Quim &amp; Recursos Nat, Temuco, Chile; [Sazanova, N. A.] Russian Acad Sci, Far East Branch, Inst Biol Problems North, Magadan, Russia; [Pant, B.; Shah, S.] Tribhuvan Univ, Cent Dept Bot, Kirtipur, Nepal; [Sharma, J.] Texas Tech Univ, Dept Plant &amp; Soil Sci, Lubbock, TX 79409 USA; [Silva, B. D. B.] Univ Fed Bahia, Inst Biol, Dept Bot, BR-40170115 Salvador, BA, Brazil; [Siquier, J. L.] Carrer Major 19, E-07300 Inca, Islas Baleares, Spain; [Svetasheva, T.] Tula State Lev Tolstoy Pedag Univ, Biol &amp; Technol Living Syst Dept, 125 Lenin Av, Tula 300026, Russia; [Visagie, C. M.] Agr Res Council Plant Hlth &amp; Protect, Biosyst Div, P Bag X134, ZA-0121 Pretoria, South Africa; [Zvyagina, E. A.] Surgut State Univ, Surgut, Russia; [Boekhout, T.] Univ Amsterdam, IBED, Amsterdam, Netherlands; [Kehlet, T.; Laessoe, T.] Univ Copenhagen, Dept Biol, Nat Hist Museum Denmark, Univ Sparken 15, DK-2100 Copenhagen E, Denmark</t>
  </si>
  <si>
    <t>University of Pretoria; NSW Department of Primary Industries; Savitribai Phule Pune University; Department of Biotechnology (DBT) India; National Centre for Cell Science, Pune (NCCS); Naturalis Biodiversity Center; Consiglio Nazionale delle Ricerche (CNR); Istituto per la Protezione Sostenibile delle Piante (IPSP-CNR); Universidade Federal de Pernambuco; Eotvos Lorand University; University of Turin; Consiglio Nazionale delle Ricerche (CNR); Istituto Scienze delle Produzioni Alimentari (ISPA-CNR); UiT The Arctic University of Tromso; Russian Academy of Sciences; Southern Scientific Center, Russian Academy of Sciences; University of Southern Queensland; Ministry of Earth Sciences (MoES) - India; National Centre for Polar and Ocean Research (NCPOR); Banaras Hindu University (BHU); Lomonosov Moscow State University; Peoples Friendship University of Russia; Universidade Federal de Vicosa; Universidade Federal de Mato Grosso; Universidade Federal de Alagoas; Universidade Estadual de Feira de Santana; Pontificia Universidad Catolica del Ecuador; Universidade Federal do Rio Grande do Norte; Universite PSL; Ecole Pratique des Hautes Etudes (EPHE); Institut Agro; Montpellier SupAgro; CIRAD; Centre National de la Recherche Scientifique (CNRS); Institut de Recherche pour le Developpement (IRD); Universite Paul-Valery; Universite de Montpellier; Institut National de la Sante et de la Recherche Medicale (Inserm); Universidad de La Rioja; Consejo Superior de Investigaciones Cientificas (CSIC); Hungarian Academy of Sciences; Hungarian Research Network; HUN-REN Biological Research Center; Norwegian Institute Nature Research; Universitat Rovira i Virgili; Universitat Rovira i Virgili; Institut d'Investigacio Sanitaria Pere Virgili (IISPV); Universidade Estadual de Feira de Santana; Chiang Mai University; Instituto Nacional de Tecnologia Agropecuaria (INTA); Senckenberg Gesellschaft fur Naturforschung (SGN); Universidade Federal do Rio Grande do Norte; Universidade Federal de Lavras; Ministry of Health Bulgaria; National Centre of Infectious &amp; Parasitic Diseases; University of Turin; Universidad de Alcala; University of Warsaw; Utrecht University; Bulgarian Academy of Sciences; Stephan Angeloff Institute of Microbiology, Bulgarian Academy of Sciences; Hosei University; Charles University Prague; Czech Academy of Sciences; Institute of Microbiology of the Czech Academy of Sciences; Illinois Natural History Survey; University of Illinois System; University of Illinois Urbana-Champaign; Cornell University; Rudjer Boskovic Institute; Beijing Forestry University; Clark University; Lomonosov Moscow State University; Russian Academy of Sciences; Pushchino Scientific Center for Biological Research (PSCBI) of the Russian Academy of Sciences; Russian Academy of Sciences; Tobolsk Complex Scientific Station Ural Branch of the Russian Academy of Sciences; Saints Cyril &amp; Methodius University of Skopje; Harvard University; Keio University; Russian Academy of Sciences; Saratov Scientific Center of the Russian Academy of Sciences; Severtsov Institute of Ecology &amp; Evolution; University of Oslo; Chonnam National University; Universidad Mayor; Slovak University of Technology Bratislava; Russian Academy of Sciences; Komarov Botanical Institute, Russian Academy of Sciences; Consejo Superior de Investigaciones Cientificas (CSIC); CSIC - Real Jardin Botanico de Madrid; University of Queensland; Universidade Federal do Cariri; Consejo Superior de Investigaciones Cientificas (CSIC); CSIC - Instituto de Agricultura Sostenible (IAS); University of Tokyo; Universidad Rey Juan Carlos; United States Department of Agriculture (USDA); Universidad de La Frontera; Institute of Biological Problems of the North; Russian Academy of Sciences; Tribhuvan University; Texas Tech University System; Texas Tech University; Universidade Federal da Bahia; Surgut State University; University of Amsterdam; University of Copenhagen</t>
  </si>
  <si>
    <t>Crous, PW (corresponding author), Westerdijk Fungal Biodivers Inst, POB 85167, NL-3508 AD Utrecht, Netherlands.;Crous, PW (corresponding author), Univ Pretoria, Fac Nat &amp; Agr Sci, Dept Biochem Genet &amp; Microbiol, FABI, Private Bag X20, ZA-0028 Pretoria, South Africa.</t>
  </si>
  <si>
    <t>p.crous@wi.knaw.nl</t>
  </si>
  <si>
    <t>Ordoñez, Maria Eugenia/AAP-1746-2020; Madrid, Hugo/AAA-4995-2019; Bellanger, Jean-Michel/S-2103-2019; Raudabaugh, Daniel/AAJ-8846-2020; SHOUCHE, YOGESH/C-1231-2009; gusmao, luis fernando lfpgusmao pascholati/E-1063-2012; Mosoh, Dexter Achu/JOK-4431-2023; Miller, Andrew/AAB-7815-2019; Shah, Sujit/ACS-0932-2022; Damm, Ulrike/AFB-0515-2022; Pawłowska, Julia/AGH-2220-2022; Perrone, Giancarlo/O-7475-2014; Kapitonov, Vladimir/JAC-4422-2023; Santini, Alberto/Q-2655-2015; Majerova, Hana/KHD-8827-2024; Alexandrova, Alina V/R-9859-2016; McTaggart, Alistair R/A-8871-2014; Tiago, Patricia Vieira V/I-2533-2012; Kusan, Ivana/ABF-2341-2020; Biketova, Alona Yu./O-9961-2017; Visagie, Cobus/JVZ-1459-2024; Tomashevskaya, Maria/AAT-5662-2021; Kapitonov, Vladimir/AAZ-7939-2020; Gibertoni, Tatiana B/A-5332-2013; Mešić, Armin/AAJ-1858-2020; Matocec, Neven/ABF-2261-2020; Neves, Rejane P/O-6670-2018; Crous, Pedro/ISB-2589-2023; Michereff, Sami/JOZ-4113-2023; Groenewald, Johannes Z/F-4667-2011; Berlanas, Carmen/AGX-8569-2022; Barbosa, Renan/E-5644-2017; Houbraken, Jos/AAE-7955-2019; Bellanger, Jean-Michel/D-1579-2017; Zvyagina, Elena A/S-4192-2018; Dovana, Francesco/AAR-9737-2021; da Silva Santos, Ana Carla/C-5020-2017; Majerova, Hana/ABB-2023-2021; Alfenas, Rafael Ferreira/S-8841-2019; da Silva Santos, Ana Carla/AAA-2329-2021; Andrade, Ernesto Rodríguez/AAQ-9749-2021; Rämä, Teppo/H-2781-2019; Souza-Motta, Cristina Maria/C-3503-2013; Jiang, Ning/CAG-8480-2022; Santiago, Andre/IQW-1088-2023; Martín, María P/H-8069-2012; Cano-Lira, José F./ABB-5724-2020; Félix, Ciro R./B-6178-2016; Olariaga, Ibai/AAB-1577-2019; Carnegie, Angus James/H-6153-2015; Noordeloos, Machiel Evert/JWA-9206-2024; Molinero-Ruiz, Leire/G-8627-2015; Alvarado, Pablo/K-4736-2014; Rebriev, Yury Alexandrovich/M-6193-2014; CHEEWANGKOON, RATCHADAWAN/AGX-9436-2022; SHARMA, ROHIT/JOZ-6961-2023; Telleria, M. Teresa/H-4928-2015; Melo, Roger/F-7190-2012; Dima, Balint/AAL-8898-2020; Wingfield, Michael J/A-9473-2008; Malysheva, Ekaterina F./H-5582-2013; Yilmaz, Neriman/AAF-6814-2021; Kachalkin, Aleksey/D-6023-2013; Marbach, Phellippe/AAL-1590-2021; Svetasheva, Tatiana Yu/S-2287-2018; Sazanova, Nina/J-4328-2018; Santos, Cledir/AAO-8276-2020; González, Isabel Iturrieta/AAE-9251-2021; Gené, Josepa/AAG-6855-2019; Cantillo, Taimy/F-7568-2018; Tkalčec, Zdenko/ABF-2269-2020; Vieira Tiago, Patricia/HHS-6288-2022; Zmitrovich, Ivan/I-1523-2013; Crous, Pedro/H-1489-2012; Ferreira, Renato Juciano/P-6887-2017; Gramaje, David/M-7006-2017; Stchigel, Alberto Miguel/G-1261-2016; Pereira Bezerra, Jadson Diogo/A-5846-2019; Knapp, Daniel G./C-9481-2013; Fontes Landell, Melissa/N-9546-2013; Barnes, Christopher/D-9852-2015; Morozova, Olga/H-5135-2013; Vecherskii, Maxim/J-7100-2018; Hubka, Vit/L-4124-2014; Michereff, Sami/Q-8758-2016; Kuznetsova, Tatiana/J-7289-2018</t>
  </si>
  <si>
    <t>Bellanger, Jean-Michel/0000-0001-9289-2349; Mosoh, Dexter Achu/0000-0001-9721-0263; Miller, Andrew/0000-0001-7300-0069; Damm, Ulrike/0000-0002-2252-5196; Pawłowska, Julia/0000-0003-4914-5182; Perrone, Giancarlo/0000-0002-3841-6066; Santini, Alberto/0000-0002-7955-9207; Majerova, Hana/0000-0003-1446-9187; Alexandrova, Alina V/0000-0003-2359-4780; McTaggart, Alistair R/0000-0002-0996-1313; Biketova, Alona Yu./0000-0003-0801-0660; Visagie, Cobus/0000-0003-2367-5353; Gibertoni, Tatiana B/0000-0003-4499-7650; Mešić, Armin/0000-0002-4479-600X; Groenewald, Johannes Z/0000-0002-9474-6246; Houbraken, Jos/0000-0003-4893-4438; Bellanger, Jean-Michel/0000-0001-9289-2349; Zvyagina, Elena A/0000-0003-2063-4847; da Silva Santos, Ana Carla/0000-0002-2742-4925; Alfenas, Rafael Ferreira/0000-0003-3675-9003; da Silva Santos, Ana Carla/0000-0002-2742-4925; Rämä, Teppo/0000-0001-8111-8075; Jiang, Ning/0000-0002-9656-8500; Cano-Lira, José F./0000-0003-4495-4394; Carnegie, Angus James/0000-0002-6854-4974; Molinero-Ruiz, Leire/0000-0001-5152-0418; CHEEWANGKOON, RATCHADAWAN/0000-0001-8576-3696; SHARMA, ROHIT/0000-0001-9351-0525; Yilmaz, Neriman/0000-0002-4396-4630; Kachalkin, Aleksey/0000-0002-4494-2468; Svetasheva, Tatiana Yu/0000-0001-8968-9518; Santos, Cledir/0000-0003-4681-0941; González, Isabel Iturrieta/0000-0001-8426-9530; Gené, Josepa/0000-0001-6195-9299; Cantillo, Taimy/0000-0001-7861-0990; Bransgrove, Kaylene/0000-0003-0479-8286; Rusevska, Katerina/0000-0002-4400-3663; Tkalcec, Zdenko/0000-0002-1148-9425; LUIZ C. M. DE A. SANTIAGO, ANDRE/0000-0001-5174-5553; Kovacs, Gabor M./0000-0001-9509-4270; Neves, Rejane/0000-0003-4184-7366; Zmitrovich, Ivan/0000-0002-3927-2527; Crous, Pedro/0000-0001-9085-8825; Ferreira, Renato Juciano/0000-0002-9786-2226; Gramaje, David/0000-0003-1755-3413; Magista, Donato/0000-0001-9453-3315; Stchigel, Alberto Miguel/0000-0003-3987-7996; Pereira Bezerra, Jadson Diogo/0000-0002-7782-8602; Knapp, Daniel G./0000-0002-7568-238X; Felix, Ciro/0000-0001-5087-8872; Fontes Landell, Melissa/0000-0001-6848-0803; Matocec, Neven/0000-0002-9235-939X; Barnes, Christopher/0000-0001-6800-4233; Kapitonov, Vladimir/0000-0002-5074-8522; Shivas, Roger/0000-0001-7494-8716; Dearnaley, John/0000-0001-9842-727X; Souza-Motta, Cristina/0000-0002-0964-8271; Morozova, Olga/0000-0002-7329-528X; Vecherskii, Maxim/0000-0003-4654-7442; Hubka, Vit/0000-0003-4583-6496; Melo, Roger/0000-0002-3663-9856; dovana, francesco/0000-0002-8556-7692; Leite Cordeiro, Thalline Rafhaella/0000-0002-3430-5852; Vieira Tiago, Patricia/0000-0001-5771-2429; Rebriev, Yury/0000-0001-5156-8593; Michereff, Sami/0000-0002-2156-3502; Raudabaugh, Daniel/0000-0001-5547-7293; /0000-0002-2318-8910; Kuznetsova, Tatiana/0000-0001-7187-2322; Dima, Balint/0000-0003-2099-3903; Cupertino de Queiroz Brito, Amanda/0000-0002-1153-3510; Silva, Rildo Alexandre Fernandes da/0000-0001-8183-125X</t>
  </si>
  <si>
    <t>Fundacao de Amparo a Pesquisa do Estado de Mato Grosso [224618/2015]; National Research, Development and Innovation Office, Hungary [NKFIH KH-130401]; ELTE Institutional Excellence Program of the Hungarian Ministry of Human Capacities [1783-3/2018/FEKUTSRAT]; SYNTHESYS Project - European Community Research Infrastructure Action under the FP7 'Capacities' Program; Coordenacao de Aperfeicoamento de Pessoal de Nivel Superior (CAPES); Fundacao de Amparo a Ciencia do Estado de Pernambuco (FACEPE); project 'Diversity of Mucoromycotina in the different ecosystems of the Atlantic Rainforest of Pernambuco' (FACEPE - First Projects Program) [PPP/FACEPE/CNPq-APQ-0842-2.12/14]; project Mucoromycotina from Atlantic Rainforest in the semiarid of Pernambuco (CNPq-Chamada Universal) [458391/2014-0]; project BIOCEV by the Ministry of Education, Youth and Sports of the Czech Republic [CZ.1.05/1.1.00/02.0109]; project BIOCEV by the ERDF [CZ.1.05/1.1.00/02.0109]; Charles University Research Centre [204069]; Department of Biotechnology, New Delhi [BT/Coord.II/01/03/2016]; research projects of the Tobolsk Complex Scientific Station of the Ural Branch of the Russian Academy of Sciences [N AAAA-A19-119011190112-5]; Komarov Botanical Institute RAS 'Herbarium funds of the BIN RAS' [AAAA-A18-118022090078-2]; Ella Lyman Cabot Trust; Spanish Science Council [CGL2017-86540-P]; Bulgarian Science Fund [D002-TK-176]; F7 Research and Infrastructure grant - European Consortium of Microbial Resource Centres; RUDN University Program 5-100, Russia; Conselho Nacional de Pesquisa (CNPq); Pro-Reitoria de Pesquisa e Pos-Graduacao (Propesq); NRF-FBIP Program [FBIS-170605237212]; KhMAO - Ugra government assignment for Surgut State University; government assignment for South Science Center RAS [AAAA-A19-119011190176-7]; government assignment for Institute of Biological Problems of the North FEB RAS [AAAA-A17-117122590002-0]; Fundacao de Amparo a Ciencia e Tecnologia do Estado de Pernambuco FACEPE; PPGBF (UFPE, Brazil); CNPq (SISBIOTA) [563342/2010-2]; CNPq (PPBio Semi-Arido) [457476/20125]; CNPq (PROTAX) [562106/-2010-3]; CNPq (Universal) [472792/2011-3]; CNPq (PQ) [307601/20153]; CAPES [Capes-SIU 008/13, 001]; FACEPE [APQ 0375-2.03/15, APQ-0143-2.12/15]; National Council for Scientific and Technological Development (CNPq) [409960/2016-0, 407474/2013-7]; Indian Council of Agricultural Research (ICAR) [NBAIM/AMAAS/2014-17/PF/24/21]; CNPQ/ICMBio [421241/2017-9, 310298/2018-0]; Conselho Nacional do Desenvolvimento Cientifico e Tecnologico (CNPq) [475378/2013-0, 408718/2013-7]; Instituto Chico Mendes de Conservacao da Biodiversidade (ICMBio); Secretaria de Educacion Superior, Ciencia, Tecnologia e Innovacion del Ecuador (SENESCYT), Arca de Noe Initiative; Operational Program of Research and Development; European Fund for Regional Development (EFRD) [ITMS 26230120004]; Spanish Ministerio de Economia, Industria y Competitividad [CGL2017-88094-P]; Forestry Corporation of NSW, Australia; National Science Centre, Poland [2017/25/B/NZ8/00473]; Croatian Science Foundation under the project For Fungi DNA [IP-2018-01-1736]; Public Institution Sjeverni Velebit National Park; Coordination of Improvement of Higher Level Personnel (CAPES)</t>
  </si>
  <si>
    <t>Fundacao de Amparo a Pesquisa do Estado de Mato Grosso(Fundacao de Amparo a Pesquisa do Estado de Mato Grosso (FAPEMAT)); National Research, Development and Innovation Office, Hungary(National Research, Development &amp; Innovation Office (NRDIO) - Hungary); ELTE Institutional Excellence Program of the Hungarian Ministry of Human Capacities; SYNTHESYS Project - European Community Research Infrastructure Action under the FP7 'Capacities' Program; Coordenacao de Aperfeicoamento de Pessoal de Nivel Superior (CAPES)(Coordenacao de Aperfeicoamento de Pessoal de Nivel Superior (CAPES)); Fundacao de Amparo a Ciencia do Estado de Pernambuco (FACEPE)(Fundacao de Amparo a Ciencia e Tecnologia do Estado de Pernambuco (FACEPE)); project 'Diversity of Mucoromycotina in the different ecosystems of the Atlantic Rainforest of Pernambuco' (FACEPE - First Projects Program); project Mucoromycotina from Atlantic Rainforest in the semiarid of Pernambuco (CNPq-Chamada Universal); project BIOCEV by the Ministry of Education, Youth and Sports of the Czech Republic; project BIOCEV by the ERDF; Charles University Research Centre; Department of Biotechnology, New Delhi(Department of Biotechnology (DBT) India); research projects of the Tobolsk Complex Scientific Station of the Ural Branch of the Russian Academy of Sciences; Komarov Botanical Institute RAS 'Herbarium funds of the BIN RAS'; Ella Lyman Cabot Trust; Spanish Science Council; Bulgarian Science Fund(National Science Fund of Bulgaria); F7 Research and Infrastructure grant - European Consortium of Microbial Resource Centres; RUDN University Program 5-100, Russia; Conselho Nacional de Pesquisa (CNPq)(Conselho Nacional de Desenvolvimento Cientifico e Tecnologico (CNPQ)); Pro-Reitoria de Pesquisa e Pos-Graduacao (Propesq); NRF-FBIP Program; KhMAO - Ugra government assignment for Surgut State University; government assignment for South Science Center RAS; government assignment for Institute of Biological Problems of the North FEB RAS; Fundacao de Amparo a Ciencia e Tecnologia do Estado de Pernambuco FACEPE(Fundacao de Amparo a Ciencia e Tecnologia do Estado de Pernambuco (FACEPE)); PPGBF (UFPE, Brazil); CNPq (SISBIOTA)(Conselho Nacional de Desenvolvimento Cientifico e Tecnologico (CNPQ)Fundacao de Apoio a Pesquisa do Distrito Federal (FAPDF)); CNPq (PPBio Semi-Arido)(Conselho Nacional de Desenvolvimento Cientifico e Tecnologico (CNPQ)Fundacao de Apoio a Pesquisa do Distrito Federal (FAPDF)); CNPq (PROTAX)(Conselho Nacional de Desenvolvimento Cientifico e Tecnologico (CNPQ)); CNPq (Universal)(Conselho Nacional de Desenvolvimento Cientifico e Tecnologico (CNPQ)); CNPq (PQ)(Conselho Nacional de Desenvolvimento Cientifico e Tecnologico (CNPQ)); CAPES(Coordenacao de Aperfeicoamento de Pessoal de Nivel Superior (CAPES)); FACEPE(Fundacao de Amparo a Ciencia e Tecnologia do Estado de Pernambuco (FACEPE)); National Council for Scientific and Technological Development (CNPq)(Conselho Nacional de Desenvolvimento Cientifico e Tecnologico (CNPQ)); Indian Council of Agricultural Research (ICAR)(Indian Council of Agricultural Research (ICAR)); CNPQ/ICMBio; Conselho Nacional do Desenvolvimento Cientifico e Tecnologico (CNPq)(Conselho Nacional de Desenvolvimento Cientifico e Tecnologico (CNPQ)); Instituto Chico Mendes de Conservacao da Biodiversidade (ICMBio); Secretaria de Educacion Superior, Ciencia, Tecnologia e Innovacion del Ecuador (SENESCYT), Arca de Noe Initiative; Operational Program of Research and Development; European Fund for Regional Development (EFRD)(European Union (EU)); Spanish Ministerio de Economia, Industria y Competitividad(Spanish Government); Forestry Corporation of NSW, Australia; National Science Centre, Poland(National Science Centre, Poland); Croatian Science Foundation under the project For Fungi DNA; Public Institution Sjeverni Velebit National Park; Coordination of Improvement of Higher Level Personnel (CAPES)(Coordenacao de Aperfeicoamento de Pessoal de Nivel Superior (CAPES))</t>
  </si>
  <si>
    <t>We wish to thank Fundacao de Amparo a Pesquisa do Estado de Mato Grosso (224618/2015) for financial support. The research of Daniel G. Knapp, Ildiko Imrefi and Gabor M. Kovacs was supported by the National Research, Development and Innovation Office, Hungary (NKFIH KH-130401) and the ELTE Institutional Excellence Program (1783-3/2018/FEKUTSRAT) of the Hungarian Ministry of Human Capacities. Katerina Rusevska and colleagues received support from the SYNTHESYS Project (http://www.synthesys.info/), which is financed by the European Community Research Infrastructure Action under the FP7 'Capacities' Program. The authors express their gratitude to the Macedonian Ecological Society and Biology Students' Research Society for arranging collecting trips. Thalline R.L. Cordeiro and co-authors express their gratitude to Conselho Nacional de Desenvolvimento Cientifico e Tecnologico (CNPq), Coordenacao de Aperfeicoamento de Pessoal de Nivel Superior (CAPES) for and Fundacao de Amparo a Ciencia do Estado de Pernambuco (FACEPE) for Master scholarships provided to Andre L.C.M. de A. Santiago, Diogo X. Lima, Rafael J.V. de Oliveira and Thalline R.L. Cordeiro. This manuscript was financed by the projects 'Diversity of Mucoromycotina in the different ecosystems of the Atlantic Rainforest of Pernambuco' (FACEPE - First Projects Program PPP/FACEPE/CNPq-APQ-0842-2.12/14) and Mucoromycotina from Atlantic Rainforest in the semiarid of Pernambuco (CNPq-Chamada Universal-458391/2014-0). Vit Hubka was supported by the project BIOCEV (CZ.1.05/1.1.00/02.0109) provided by the Ministry of Education, Youth and Sports of the Czech Republic and ERDF and by the Charles University Research Centre program No. 204069. Sujit Shah and colleagues thank the University Grants Commission, Nepal; Centre for Co-operation in Science &amp; Technology among Developing Societies, Department of Science and Technology, India; Department of Biotechnology, New Delhi for establishing National Centre for Microbial Resource (NCMR), NCCS, Pune, India wide grant letter no. BT/Coord.II/01/03/2016 dated 6th April 2017. Vladimir I. Kapitonov and colleagues are very grateful to Brigitta Kiss for help in molecular studies, Balint Dima and Laszlo G. Nagy for their critical notes. This study was conducted under the research projects of the Tobolsk Complex Scientific Station of the Ural Branch of the Russian Academy of Sciences (N AAAA-A19-119011190112-5). Taiga Kasuya and co-authors thank Ms Shizuka Ikegawa for her support with morphological observations. The study of Olga V. Morozova, Ekaterina F. Malysheva and Ivan V. Zmitrovich was carried out within the framework of research project of the Komarov Botanical Institute RAS 'Herbarium funds of the BIN RAS' (AAAA-A18-118022090078-2). She and her colleagues are also grateful to the staff of the Teberda and Sikhote-Alin Nature Reserves for the permission to collect on their territories and for help in the field work. M.E. Noordeloos and his collaborators thank the Kits van Waveren Foundation (Rijksherbariumfonds Dr E. Kits van Waveren, Leiden, Netherlands) which contributed substantially to the costs of sequencing. Teresa Iturriaga and colleagues thank Angela Bond, Fungarium Manager at IMI, for sending ILLS the loan of the type specimen of Meliola carvalhoi, the E.O. Wilson Biodiversity Laboratory in Gorongosa National Park, to its Associate Director Piotr Naskrecki, to botanist Meg Coates Palgrave from Zimbabwe who identified the host of Meliola gorongosensis, and to the Ella Lyman Cabot Trust for funding to J. Karakehian to collect in the Park.; Fernando Esteve-Raventos and co-authors thank D. Bandini, T. Conca, E. Ferrari, M. Laso, P.B. Matheny, J. Rejos and P. Zapico for their valuable collaboration in the elaboration and completion of this work. This study has been partially funded by a project granted by the Spanish Science Council (CGL2017-86540-P) to F. Esteve-Raventos and G. Moreno. Dilnora Gouliamova and colleagues were supported by a grant from the Bulgarian Science Fund (D002-TK-176) and F7 Research and Infrastructure grant - European Consortium of Microbial Resource Centres. The authors express their gratitude for Dr Borislav Gueorguiev from National Museum of Natural History (Sofia, Bulgaria) for the identification of beetles. Alina V. Alexandrova is supported by the RUDN University Program 5-100, Russia. Amanda Lucia Alves and Ana Carla da Silva Santos acknowledge scholarships from the Coordenacao de Aperfeicoamento de Pessoal de Nivel Superior (CAPES), Renan N. Barbosa a scholarship from the Conselho Nacional de Pesquisa (CNPq) and Cristina M. Souza-Motta and Patricia Vieira Tiago acknowledge financial support from the Pro-Reitoria de Pesquisa e Pos-Graduacao (Propesq). Jose Leonardo Siquier and JeanMichel Bellanger acknowledge A. Bidaud and L. A. Parra for help in species identification, P. Alvarado for generating sequences and J. Planas for the composition of the photographic plate. The research of Cobus M. Visagie was supported by a grant from the NRF-FBIP Program (grant nr FBIS-170605237212). Elena A. Zvyagina is supported by the KhMAO - Ugra government assignment for Surgut State University; Yury A. Rebriev is supported by a government assignment for South Science Center RAS (AAAA-A19-119011190176-7); Nina A. Sazanova is supported by a government assignment for Institute of Biological Problems of the North FEB RAS (AAAA-A17-117122590002-0). Roberta Cruz and colleagues thank the Fundacao de Amparo a Ciencia e Tecnologia do Estado de Pernambuco FACEPE for financial support. Renata S. Chikowski and co-authors would like to thank the Herbarium URM for the loan of exsiccates; PPGBF (UFPE, Brazil), CNPq (SISBIOTA (563342/2010-2), PPBio Semi-Arido (457476/20125), PROTAX (562106/-2010-3), Universal (472792/2011-3), PQ (307601/20153)), CAPES (Capes-SIU 008/13) and FACEPE (APQ 0375-2.03/15) for financial support; CAPES for the master scholarship of R.S. Chikowski and PhD scholarship of Lira, and FACEPE for the PhD scholarship of R.S. Chikowski and post-doctorate scholarship of C.R.S. Lira. Financial support was provided to Renan de L. Oliveira and colleagues by the Coordination of Improvement of Higher Level Personnel (CAPES) and National Council for Scientific and Technological Development (CNPq) for CNPq-Universal 2016 (409960/2016-0) and for CNPq-Pesquisador visitante (407474/2013-7). Areeb Inamdar and Nitin N. Adhapure are thankful to the Institution, Vivekanand Arts, Sardar Dalip-singh Commerce and Science College for providing Institutional support throughout the research work. Rohit Sharma and Mahesh S. Sonawane thank the Department of Biotechnology, New Delhi for financial support for the establishment of National Centre for Microbial Resource (NCMR), Pune wide grant letter no. BT/Coord.II/01/03/2016. Amanda C.Q. Brito, Juliana F. Mello, Cinthia Conforto, Sami J. Michereff &amp; Alexandre R. Machado acknowledge financial support and/or scholarships from CNPq, CAPES and FACEPE.; Shiv Mohan Singh, Rohit Sharma and co-authors thank the Department of Biotechnology, New Delhi for financial support for the establishment of National Centre for Microbial Resource (NCMR), Pune wide grant letter no. BT/Coord. II/01/03/2016 dated 6 April 2017. We are also thankful to Indian Council of Agricultural Research (ICAR) for financial support (NBAIM/AMAAS/2014-17/PF/24/21) for research on Himalaya. Shiv Mohan Singh is thankful to Dr Perman and Sharma for help during sampling and Ms Rohita Naik for technical aid. Jadson D. P. Bezerra and colleagues acknowledge financial support and/or scholarships from the CAPES (Finance Code 001), CNPQ/ICMBio (Processes numbers 421241/2017-9 and 310298/2018-0) and FACEPE (APQ-0143-2.12/15). Dayse A. Andrade, Ciro R. Felix and Melissa F. Landell, are thankful for the financial support, permissions and collaboration of the Coordenacao de Aperfeicoamento de Pessoal de Nivel Superior (CAPES), Conselho Nacional do Desenvolvimento Cientifico e Tecnologico (CNPq) (process numbers 475378/2013-0 and 408718/2013-7), Instituto Chico Mendes de Conservacao da Biodiversidade (ICMBio). Maria E. Ordonez and colleagues acknowledge financial support obtained from Secretaria de Educacion Superior, Ciencia, Tecnologia e Innovacion del Ecuador (SENESCYT), Arca de Noe Initiative. Ivona Kautmanova and colleagues were funded by the Operational Program of Research and Development and co-financed with the European Fund for Regional Development (EFRD) ITMS 26230120004: 'Building of research and development infrastructure for investigation of genetic biodiversity of organisms and joining IBOL initiative'. This study was partially supported by the Spanish Ministerio de Economia, Industria y Competitividad (grant CGL2017-88094-P). Sincere thanks to Dr Teresa Lebel (Royal Botanic Gardens Victoria) for initiating the citizen science ` fungi-taxonomist' project in Victoria, and providing molecular and taxonomic expertise. Angus Carnegie acknowledges the support of Forestry Corporation of NSW, Australia. The research of Julia Pawlowska was partially supported by the National Science Centre, Poland, under grant no 2017/25/B/NZ8/00473. Neven Matocec, Ivana Kusan, Margita Jadan, Armin Mesic and Zdenko Tkalcec were supported by the Croatian Science Foundation under the project ForFungiDNA (IP-2018-01-1736) and co-financed by the Public Institution Sjeverni Velebit National Park.</t>
  </si>
  <si>
    <t>RIJKSHERBARIUM</t>
  </si>
  <si>
    <t>PO BOX 9514, 2300 RA LEIDEN, NETHERLANDS</t>
  </si>
  <si>
    <t>0031-5850</t>
  </si>
  <si>
    <t>Persoonia</t>
  </si>
  <si>
    <t>10.3767/persoonia.2019.42.11</t>
  </si>
  <si>
    <t>Mycology</t>
  </si>
  <si>
    <t>IN8VT</t>
  </si>
  <si>
    <t>Green Submitted, Green Published, Green Accepted</t>
  </si>
  <si>
    <t>WOS:000478958400011</t>
  </si>
  <si>
    <t>Feldmann, J; Levermann, A; Mengel, M</t>
  </si>
  <si>
    <t>Feldmann, Johannes; Levermann, Anders; Mengel, Matthias</t>
  </si>
  <si>
    <t>Stabilizing the West Antarctic Ice Sheet by surface mass deposition</t>
  </si>
  <si>
    <t>PINE ISLAND GLACIER; AMUNDSEN SEA EMBAYMENT; MODEL PISM-PIK; THWAITES GLACIER; RETREAT DRIVEN; LEVEL RISE; COLLAPSE; FLOW; CIRCULATION; DISCHARGE</t>
  </si>
  <si>
    <t>There is evidence that a self-sustaining ice discharge from the West Antarctic Ice Sheet (WAIS) has started, potentially leading to its disintegration. The associated sea level rise of more than 3m would pose a serious challenge to highly populated areas including metropolises such as Calcutta, Shanghai, New York City, and Tokyo. Here, we show that the WAIS may be stabilized through mass deposition in coastal regions around Pine Island and Thwaites glaciers. In our numerical simulations, a minimum of 7400 Gt of additional snowfall stabilizes the flow if applied over a short period of 10 years onto the region (-2 mm year(-1) sea level equivalent). Mass deposition at a lower rate increases the intervention time and the required total amount of snow. We find that the precise conditions of such an operation are crucial, and potential benefits need to be weighed against environmental hazards, future risks, and enormous technical challenges.</t>
  </si>
  <si>
    <t>[Feldmann, Johannes; Levermann, Anders; Mengel, Matthias] Potsdam Inst Climate Impact Res, Potsdam, Germany; [Levermann, Anders] Columbia Univ, Lamont Doherty Earth Observ, Palisades, NY 10964 USA; [Levermann, Anders] Potsdam Univ, Inst Phys, Potsdam, Germany</t>
  </si>
  <si>
    <t>Potsdam Institut fur Klimafolgenforschung; Columbia University; University of Potsdam</t>
  </si>
  <si>
    <t>Levermann, A (corresponding author), Potsdam Inst Climate Impact Res, Potsdam, Germany.;Levermann, A (corresponding author), Columbia Univ, Lamont Doherty Earth Observ, Palisades, NY 10964 USA.</t>
  </si>
  <si>
    <t>anders.levermann@pik-potsdam.de</t>
  </si>
  <si>
    <t>Levermann, Anders/G-4666-2011</t>
  </si>
  <si>
    <t>Levermann, Anders/0000-0003-4432-4704; Feldmann, Johannes/0000-0003-4210-0221</t>
  </si>
  <si>
    <t>Deutsche Forschungsgemeinschaft (DFG) [LE 1448/8-1]; European Regional Development Fund (ERDF); German Federal Ministry of Education and Research; NASA [NNX13AM16G, NNX13AK27G]</t>
  </si>
  <si>
    <t>Deutsche Forschungsgemeinschaft (DFG)(German Research Foundation (DFG)); European Regional Development Fund (ERDF)(European Union (EU)); German Federal Ministry of Education and Research(Federal Ministry of Education &amp; Research (BMBF)); NASA(National Aeronautics &amp; Space Administration (NASA))</t>
  </si>
  <si>
    <t>This work was supported by the Deutsche Forschungsgemeinschaft (DFG) in the framework of the priority programme Antarctic Research with comparative investigations in Arctic ice areas by a grant LE 1448/8-1. We acknowledge the European Regional Development Fund (ERDF), the German Federal Ministry of Education and Research, and the Land Brandenburg for supporting this project by providing resources on the highperformance computer system at the Potsdam Institute for Climate Impact Research. The development of PISM was supported by NASA grants NNX13AM16G and NNX13AK27G. We thank S. Schmidtko for providing the dataset of Antarctic Ocean temperature and salinity. We are grateful to J. M. van Wessem for providing the field of Antarctic surface mass balance. We acknowledge the valuable comments and suggestions of two anonymous reviewers.</t>
  </si>
  <si>
    <t>eaaw4132</t>
  </si>
  <si>
    <t>10.1126/sciadv.aaw4132</t>
  </si>
  <si>
    <t>IN6EO</t>
  </si>
  <si>
    <t>WOS:000478770400070</t>
  </si>
  <si>
    <t>Gao, M; Sherman, P; Song, SJ; Yu, YY; Wu, ZW; McElroy, MB</t>
  </si>
  <si>
    <t>Gao, Meng; Sherman, Peter; Song, Shaojie; Yu, Yueyue; Wu, Zhiwei; McElroy, Michael B.</t>
  </si>
  <si>
    <t>Seasonal prediction of Indian wintertime aerosol pollution using the ocean memory effect</t>
  </si>
  <si>
    <t>SEA-SURFACE TEMPERATURE; EXTRATROPICAL CIRCULATION; PERSISTENT HAZE; AIR-POLLUTION; ANNULAR MODES; SOUTH-ASIA; PART II; PRECIPITATION; VARIABILITY; EMISSIONS</t>
  </si>
  <si>
    <t>As China makes every effort to control air pollution, India emerges as the world's most polluted country, receiving worldwide attention with frequent winter (boreal) haze extremes. In this study, we found that the interannual variability of wintertime aerosol pollution over northern India is regulated mainly by a combination of El Nino and the Antarctic Oscillation (AAO). Both El Nino sea surface temperature (SST) anomalies and AAO-induced Indian Ocean Meridional Dipole SST anomalies can persist from autumn to winter, offering prospects for a prewinter forecast of wintertime aerosol pollution over northern India. We constructed a multivariable regression model incorporating El Nino and AAO indices for autumn to predict wintertime AOD. The prediction exhibits a high degree of consistency with observation, with a correlation coefficient of 0.78 (P &lt; 0.01). This statistical model could allow the Indian government to forecast aerosol pollution conditions in winter and accordingly improve plans for pollution control.</t>
  </si>
  <si>
    <t>[Gao, Meng] Hong Kong Baptist Univ, Dept Geog, Kowloon Tong, Hong Kong, Peoples R China; [Gao, Meng; Song, Shaojie; McElroy, Michael B.] Harvard Univ, Sch Engn &amp; Appl Sci, Cambridge, MA 02138 USA; [Sherman, Peter; McElroy, Michael B.] Harvard Univ, Dept Earth &amp; Planetary Sci, Cambridge, MA 02138 USA; [Yu, Yueyue] Nanjing Univ Informat Sci &amp; Technol, Key Lab Meteorolog Disaster, Nanjing 210044, Jiangsu, Peoples R China; [Wu, Zhiwei] Fudan Univ, Inst Atmospher Sci, Shanghai 200438, Peoples R China</t>
  </si>
  <si>
    <t>Hong Kong Baptist University; Harvard University; Harvard University; Nanjing University of Information Science &amp; Technology; Fudan University</t>
  </si>
  <si>
    <t>Gao, M (corresponding author), Hong Kong Baptist Univ, Dept Geog, Kowloon Tong, Hong Kong, Peoples R China.;Gao, M; McElroy, MB (corresponding author), Harvard Univ, Sch Engn &amp; Appl Sci, Cambridge, MA 02138 USA.;McElroy, MB (corresponding author), Harvard Univ, Dept Earth &amp; Planetary Sci, Cambridge, MA 02138 USA.</t>
  </si>
  <si>
    <t>mmgao2@hkbu.edu.hk; mbm@seas.harvard.edu</t>
  </si>
  <si>
    <t>Wu, Zhiwei/KHE-4328-2024; Song, Shaojie/A-1948-2012; GAO, Meng/AAL-6653-2021</t>
  </si>
  <si>
    <t>Song, Shaojie/0000-0001-6395-7422; GAO, Meng/0000-0002-8657-3541; Sherman, Peter/0000-0002-2140-0420</t>
  </si>
  <si>
    <t>Harvard Global Institute</t>
  </si>
  <si>
    <t>This study was supported by the Harvard Global Institute.</t>
  </si>
  <si>
    <t>eaav4157</t>
  </si>
  <si>
    <t>10.1126/sciadv.aav4157</t>
  </si>
  <si>
    <t>WOS:000478770400022</t>
  </si>
  <si>
    <t>Yu, GH; Sun, ZC; Peng, JX; Zhu, ML; Che, Q; Zhang, GJ; Zhu, TJ; Gu, QQ; Li, DH</t>
  </si>
  <si>
    <t>Yu, Guihong; Sun, Zichao; Peng, Jixing; Zhu, Meilin; Che, Qian; Zhang, Guojian; Zhu, Tianjiao; Gu, Qjanqun; Li, Dehai</t>
  </si>
  <si>
    <t>Secondary Metabolites Produced by Combined Culture of Penicillium crustosum and a Xylaria sp.</t>
  </si>
  <si>
    <t>MARINE-DERIVED FUNGUS; INDUCTION; BIOSYNTHESIS; POLYKETIDES; COCULTURE; ASSAY</t>
  </si>
  <si>
    <t>Four new alkyl aromatics, penixylarins A-D (1-4), along with the known biogenetically related 1,3-dihydroxy-5-(12-hydroxyheptadecyl)benzene (5) and 1,3dihydroxy-5-(12-sulfoxyheptadecyl)benzene (6), were isolated from a mixed culture of the Antarctic deep-sea-derived fungus Penicillium crustosum PRB-2 and the mangrove-derived fungus Xylaria sp. HDN13-249. UPLC-MS data and an analysis of structural features showed that compounds 1 and 2 were produced by collaboration of the two fungi, while compounds 3-6 could be produced by Xylaria sp. HDN13-249 alone, but in noticeably increased quantities by cocultivation. Compounds 2, 3, 5, and 6 showed antibacterial activity against a panel of strains, and compound 3 possessed potential antituberculosis effects (MIC = 6.25 mu M against Mycobacterium phlei).</t>
  </si>
  <si>
    <t>[Yu, Guihong; Sun, Zichao; Zhu, Meilin; Che, Qian; Zhang, Guojian; Zhu, Tianjiao; Gu, Qjanqun; Li, Dehai] Ocean Univ China, Key Lab Marine Drugs, Chinese Minist Educ, Sch Med &amp; Pharm, Qingdao 266003, Shandong, Peoples R China; [Zhang, Guojian; Zhu, Tianjiao; Li, Dehai] Qingdao Pilot Natl Lab Marine Sci &amp; Technol, Lab Marine Drugs &amp; Bioprod, Qingdao 266237, Shandong, Peoples R China; [Peng, Jixing] Chinese Acad Fishery Sci, Key Lab Testing &amp; Evaluat Aquat Prod Safety &amp; Qua, Minist Agr &amp; Rural Affairs, Yellow Sea Fisheries Res Inst, Qingdao 266071, Shandong, Peoples R China</t>
  </si>
  <si>
    <t>Ocean University of China; Laoshan Laboratory; Chinese Academy of Fishery Sciences; Yellow Sea Fisheries Research Institute, CAFS; Ministry of Agriculture &amp; Rural Affairs</t>
  </si>
  <si>
    <t>Li, DH (corresponding author), Ocean Univ China, Key Lab Marine Drugs, Chinese Minist Educ, Sch Med &amp; Pharm, Qingdao 266003, Shandong, Peoples R China.;Li, DH (corresponding author), Qingdao Pilot Natl Lab Marine Sci &amp; Technol, Lab Marine Drugs &amp; Bioprod, Qingdao 266237, Shandong, Peoples R China.</t>
  </si>
  <si>
    <t>dehaili@ouc.edu.cn</t>
  </si>
  <si>
    <t>Li, Dehai/G-7656-2012</t>
  </si>
  <si>
    <t>Li, Dehai/0000-0002-7191-2002; Peng, Jixing/0000-0002-2073-3389</t>
  </si>
  <si>
    <t>National Natural Science Foundation of China [41806167, 41606166]; Fundamental Research Funds for the Central Universities [201941001]; Marine S&amp;T Fund of Shandong Province for Pilot National Laboratory for Marine Science and Technology (Qingdao) [2018SDKJ0401-2]; China Postdoctoral Science Foundation [2017M622286]; Taishan Scholar Youth Expert Program in Shandong Province [tsqn201812021]; Qingdao Postdoctoral Applied Research Project - Qingdao Municipal Bureau of Human Resource and Social Security</t>
  </si>
  <si>
    <t>National Natural Science Foundation of China(National Natural Science Foundation of China (NSFC)); Fundamental Research Funds for the Central Universities(Fundamental Research Funds for the Central Universities); Marine S&amp;T Fund of Shandong Province for Pilot National Laboratory for Marine Science and Technology (Qingdao); China Postdoctoral Science Foundation(China Postdoctoral Science Foundation); Taishan Scholar Youth Expert Program in Shandong Province; Qingdao Postdoctoral Applied Research Project - Qingdao Municipal Bureau of Human Resource and Social Security</t>
  </si>
  <si>
    <t>This work was financially supported by the National Natural Science Foundation of China (41806167, 41606166), the Fundamental Research Funds for the Central Universities (201941001), the Marine S&amp;T Fund of Shandong Province for Pilot National Laboratory for Marine Science and Technology (Qingdao) (No. 2018SDKJ0401-2), Project Funded by China Postdoctoral Science Foundation (2017M622286), Taishan Scholar Youth Expert Program in Shandong Province (tsqn201812021), and Qingdao Postdoctoral Applied Research Project Financially Supported by Qingdao Municipal Bureau of Human Resource and Social Security.</t>
  </si>
  <si>
    <t>10.1021/acs.jnatprod.9b00345</t>
  </si>
  <si>
    <t>IM3TN</t>
  </si>
  <si>
    <t>WOS:000477917800033</t>
  </si>
  <si>
    <t>Wang, LL; Yang, F; Rong, YL; Yuan, Y; Ding, YT; Shi, WZ; Wang, ZH</t>
  </si>
  <si>
    <t>Wang, Linlin; Yang, Feng; Rong, Yali; Yuan, Yuan; Ding, Yatao; Shi, Wenzheng; Wang, Zhihe</t>
  </si>
  <si>
    <t>Effects of different proteases enzymatic extraction on the lipid yield and quality of Antarctic krill oil</t>
  </si>
  <si>
    <t>enzymatic extraction; lipid yield; protease; quality</t>
  </si>
  <si>
    <t>EUPHAUSIA-SUPERBA; IODINE VALUE; ACID; PHOSPHOLIPIDS; GROWTH; MEAL; SEA</t>
  </si>
  <si>
    <t>This study was investigated the effects of six proteases (papain, compound proteinase, acidic protease, neutrase, pancreatin, and alcalase) on the lipid yield and quality of krill oil. The result shown that the krill oil extracted by alcalase and compound proteinase led to comparatively higher lipid yields (5.29% and 4.90%, respectively), Content of tocopherols and vitamin A, the content of omega-3 polyunsaturated fatty acids (PUFAs) and phospholipids extracted by alcalase was relatively higher. Control and alcalase had comparatively higher concentration of astaxanthin. On the whole, compared with the extraction of solvent, enzymatic hydrolysis could improve the quality and the lipid yield of krill oil. Therefore, enzymatic hydrolysis could be used as a better method to extract krill oil.</t>
  </si>
  <si>
    <t>[Wang, Linlin; Yang, Feng; Rong, Yali; Yuan, Yuan; Ding, Yatao; Shi, Wenzheng; Wang, Zhihe] Shanghai Ocean Univ, Coll Food Sci &amp; Technol, Shanghai, Peoples R China; [Wang, Linlin; Yang, Feng; Rong, Yali; Yuan, Yuan; Ding, Yatao; Shi, Wenzheng; Wang, Zhihe] Natl R&amp;D Branch Ctr Freshwater Aquat Prod Proc Te, Shanghai, Peoples R China</t>
  </si>
  <si>
    <t>Shanghai Ocean University</t>
  </si>
  <si>
    <t>Wang, ZH (corresponding author), Shanghai Ocean Univ, Coll Food Sci &amp; Technol, Shanghai, Peoples R China.</t>
  </si>
  <si>
    <t>zhwang@shou.edu.cn</t>
  </si>
  <si>
    <t>National Science and Technology Support Plan [2011AA090801]</t>
  </si>
  <si>
    <t>National Science and Technology Support Plan</t>
  </si>
  <si>
    <t>National Science and Technology Support Plan, Grant/Award Number: 2011AA090801</t>
  </si>
  <si>
    <t>10.1002/fsn3.1017</t>
  </si>
  <si>
    <t>IL1KT</t>
  </si>
  <si>
    <t>WOS:000477059700003</t>
  </si>
  <si>
    <t>Galera, H; Rudak, A; Czyz, EA; Chwedorzewska, KJ; Znój, A; Wódkiewicz, M</t>
  </si>
  <si>
    <t>Galera, Halina; Rudak, Agnieszka; Czyz, Ewa A.; Chwedorzewska, Katarzyna J.; Znoj, Anna; Wodkiewicz, Maciej</t>
  </si>
  <si>
    <t>The role of the soil seed store in the survival of an invasive population of Poa annua at Point Thomas Oasis, King George Island, maritime Antarctica</t>
  </si>
  <si>
    <t>GLOBAL ECOLOGY AND CONSERVATION</t>
  </si>
  <si>
    <t>Seed germination; Temporal rescue effect; Cartogram; Eradication</t>
  </si>
  <si>
    <t>BIOLOGICAL INVASIONS; PLANT INVASIONS; SOUTH SHETLAND; ALIEN PLANTS; ERADICATION; BANK; L.; MANAGEMENT; RISK; ESTABLISHMENT</t>
  </si>
  <si>
    <t>Poa annua, an invasive species in the Antarctic, had established a relatively large population at Point Thomas Oasis (Maritime Antarctic) recorded from 1985/1986 austral summer. We present a detailed account of the expansion of P. annua across its 30 years of establishment (1985/1986, 1986/1987, 1987/1988, 1989/1990 and 1991/1992 - historic data, 2014/2015 and 2015/2016 - our own observations) and how this relates to the historical human activity at this site. We also evaluate the first stages of the control effort, i.e. tussock removal by hand. For a subset of the removed tussocks we also removed soil in order to assess the importance of the soil seed bank in the course of this invasion. The population showed a spatio-temporal dynamic increase in area from 1985/1986 to 1987/1988 growing season followed by a decrease in area noted in 1989/1990 and subsequent increase in area and diversity of occupied habitats. Analysis of distribution dynamics did not show a significant difference in the number of tussocks recorded in the 2014/2015 austral summer between cartogram squares occupied in 1991/1992 or earlier, and those occupied just in 2014/2015. There was, however, a high correlation in the number of tussocks per square between the 2014/2015 and 2015/2016 census. Field observations conducted in 2015/2016 within the whole Point Thomas Oasis indicated that on 6 out of 51 sites cleared during the 2014/2015 austral summer, P. annua had re-established, mostly on sites where no soil was collected. Of the soil samples removed from beneath tussocks, seed germinated in 19% of the samples (160 seedlings in total). These results indicate that the strategy of soil seed bank formation has been very effective in extreme Antarctic conditions, providing a 'temporal rescue effect' which has enabled the survival of the population, and hinders the effective eradication of this invasive species. (C) 2019 Published by Elsevier B.V.</t>
  </si>
  <si>
    <t>[Galera, Halina; Rudak, Agnieszka; Wodkiewicz, Maciej] Univ Warsaw, Dept Plant Ecol &amp; Environm Conservat, Fac Biol, Biol &amp; Chem Res Ctr, Zwirki &amp; Wigury 101, PL-02089 Warsaw, Poland; [Czyz, Ewa A.] Univ Zurich, Dept Geog, Remote Sensing Labs, Winterthurerstr 190, CH-8057 Zurich, Switzerland; [Chwedorzewska, Katarzyna J.; Znoj, Anna] Inst Biochem &amp; Biophys PAS, Pawinskiego 5a, PL-02106 Warsaw, Poland; [Chwedorzewska, Katarzyna J.] Warsaw Univ Life Sci SGGW, Dept Agron, Nowoursynowska 159, PL-02766 Warsaw, Poland</t>
  </si>
  <si>
    <t>University of Warsaw; University of Zurich; Polish Academy of Sciences; Institute of Biochemistry &amp; Biophysics - Polish Academy of Sciences; Warsaw University of Life Sciences</t>
  </si>
  <si>
    <t>Galera, H (corresponding author), Univ Warsaw, Dept Plant Ecol &amp; Environm Conservat, Fac Biol, Biol &amp; Chem Res Ctr, Zwirki &amp; Wigury 101, PL-02089 Warsaw, Poland.</t>
  </si>
  <si>
    <t>h.galera@uw.edu.pl; a.rudak@biol.uw.edu.pl; ewa.czyz@geo.uzh.ch; katarzyna_chwedorzewska@sggw.pl; aznoj@ibb.waw.pl; wodkie@biol.uw.edu.pl</t>
  </si>
  <si>
    <t>Chwedorzewska, Katarzyna/M-9721-2019; Galera, Halina/V-5347-2018; Znój, Anna/AAX-3819-2021; Rudak, Agnieszka/ISS-5183-2023; Chwedorzewska, Katarzyna J/A-9480-2008; Galera, Halina/IUQ-1030-2023</t>
  </si>
  <si>
    <t>Chwedorzewska, Katarzyna/0000-0001-6860-3666; Galera, Halina/0000-0001-6983-0908; Znój, Anna/0000-0002-8424-6707; Rudak, Agnieszka/0000-0002-9638-7726; Czyz, Ewa Agata/0000-0002-4505-0701; Wodkiewicz, Maciej/0000-0002-7358-126X</t>
  </si>
  <si>
    <t>National Science Centre [2013/09/B/NZ8/03293]; EU European Regional Development Fund under the Innovative Economy Operational Program</t>
  </si>
  <si>
    <t>National Science Centre(National Science Centre, Poland); EU European Regional Development Fund under the Innovative Economy Operational Program</t>
  </si>
  <si>
    <t>This work was supported by The National Science Centre, grant No. 2013/09/B/NZ8/03293. Part of this study was carried out at the Biological and Chemical Research Centre, University of Warsaw, established within a project co-financed by the EU European Regional Development Fund under the Innovative Economy Operational Program, 2007-2013. Part of the material used in the paper was collected at Henryk Arctowski Polish Antarctic Station.</t>
  </si>
  <si>
    <t>2351-9894</t>
  </si>
  <si>
    <t>GLOB ECOL CONSERV</t>
  </si>
  <si>
    <t>Glob. Ecol. Conserv.</t>
  </si>
  <si>
    <t>e00679</t>
  </si>
  <si>
    <t>10.1016/j.gecco.2019.e00679</t>
  </si>
  <si>
    <t>IM0RE</t>
  </si>
  <si>
    <t>WOS:000477695200032</t>
  </si>
  <si>
    <t>Mooney, TJ; Wasley, J; Raymond, B; Andrew, NR; King, CK</t>
  </si>
  <si>
    <t>Mooney, Thomas J.; Wasley, Jane; Raymond, Ben; Andrew, Nigel R.; King, Catherine K.</t>
  </si>
  <si>
    <t>Response of the Native Springtail Parisotoma insularis to Diesel Fuel-Contaminated Soils Under Field-Realistic Exposure Conditions at Subantarctic Macquarie Island</t>
  </si>
  <si>
    <t>INTEGRATED ENVIRONMENTAL ASSESSMENT AND MANAGEMENT</t>
  </si>
  <si>
    <t>Petroleum hydrocarbon; Toxicity; Sensitivity; Invertebrate; Environmental guidelines</t>
  </si>
  <si>
    <t>FOLSOMIA-CANDIDA; MARION-ISLAND; TOXICITY; COLLEMBOLA; BIOAVAILABILITY; COMMUNITIES; SEQUESTRATION; BIODIVERSITY; MANAGEMENT; RISK</t>
  </si>
  <si>
    <t>A number of sites contaminated by petroleum hydrocarbons from past fuel spills are currently undergoing remediation on subantarctic Macquarie Island (under the jurisdiction of Tasmania, Australia). To assess the environmental risks these spills pose, and to establish remediation targets and guideline values, toxicity data for a range of native biota are required. The availability of data for local biota is limited, especially for soil invertebrates, which are critical to soil health. To examine the response of naturally occurring soil invertebrate communities to fuel contamination, intact soil cores from a range of soil types were collected along an organic carbon (OC) gradient. Organic carbon was factored into the toxicity assessment due to its toxicity-modifying potential. Soil cores were spiked with Special Antarctic Blend diesel, to mimic a fresh fuel spill at the soil surface. Springtails were the most abundant taxa, with the community heavily dominated by the native species Parisotoma insularis. This species was sensitive to fuel contamination (EC20 48 mg/kg, CI 5-188), irrespective of soil organic content. This study is the first to derive critical effect concentrations (CECs) for a subantarctic springtail species and provides important data that will be incorporated into future derivation of site-specific soil quality guideline values for fuels for Macquarie Island soils and the broader subantarctic region. Integr Environ Assess Manag 2019;00:1-10. (c) 2019 SETAC</t>
  </si>
  <si>
    <t>[Mooney, Thomas J.; Wasley, Jane; Raymond, Ben; King, Catherine K.] Australian Govt, Dept Environm &amp; Energy, Australian Antarctic Div, Kingston, Tas, Australia; [Mooney, Thomas J.; Andrew, Nigel R.] Univ New England, Zool, Armidale, NSW, Australia</t>
  </si>
  <si>
    <t>Australian Antarctic Division; University of New England</t>
  </si>
  <si>
    <t>King, CK (corresponding author), Australian Govt, Dept Environm &amp; Energy, Australian Antarctic Div, Kingston, Tas, Australia.</t>
  </si>
  <si>
    <t>cath.king@aad.gov.au</t>
  </si>
  <si>
    <t>Wasley, Jane/KHX-4880-2024; King, Catherine/G-7059-2017; Andrew, Nigel/B-7162-2008</t>
  </si>
  <si>
    <t>Wasley, Jane/0000-0001-9379-664X; King, Catherine/0000-0003-3356-0381; Andrew, Nigel/0000-0002-2850-2307; Mooney, Thomas/0000-0002-9217-6382</t>
  </si>
  <si>
    <t>Australian Antarctic Science (AAS) [1163, 2933, 4100] Funding Source: Medline</t>
  </si>
  <si>
    <t>Australian Antarctic Science (AAS)</t>
  </si>
  <si>
    <t>1551-3777</t>
  </si>
  <si>
    <t>1551-3793</t>
  </si>
  <si>
    <t>INTEGR ENVIRON ASSES</t>
  </si>
  <si>
    <t>Integr. Environ. Assess. Manag.</t>
  </si>
  <si>
    <t>10.1002/ieam.4148</t>
  </si>
  <si>
    <t>IM0HQ</t>
  </si>
  <si>
    <t>WOS:000477668500009</t>
  </si>
  <si>
    <t>Mahaney, WC</t>
  </si>
  <si>
    <t>Mahaney, W. C.</t>
  </si>
  <si>
    <t>Paleoenvironmental Archives in Rock Rinds and Sand/Silt Coatings</t>
  </si>
  <si>
    <t>JOURNAL OF GEOLOGY</t>
  </si>
  <si>
    <t>BIOMASS-BURNING EPISODE; YOUNGER DRYAS BOUNDARY; WEATHERING RINDS; WESTERN ALPS; MOUNT KENYA; ANTARCTIC PALEOSOLS; RELATIVE-AGE; IMPACT; MARS; MORAINES</t>
  </si>
  <si>
    <t>Organo-mineral chemical coatings in rock rinds and sands and silts, underappreciated research until recently, offer a wealth of paleoenvironmental records derived from chemical and biomineral weathering over varying time frames. Rock rinds as well as sands and silts in paleosols carry various detailed records ranging from thin weathered films in young (Holocene) samples to thicker, often overprinted records in recycled sands/rinds of Pleistocene and older age, some as old as Miocene and Late Oligocene. Whereas rinds on Earth are confined to the Late Paleogene/Neogene, similar examples on Mars extend into the Noachian (similar to 4 Ga). New research outlined here shows that coatings tend to produce altered microsurfaces conducive to microbe growth with fossil forms found in a variety of different microenvironments, including extreme polar and tropical locales. Organo-chemical coatings on sands in paleosols reveal a wealth of biomarkers important in paleoenvironmental reconstruction from pole to equator. Rock rinds, revealed here, are shown to carry weathering zones in microcosm that often bear a close similarity to juxtaposed paleosols, the latter carrying mature A/B/C/Cu horizonation, indicating that weathering forces affecting a substrate are fine-tuned to similar kinetic forces acting on clasts in surface deposits. Aeolian and cosmic airburst inputs to rock rinds and chemical reconstruction of Si/Al wreckages leading to clay mineral reconstruction are also found in some rind and paleosol records. Analyses of such coatings using the light microscope, scanning electron microscope/energy dispersive spectrometer, focused ion beam, and secondary ion mass spectrometer offer the prospect of revealing still more secondary organo-mineral compounds, whose relation to primary mineral weathering is of importance to understanding pedogenic and diagenetic processes. The sum total of environmental change over time, written or embedded in rinds and sand/silt coatings, when subjected to high-resolution microscopy offers a novel mineral archive at the nanometer level and above.</t>
  </si>
  <si>
    <t>[Mahaney, W. C.] Quaternary Surveys, 26 Thornhill Ave, Thornhill, ON L4J 1J4, Canada</t>
  </si>
  <si>
    <t>Mahaney, WC (corresponding author), Quaternary Surveys, 26 Thornhill Ave, Thornhill, ON L4J 1J4, Canada.</t>
  </si>
  <si>
    <t>Quaternary Surveys (Toronto); Event Kiwi 105; National Geographic Society [9988-16]; Natural Sciences and Engineering Research Council of Canada (NSERC) [A-9021]; York University, Toronto</t>
  </si>
  <si>
    <t>Quaternary Surveys (Toronto); Event Kiwi 105; National Geographic Society(National Geographic Society); Natural Sciences and Engineering Research Council of Canada (NSERC)(Natural Sciences and Engineering Research Council of Canada (NSERC)); York University, Toronto</t>
  </si>
  <si>
    <t>This research was funded by Quaternary Surveys (Toronto). I am indebted to Chris Allen (Queen's University Belfast) and Kris Hart (University of Birmingham) for assistance with checking my biological interpretations. I am indebted to the late David Krinsley and his associates, Kurt Langworthy and Robert Fischer, at the Center for Advanced Materials Characterization in Oregon (CAMCOR), University of Oregon, for years of analytical support, some of which is included in this summary report. The Antarctic research was carried out under the aegis of the New Zealand Antarctic Programme, partially funded by Event Kiwi 105. Research dealing with the superposition of sediment related to the classical history of the Alps over older Holocene/Late Pleistocene sediment was funded by the National Geographic Society (grant 9988-16). I gratefully acknowledge support from the Natural Sciences and Engineering Research Council of Canada (NSERC) for funding selected research on Mount Kenya (grant A-9021) over a number of years. Moreover, minor research grants from York University, Toronto, over the last 15 years have helped shape the research presented here.</t>
  </si>
  <si>
    <t>UNIV CHICAGO PRESS</t>
  </si>
  <si>
    <t>CHICAGO</t>
  </si>
  <si>
    <t>1427 E 60TH ST, CHICAGO, IL 60637-2954 USA</t>
  </si>
  <si>
    <t>0022-1376</t>
  </si>
  <si>
    <t>1537-5269</t>
  </si>
  <si>
    <t>J GEOL</t>
  </si>
  <si>
    <t>J. Geol.</t>
  </si>
  <si>
    <t>10.1086/703537</t>
  </si>
  <si>
    <t>IL0TO</t>
  </si>
  <si>
    <t>WOS:000477013000002</t>
  </si>
  <si>
    <t>Leiva, C; Taboada, S; Kenny, NJ; Combosch, D; Giribet, G; Jombar, T; Riesgo, A</t>
  </si>
  <si>
    <t>Leiva, Carlos; Taboada, Sergi; Kenny, Nathan J.; Combosch, David; Giribet, Gonzalo; Jombar, Thibaut; Riesgo, Ana</t>
  </si>
  <si>
    <t>Population substructure and signals of divergent adaptive selection despite admixture in the sponge Dendrilla antarctica from shallow waters surrounding the Antarctic Peninsula</t>
  </si>
  <si>
    <t>adaptation; ddRADseq; mitochondrial genome; RNA-seq; SNPs; South Shetland Islands</t>
  </si>
  <si>
    <t>STRESS GRANULES; BRANSFIELD STRAIT; GENETIC-STRUCTURE; LOCAL ADAPTATION; CLIMATE-CHANGE; R-PACKAGE; POSTTRANSCRIPTIONAL REGULATION; MARINE ECOSYSTEM; GERLACHE STRAITS; DECEPTION-ISLAND</t>
  </si>
  <si>
    <t>Antarctic shallow-water invertebrates are exceptional candidates to study population genetics and evolution, because of their peculiar evolutionary history and adaptation to extreme habitats that expand and retreat with the ice sheets. Among them, sponges are one of the major components, yet population connectivity of none of their many Antarctic species has been studied. To investigate gene flow, local adaptation and resilience to near-future changes caused by global warming, we sequenced 62 individuals of the sponge Dendrilla antarctica along the Western Antarctic Peninsula (WAP) and the South Shetlands (spanning ~900 km). We obtained information from 577 double digest restriction site-associated DNA sequencing (ddRADseq)-derived single nucleotide polymorphism (SNP), using RADseq techniques for the first time with shallow-water sponges. In contrast to other studies in sponges, our 389 neutral SNPs data set showed high levels of gene flow, with a subtle substructure driven by the circulation system of the studied area. However, the 140 outlier SNPs under positive selection showed signals of population differentiation, separating the central-southern WAP from the Bransfield Strait area, indicating a divergent selection process in the study area despite panmixia. Fourteen of these outliers were annotated, being mostly involved in immune and stress responses. We suggest that the main selective pressure on D. antarctica might be the difference in the planktonic communities present in the central-southern WAP compared to the Bransfield Strait area, ultimately depending on sea-ice control of phytoplankton blooms. Our study unveils an unexpectedly long-distance larval dispersal exceptional in Porifera, broadening the use of genome-wide markers within nonmodel Antarctic organisms.</t>
  </si>
  <si>
    <t>[Leiva, Carlos; Taboada, Sergi; Kenny, Nathan J.; Riesgo, Ana] Nat Hist Museum London, Dept Life Sci, London, England; [Leiva, Carlos] Univ Barcelona, Fac Biol, Dept Genet Microbiol &amp; Stat, Barcelona, Spain; [Taboada, Sergi] Autonomous Univ Madrid, Fac Sci, Dept Biol, Madrid, Spain; [Combosch, David] Univ Guam, Marine Lab, Mangilao, GU 96923 USA; [Giribet, Gonzalo] Harvard Univ, Dept Organism &amp; Evolutionary Biol, Cambridge, MA 02138 USA; [Jombar, Thibaut] London Sch Hyg &amp; Trop Med, Dept Infect Dis Epidemiol, London, England</t>
  </si>
  <si>
    <t>Natural History Museum London; University of Barcelona; Autonomous University of Madrid; University of Guam; Harvard University; University of London; London School of Hygiene &amp; Tropical Medicine</t>
  </si>
  <si>
    <t>Leiva, C (corresponding author), Nat Hist Museum London, Dept Life Sci, London, England.</t>
  </si>
  <si>
    <t>cleivama@gmail.com</t>
  </si>
  <si>
    <t>Kenny, Nathan/AAD-2391-2020; Leiva, Carlos/ACB-7534-2022; Riesgo, Ana/E-3341-2014; Taboada, Sergi/AAB-9390-2021</t>
  </si>
  <si>
    <t>Kenny, Nathan/0000-0003-4816-4103; Riesgo, Ana/0000-0002-7993-1523; Taboada, Sergi/0000-0003-1669-1152; Combosch, David/0000-0001-7004-7435</t>
  </si>
  <si>
    <t>MRC [MR/R015600/1] Funding Source: UKRI</t>
  </si>
  <si>
    <t>MRC(UK Research &amp; Innovation (UKRI)Medical Research Council UK (MRC))</t>
  </si>
  <si>
    <t>10.1111/mec.15135</t>
  </si>
  <si>
    <t>IM1LL</t>
  </si>
  <si>
    <t>WOS:000477750800003</t>
  </si>
  <si>
    <t>Garcia, MD; Severini, MDF; Spetter, C; Abbate, MCL; Tartara, MN; Nahuelhual, EG; Marcovecchio, JE; Schloss, IR; Hoffmeyer, MS</t>
  </si>
  <si>
    <t>Garcia, Maximiliano D.; Fernandez Severini, Melisa D.; Spetter, Carla; Lopez Abbate, Maria C.; Tartara, Matias N.; Nahuelhual, Eugenia G.; Marcovecchio, Jorge E.; Schloss, Irene R.; Hoffmeyer, Monica S.</t>
  </si>
  <si>
    <t>Effects of glacier melting on the planktonic communities of two Antarctic coastal areas (Potter Cove and Hope Bay) in summer</t>
  </si>
  <si>
    <t>REGIONAL STUDIES IN MARINE SCIENCE</t>
  </si>
  <si>
    <t>Glacier melting; Plankton food web; Antarctic peninsula</t>
  </si>
  <si>
    <t>KING-GEORGE-ISLAND; CLIMATE-CHANGE; SOUTHERN-OCEAN; PHYTOPLANKTON COMMUNITIES; TROPHIC STATUS; ICE SHELVES; PENINSULA; BIOMASS; WATERS; LAKES</t>
  </si>
  <si>
    <t>Climate change has contributed to the regional retreat and melting of glaciers in the Antarctic Peninsula. This phenomenon is expected to affect the composition of plankton communities. The aim of this study is to analyze the influence of glacier melting on the composition and structure of phytoplankton and micro- and mesozooplankton assemblages in two coastal areas located in the northwest (Potter Cove) and in the northern end (Hope Bay) of the Antarctic Peninsula during summer 2013. We expect differences in plankton assemblages between PC and HB related to the fact that these areas are subjected to different climatic and environmental conditions and that the glacier meltwater is accumulated in lakes in HB whereas the meltwater directly reaches the adjacent sea at PC. However, plankton communities differed according to their proximity to the glaciers in both areas investigated, with a transition from herbivorous to microbial plankton food webs towards the glacier. The microbial food web was favored under the effects of glacier meltwater due to the stratification of the water column that favors the development of small eukaryotic algae. These are potential prey for ciliates and heterotrophic dinoflagellates which, in turn, favors the development of small omnivorous copepods. Further away from the glaciers, the herbivorous food web consists of large phytoplankton and a greater representation of herbivorous mesozooplankton organisms. It can be inferred from this study that increases in atmospheric temperatures may favor the development of microbial plankton food webs in the Antarctic coastal seas during summer due to increased glacier meltwater. (C) 2019 Elsevier B.V. All rights reserved.</t>
  </si>
  <si>
    <t>[Garcia, Maximiliano D.; Fernandez Severini, Melisa D.; Spetter, Carla; Lopez Abbate, Maria C.; Tartara, Matias N.; Nahuelhual, Eugenia G.; Marcovecchio, Jorge E.; Hoffmeyer, Monica S.] UNS, CONICET, IADO, La Carrindanga Km 7,B8000FWB, Bahia Blanca, Buenos Aires, Argentina; [Spetter, Carla] UNS, Dept Quim, Av Alem 1253,B8000COZ, Bahia Blanca, Buenos Aires, Argentina; [Schloss, Irene R.] IAA, 25 Mayo 1143,B1650HMK, San Martin, Argentina; [Schloss, Irene R.] Consejo Nacl Invest Cient &amp; Tecn, CADIC, Bernardo Houssay 200,V9410 CAB, Ushuaia, Argentina; [Schloss, Irene R.] Univ Nacl Tierra Fuego Antartida &amp; Isl Atlantic S, Yrigoyen 879,V9410CAC, Ushuaia, Argentina; [Hoffmeyer, Monica S.] UTN, Fac Reg Bahia Blanca, 11 Abril 461,B8000LMI, Bahia Blanca, Buenos Aires, Argentina</t>
  </si>
  <si>
    <t>Consejo Nacional de Investigaciones Cientificas y Tecnicas (CONICET); National University of the South; National University of the South; Consejo Nacional de Investigaciones Cientificas y Tecnicas (CONICET)</t>
  </si>
  <si>
    <t>Garcia, MD (corresponding author), UNS, CONICET, IADO, La Carrindanga Km 7,B8000FWB, Bahia Blanca, Buenos Aires, Argentina.</t>
  </si>
  <si>
    <t>maxidg6@yahoo.com.ar</t>
  </si>
  <si>
    <t>Garcia, Maximiliano D./AAB-2490-2022; Marcovecchio, Jorge/AAQ-3365-2020</t>
  </si>
  <si>
    <t>Garcia, Maximiliano D./0000-0001-6089-7612; Lopez-Abbate, Maria Celeste/0000-0003-0264-5833</t>
  </si>
  <si>
    <t>PICTO (Proyecto de Investigacion Cientifica y Tecnologica Orientados), Argentina [35562]; PICT (Proyecto de Investigacion Cientifica y Tecnologica), Argentina [2011 1320]; European Polar Consortium, Argentina-European Research Area-Net of Jubany; PICT [2013 2031]</t>
  </si>
  <si>
    <t>PICTO (Proyecto de Investigacion Cientifica y Tecnologica Orientados), Argentina; PICT (Proyecto de Investigacion Cientifica y Tecnologica), Argentina; European Polar Consortium, Argentina-European Research Area-Net of Jubany; PICT(ANPCyT)</t>
  </si>
  <si>
    <t>The study at Carlini Station was supported by PICTO (Proyecto de Investigacion Cientifica y Tecnologica Orientados), Argentina 35562 and PICT (Proyecto de Investigacion Cientifica y Tecnologica), Argentina 2011 1320 to I.R.S. It is also part of the Interdisciplinary Modeling of Climate Change in Coastal Western Antarctica-Network for Staff Exchange and Training (IMCONET; FP7-PEOPLE-2012-IRSES) supported by the European Polar Consortium, Argentina-European Research Area-Net of Jubany. The work at Esperanza Station was partially financed by PICT 2013 2031 to M.F.S. Authors want to express our gratitude to the personal of Ejercito Argentino members of Carlini and Esperanza Stations during summer 2013 for the collaboration in the field samplings. Finally we want to thank Walter Melo for the preparation of the maps and the three anonymous reviewers for their valuable suggestions which substantially improved the quality of this paper.</t>
  </si>
  <si>
    <t>2352-4855</t>
  </si>
  <si>
    <t>REG STUD MAR SCI</t>
  </si>
  <si>
    <t>Reg. Stud. Mar. Sci.</t>
  </si>
  <si>
    <t>10.1016/j.rsma.2019.100731</t>
  </si>
  <si>
    <t>IM1QA</t>
  </si>
  <si>
    <t>WOS:000477764900014</t>
  </si>
  <si>
    <t>Saros, JE; Anderson, NJ; Juggins, S; McGowan, S; Yde, JC; Telling, J; Bullard, JE; Yallop, ML; Heathcote, AJ; Burpee, BT; Fowler, RA; Barry, CD; Northington, RM; Osburn, CL; Pla-Rabes, S; Mernild, SH; Whiteford, EJ; Andrews, MG; Kerby, JT; Post, E</t>
  </si>
  <si>
    <t>Saros, Jasmine E.; Anderson, Nicholas John; Juggins, Stephen; McGowan, Suzanne; Yde, Jacob C.; Telling, Jon; Bullard, Joanna E.; Yallop, Marian L.; Heathcote, Adam J.; Burpee, Benjamin T.; Fowler, Rachel A.; Barry, Christopher D.; Northington, Robert M.; Osburn, Christopher L.; Pla-Rabes, Sergi; Mernild, Sebastian H.; Whiteford, Erika J.; Andrews, M. Grace; Kerby, Jeffrey T.; Post, Eric</t>
  </si>
  <si>
    <t>Arctic climate shifts drive rapid ecosystem responses across the West Greenland landscape</t>
  </si>
  <si>
    <t>abrupt climate change; Arctic; nonlinear; ecosystems</t>
  </si>
  <si>
    <t>ICE-SHEET; REGIME SHIFTS; LAKE; DYNAMICS; DIATOMS; CARBON; COVER; RIVER</t>
  </si>
  <si>
    <t>Prediction of high latitude response to climate change is hampered by poor understanding of the role of nonlinear changes in ecosystem forcing and response. While the effects of nonlinear climate change are often delayed or dampened by internal ecosystem dynamics, recent warming events in the Arctic have driven rapid environmental response, raising questions of how terrestrial and freshwater systems in this region may shift in response to abrupt climate change. We quantified environmental responses to recent abrupt climate change in West Greenland using long-term monitoring and paleoecological reconstructions. Using &gt;40 years of weather data, we found that after 1994, mean June air temperatures shifted 2.2 degrees C higher and mean winter precipitation doubled from 21 to 40 mm; since 2006, mean July air temperatures shifted 1.1 degrees C higher. Nonlinear environmental responses occurred with or shortly after these abrupt climate shifts, including increasing ice sheet discharge, increasing dust, advancing plant phenology, and in lakes, earlier ice out and greater diversity of algal functional traits. Our analyses reveal rapid environmental responses to nonlinear climate shifts, underscoring the highly responsive nature of Arctic ecosystems to abrupt transitions.</t>
  </si>
  <si>
    <t>[Saros, Jasmine E.; Burpee, Benjamin T.; Fowler, Rachel A.; Northington, Robert M.] Univ Maine, Climate Change Inst, Orono, ME 04469 USA; [Saros, Jasmine E.; Burpee, Benjamin T.; Fowler, Rachel A.; Northington, Robert M.] Univ Maine, Sch Biol &amp; Ecol, Orono, ME 04469 USA; [Anderson, Nicholas John; Bullard, Joanna E.] Loughborough Univ, Dept Geog, Loughborough, Leics, England; [Juggins, Stephen] Newcastle Univ, Sch Geog Polit &amp; Sociol, Newcastle, England; [McGowan, Suzanne] Univ Nottingham, Sch Geog, Nottingham NG7 2RD, England; [Yde, Jacob C.; Mernild, Sebastian H.] Western Norway Univ Appl Sci, Dept Environm Sci, Sogndal, Norway; [Telling, Jon] Newcastle Univ, Sch Nat &amp; Environm Sci, Newcastle, England; [Yallop, Marian L.] Univ Bristol, Sch Biol Sci, Bristol, Avon, England; [Heathcote, Adam J.] Sci Museum Minnesota, St Croix Watershed Res Stn, St Paul, MN USA; [Barry, Christopher D.] Ctr Ecol &amp; Hydrol, Bangor LL57 2UW, Gwynedd, Wales; [Osburn, Christopher L.] North Carolina State Univ, Dept Marine Earth &amp; Atmospher Sci North, Raleigh, NC USA; [Pla-Rabes, Sergi] Ctr Ecol Res &amp; Forestry Applicat, CREAF, Barcelona, Spain; [Mernild, Sebastian H.] Nansen Environm &amp; Remote Sensing Ctr, Bergen, Norway; [Mernild, Sebastian H.] Univ Magallanes, Antarctic &amp; Subantarctic Program, Punta Arenas, Chile; [Whiteford, Erika J.] Nottingham Trent Univ, Sch Sci &amp; Technol, Nottingham, England; [Andrews, M. Grace] Univ Southampton, Natl Oceanog Ctr, Ocean &amp; Earth Sci, Southampton, Hants, England; [Kerby, Jeffrey T.] Dartmouth Coll, Neukom Inst Computat Sci, Hanover, NH 03755 USA; [Post, Eric] Univ Calif Davis, Dept Wildlife Fish &amp; Conservat Biol, Davis, CA 95616 USA</t>
  </si>
  <si>
    <t>University of Maine System; University of Maine Orono; University of Maine System; University of Maine Orono; Loughborough University; Newcastle University - UK; University of Nottingham; Western Norway University of Applied Sciences; Newcastle University - UK; University of Bristol; UK Centre for Ecology &amp; Hydrology (UKCEH); North Carolina State University; University of Barcelona; Centro de Investigacion Ecologica y Aplicaciones Forestales (CREAF-CERCA); Nansen Environmental &amp; Remote Sensing Center (NERSC); Universidad de Magallanes; Nottingham Trent University; University of Southampton; NERC National Oceanography Centre; Dartmouth College; University of California System; University of California Davis</t>
  </si>
  <si>
    <t>Saros, JE (corresponding author), Univ Maine, Climate Change Inst, Orono, ME 04469 USA.;Saros, JE (corresponding author), Univ Maine, Sch Biol &amp; Ecol, Orono, ME 04469 USA.</t>
  </si>
  <si>
    <t>jasmine.saros@maine.edu</t>
  </si>
  <si>
    <t>, Marian/JSL-4087-2023; McGowan, Suzanne/GZB-0118-2022; Fowler, Rachel/JFA-1083-2023; Osburn, Chris/A-9339-2010; Pla-Rabes, Sergi/J-9209-2012; Telling, Jon/HZJ-3880-2023; Mernild, Sebastian H./M-5516-2013</t>
  </si>
  <si>
    <t>Pla-Rabes, Sergi/0000-0003-3532-9466; Heathcote, Adam/0000-0002-9633-9548; Northington, Robert/0000-0002-1347-0971; Osburn, Christopher/0000-0002-9334-4202; Fowler, Rachel/0000-0002-4906-6372; Saros, Jasmine/0000-0002-7652-9985; Mernild, Sebastian H./0000-0003-0797-3975; Kerby, Jeffrey/0000-0002-2739-9096; Bullard, Joanna/0000-0002-2030-0188</t>
  </si>
  <si>
    <t>US National Science Foundation [1203434, 1144423, 1525636, 1107381, 0902125]; UK Natural Environmental Research Council [NE/K000349/1, NE/G019622/1]; Climate Change Institute of the University of Maine; Western Norway University of Applied Sciences; Division Of Graduate Education; Direct For Education and Human Resources [1144423] Funding Source: National Science Foundation; NERC [NE/K000276/1, NE/G019622/1, NE/K000349/1] Funding Source: UKRI</t>
  </si>
  <si>
    <t>US National Science Foundation(National Science Foundation (NSF)); UK Natural Environmental Research Council(UK Research &amp; Innovation (UKRI)Natural Environment Research Council (NERC)); Climate Change Institute of the University of Maine; Western Norway University of Applied Sciences; Division Of Graduate Education; Direct For Education and Human Resources(National Science Foundation (NSF)NSF - Directorate for STEM Education (EDU)); NERC(UK Research &amp; Innovation (UKRI)Natural Environment Research Council (NERC))</t>
  </si>
  <si>
    <t>We thank Gordon Hamilton for assistance with satellite imagery, Johanna Cairns for figure rendering, and Peter Leavitt for constructive comments. Research funded by the US National Science Foundation (grant nos. 1203434, 1144423, 1525636, 1107381, and 0902125) and UK Natural Environmental Research Council (nos. NE/K000349/1 and NE/G019622/1) contributed to this work. This manuscript resulted from activities of the Kangerlussuaq International Research Network (KAIRN) at two workshops, funded by the Climate Change Institute of the University of Maine and by the Western Norway University of Applied Sciences.</t>
  </si>
  <si>
    <t>10.1088/1748-9326/ab2928</t>
  </si>
  <si>
    <t>IJ3HM</t>
  </si>
  <si>
    <t>WOS:000475794700004</t>
  </si>
  <si>
    <t>Písková, A; Roman, M; Bulínová, M; Pokorny, M; Sanderson, D; Cresswell, A; Lirio, JM; Coria, SH; Nedbalová, L; Lami, A; Musazzi, S; Van de Vijver, B; Nyvlt, D; Kopalová, K</t>
  </si>
  <si>
    <t>Piskova, Anna; Roman, Matej; Bulinova, Marie; Pokorny, Matej; Sanderson, David; Cresswell, Alan; Manuel Lirio, Juan; Herminda Coria, Silvia; Nedbalova, Linda; Lami, Andrea; Musazzi, Simona; Van de Vijver, Bart; Nyvlt, Daniel; Kopalova, Katerina</t>
  </si>
  <si>
    <t>Late-Holocene palaeoenvironmental changes at Lake Esmeralda (Vega Island, Antarctic Peninsula) based on a multi-proxy analysis of laminated lake sediment</t>
  </si>
  <si>
    <t>Antarctica; lake sediment; OSL; palaeolimnology; late-Holocene climate; river piracy</t>
  </si>
  <si>
    <t>JAMES-ROSS-ISLAND; SOUTH-SHETLAND-ISLANDS; LAYER THERMAL REGIME; FRESH-WATER LAKES; LIVINGSTON-ISLAND; GLACIAL HISTORY; BYERS PENINSULA; ULU PENINSULA; CAPE LAMB; ICE</t>
  </si>
  <si>
    <t>We have studied laminated sediments from Lake Esmeralda, Vega Island, in order to reconstruct its history. We describe both inorganic and organic components of the sediment using a combination of the following analytical methods: x-ray fluorescence (XRF), x-ray diffraction (XRD), magnetic susceptibility measurement, chemical analysis for determination of cation exchange capacity, grain size determination, geochemical analyses (total inorganic carbon (TIC), total organic carbon (TOC), total sulphur (TS)), spectrophotometry, high-pressure liquid chromatography, and diatom assemblage and faunal remains characterization. The geochronology of the core was based on modelling optically stimulated luminescence ages and supported by laminae counting. The dating results imply a maximum age of similar to 400 years for the 177-cm long core and a period covered of similar to 200 years, suggesting (quasi-)annual laminae formation. Such a young age contradicts previous findings based on radiocarbon dating. Geomorphological evidence indicates that river capture isolated the lake catchment from upslope sediment delivery, effectively terminating accumulation similar to 230 years ago. Conversely, our short-term palaeoenvironmental record yields a subdecadal temporal resolution, which is unparalleled in comparison with other Antarctic palaeolimnological studies. Our interpretations of the geochemical and mineralogical proxy data give us insight into the past lake catchment and waterbody evolution, and lead us to recognize periods of enhanced weathering, bottom anoxia and to distinguish major lake level changes.</t>
  </si>
  <si>
    <t>[Piskova, Anna; Bulinova, Marie; Pokorny, Matej; Nedbalova, Linda; Kopalova, Katerina] Charles Univ Prague, Fac Sci, Dept Ecol, Vinicna 7, CR-12844 Prague, Czech Republic; [Roman, Matej; Nyvlt, Daniel] Masaryk Univ, Fac Sci, Dept Geog, Brno, Czech Republic; [Roman, Matej] Charles Univ Prague, Fac Sci, Dept Phys Geog, Prague, Czech Republic; [Sanderson, David; Cresswell, Alan] SUERC, Glasgow, Lanark, Scotland; [Manuel Lirio, Juan; Herminda Coria, Silvia] Inst Antartico Argentino, Buenos Aires, DF, Argentina; [Lami, Andrea; Musazzi, Simona] Ist Studio Ecosistemi, Sesto Fiorentino, Italy; [Van de Vijver, Bart] Bot Garden Meise, Meise, Belgium</t>
  </si>
  <si>
    <t>Charles University Prague; Masaryk University Brno; Charles University Prague; Scottish Universities Research &amp; Reactor Center; Instituto Antartico Argentino; Consiglio Nazionale delle Ricerche (CNR); Istituto per lo Studio degli Ecosistemi (ISE-CNR)</t>
  </si>
  <si>
    <t>Písková, A (corresponding author), Charles Univ Prague, Fac Sci, Dept Ecol, Vinicna 7, CR-12844 Prague, Czech Republic.</t>
  </si>
  <si>
    <t>anna@piska.net</t>
  </si>
  <si>
    <t>Nedbalová, Linda/AAF-1001-2022; Musazzi, Simona/AGR-3253-2022; Kopalová, Kateřina/M-6207-2017; Nedbalová, Linda/AFF-8321-2022; Roman, Matěj/AAN-4194-2020; Pokorný, Matěj/R-5314-2018; Cresswell, Alan/B-5222-2009; Lami, Andrea/M-3982-2019; Nyvlt, Daniel/J-6504-2019</t>
  </si>
  <si>
    <t>Nedbalová, Linda/0000-0003-1800-714X; Musazzi, Simona/0000-0001-5549-0084; Nedbalová, Linda/0000-0003-1800-714X; Roman, Matěj/0000-0003-4741-5169; Pokorný, Matěj/0000-0003-0169-3737; Cresswell, Alan/0000-0002-5100-8075; Lami, Andrea/0000-0003-3627-0363; Nyvlt, Daniel/0000-0002-6876-490X</t>
  </si>
  <si>
    <t>Charles University Research Centre Program [204069]; GACR project (The Czech Science Foundation) [16-17346Y]; Charles University GAUK [126715, 981118]; Masaryk University [MUNI/A/1251/2017]; MEYS [LM2015078, CZ.02.1.01/0.0/0.0/16_013/0001708]</t>
  </si>
  <si>
    <t>Charles University Research Centre Program; GACR project (The Czech Science Foundation); Charles University GAUK; Masaryk University; MEYS</t>
  </si>
  <si>
    <t>This work has been supported by the Charles University Research Centre Program No. 204069, GACR project (The Czech Science Foundation) No. 16-17346Y, the Research Funding at Charles University GAUK project Nos 126715 and 981118, and Masaryk University project MUNI/A/1251/2017. Instituto Antartico Argentino and Fuerza Aerea Argentina are thanked for logistical assistance. The authors also thank all the people from the Lagos group 2014. Many thanks to Myriam de Haan from Botanic Garden Meise for her help with diatom slide preparation and SEM work, and Viktor Golias for measurement of short-lived radioisotope activity. The authors appreciate use of the Czech Polar Research Infrastructure supported by the MEYS projects LM2015078 and CZ.02.1.01/0.0/0.0/16_013/0001708 and the J. G. Mendel Station and its staff for the support they provided and for allowing the field group to use their laboratory. Many thanks go to Sarah Davies and Stephen Roberts for fruitful discussions on the manuscript, to Tyler Kohler for his English proofreading and to the anonymous reviewers for their constructive comments that helped improve the manuscript.</t>
  </si>
  <si>
    <t>10.1177/0959683619838033</t>
  </si>
  <si>
    <t>IJ1US</t>
  </si>
  <si>
    <t>WOS:000475684800005</t>
  </si>
  <si>
    <t>Stephenson, RL; Hobday, AJ; Cvitanovic, C; Alexander, KA; Begg, GA; Bustamante, RH; Dunstan, PK; Frusher, S; Fudge, M; Fulton, EA; Haward, M; Macleod, C; McDonald, J; Nash, KL; Ogier, E; Pecl, G; Plagányi, ÉE; van Putten, I; Smith, T; Ward, TM</t>
  </si>
  <si>
    <t>Stephenson, Robert L.; Hobday, Alistair J.; Cvitanovic, Christopher; Alexander, Karen A.; Begg, Gavin A.; Bustamante, Rodrigo H.; Dunstan, Piers K.; Frusher, Stewart; Fudge, Maree; Fulton, Elizabeth A.; Haward, Marcus; Macleod, Catriona; McDonald, Jan; Nash, Kirsty L.; Ogier, Emily; Pecl, Gretta; Plaganyi, Eva E.; van Putten, Ingrid; Smith, Tony; Ward, Tim M.</t>
  </si>
  <si>
    <t>A practical framework for implementing and evaluating integrated management of marine activities</t>
  </si>
  <si>
    <t>Marine governance; Marine spatial planning; Ecosystem-based management; Trade-offs; Cumulative impacts; Canada; Australia</t>
  </si>
  <si>
    <t>ECOSYSTEM-BASED MANAGEMENT; CLIMATE-CHANGE ADAPTATION; ENVIRONMENTAL-MANAGEMENT; FISHERIES COMANAGEMENT; POLICY COHERENCE; OCEAN MANAGEMENT; PROTECTED AREAS; SOCIAL LICENSE; LESSONS; COASTAL</t>
  </si>
  <si>
    <t>Despite frequent calls for Integrated Management (IM) of coastal and marine activities, there is no consensus on the 'recipe' for successful adoption and implementation, and there has been insufficient evaluation of successes and failures of IM to date. The primary rationale for IM is to overcome four major deficiencies of sector-based management: a) management of diverse activities by different agencies using different approaches, b) management generally focused on a subset of primarily ecological objectives that do not properly articulate or evaluate social, cultural, economic and institutional objectives, c) no mechanisms to evaluate or advise on tradeoffs among objectives of activities in relation to objectives and d) no mechanisms to evaluate the cumulative effects of all managed activities. To help overcome this gap in knowledge, here we draw on our collective experiences working in Australia and Canada to develop and articulate a framework to help guide the practical implementation and evaluation of IM, which we define as: 'An approach that links (integrates) planning, decision-making and management arrangements across sectors in a unified framework, to enable a more comprehensive view of sustainability and the consideration of cumulative effects and trade-offs.' We argue that IM will be most easily and effectively achieved by linking and modifying existing sector-based plans in an overarching IM initiative that has nine key features: 1) Recognition of need for IM, 2) A shared vision by stakeholders and decision-makers for IM, 3) Appropriate legal and institutional frameworks for coordinated decision-making, 4) Sufficient and effective processes for stakeholder engagement and participation, 5) A common and comprehensive set of operational objectives, 6) Explicit consideration of trade-offs and cumulative impacts, 7) Flexibility to adapt to changing conditions, 8) Processes for ongoing review and refinement, and 9) Effective resourcing, capacity, leadership and tools. Drawing on these features we then articulate a process for the implementation and evaluation of IM that recognises five phases: i) Preconditions and drivers of change, ii) Intentional design and institutional rearrangement, iii) Enablers and disablers iv) An implemented IM process, and v) Review of IM performance and modification. Combination of the nine features of IM with the five phases in IM development provides a framework for implementation and a lens for evaluation of IM processes. We suggest that this framework provides a guide to the appropriate design of practical IM, which will assist in overcoming the current management deficiencies and improve the sustainability of marine resources in the face of change.</t>
  </si>
  <si>
    <t>[Stephenson, Robert L.; Hobday, Alistair J.; Cvitanovic, Christopher; Dunstan, Piers K.; Fulton, Elizabeth A.; Ogier, Emily; Pecl, Gretta; van Putten, Ingrid] CSIRO, CSIRO Oceans &amp; Atmosphere, Hobart, Tas 7001, Australia; [Stephenson, Robert L.; Hobday, Alistair J.; Cvitanovic, Christopher; Alexander, Karen A.; Frusher, Stewart; Fudge, Maree; Fulton, Elizabeth A.; Haward, Marcus; Macleod, Catriona; McDonald, Jan; Nash, Kirsty L.; Plaganyi, Eva E.; van Putten, Ingrid; Smith, Tony] Ctr Marine Socioecol, Hobart, Tas 7001, Australia; [Stephenson, Robert L.] Fisheries &amp; Oceans Canada, Canadian Fisheries Res Network, St Andrews Biol Stn, St Andrews, NB E5B 0E4, Canada; [Alexander, Karen A.; Macleod, Catriona; Ogier, Emily; Pecl, Gretta] Inst Marine &amp; Antarctic Studies, Private Bag 49, Hobart, Tas 7001, Australia; [Begg, Gavin A.; Fudge, Maree; Ward, Tim M.] South Australian Res &amp; Dev Inst, POB 120, Henley Beach, SA 5022, Australia; [Bustamante, Rodrigo H.; Plaganyi, Eva E.] QBP, CSIRO Oceans &amp; Atmosphere, Brisbane, Qld 4072, Australia; [McDonald, Jan] Univ Tasmania, Fac Law, Sandy Bay, Tas 7004, Australia; [Nash, Kirsty L.] Univ Tasmania, Inst Marine &amp; Antarctic Studies, 20 CastrayCastray Esplanade, Battery Point, Tas 7004, Australia</t>
  </si>
  <si>
    <t>Commonwealth Scientific &amp; Industrial Research Organisation (CSIRO); Fisheries &amp; Oceans Canada; University of Tasmania; South Australian Research &amp; Development Institute (SARDI); Commonwealth Scientific &amp; Industrial Research Organisation (CSIRO); University of Tasmania; University of Tasmania</t>
  </si>
  <si>
    <t>Stephenson, RL (corresponding author), DFO, St Andrews Biol Stn, 125 Marine Sci Dr, St Andrews, NB E5B 0E4, Canada.</t>
  </si>
  <si>
    <t>Robert.stephenson@dfo-mpo.gc.ca</t>
  </si>
  <si>
    <t>Fulton, Beth/AAJ-1398-2021; van putten, ingrid/AAV-1301-2021; WARD, Timothy Mark/KDN-7596-2024; Pecl, Gretta/D-7267-2011; Hobday, Alistair/A-1460-2012; Fulton, Beth/A-2871-2008; Plaganyi, Eva E/C-5130-2011; Nash, Kirsty L/B-5456-2015; Haward, Marcus/G-3369-2014; Alexander, Karen/O-7042-2017; Macleod, Catriona/J-7176-2014; McDonald, Jan/J-7204-2014; Dunstan, Piers/B-7309-2016</t>
  </si>
  <si>
    <t>Fulton, Beth/0000-0002-5904-7917; van putten, ingrid/0000-0001-8397-9768; WARD, Timothy Mark/0000-0002-9003-2772; Pecl, Gretta/0000-0003-0192-4339; Plaganyi, Eva E/0000-0002-4740-4200; Nash, Kirsty L/0000-0003-0976-3197; Haward, Marcus/0000-0003-4775-0864; Alexander, Karen/0000-0001-8801-413X; Stephenson, Robert/0000-0002-1207-1063; Fudge, Maree/0000-0003-1327-0053; Cvitanovic, Christopher/0000-0002-2565-3396; Ogier, Emily/0000-0001-6157-5279; Macleod, Catriona/0000-0002-0539-6361; McDonald, Jan/0000-0002-7953-1458; Dunstan, Piers/0000-0002-2568-5945</t>
  </si>
  <si>
    <t>ARC Future Fellowship; CSIRO</t>
  </si>
  <si>
    <t>ARC Future Fellowship(Australian Research Council); CSIRO(Commonwealth Scientific &amp; Industrial Research Organisation (CSIRO))</t>
  </si>
  <si>
    <t>R. Stephenson is grateful for the support of CSIRO Distinguished Visitor Awards (2017, 2018). G. Pecl was supported by an ARC Future Fellowship.</t>
  </si>
  <si>
    <t>10.1016/j.ocecoaman.2019.04.008</t>
  </si>
  <si>
    <t>IJ6EV</t>
  </si>
  <si>
    <t>WOS:000475995800010</t>
  </si>
  <si>
    <t>Sabbe, K; Vyverman, W; Ector, L; Wetzel, CE; John, J; Hodgson, DA; Verleyen, E; Van de Vijver, B</t>
  </si>
  <si>
    <t>Sabbe, Koen; Vyverman, Wim; Ector, Luc; Wetzel, Carlos E.; John, Jacob; Hodgson, Dominic A.; Verleyen, Elie; Van de Vijver, Bart</t>
  </si>
  <si>
    <t>On the identity of Navicula gottlandica (Bacillariophyta), with the description of two new species Navicula eileencoxiana and Navicula bergstromiana from the Australo-Pacific region</t>
  </si>
  <si>
    <t>PLANT ECOLOGY AND EVOLUTION</t>
  </si>
  <si>
    <t>Tasmania; subantarctic; Bacillariophyta; diatoms; Navicula; Haslea; new taxa</t>
  </si>
  <si>
    <t>BENTHIC DIATOM ASSEMBLAGES; ISLAND; LAKES</t>
  </si>
  <si>
    <t>Background and aims - During the past two decades, the subantarctic diatom flora has been the subject of several detailed taxonomic revisions, resulting in the description of a large number of new species. During a survey of the freshwater diatom flora of Macquarie Island (southern Pacific Ocean), an unknown Navicula species was observed showing resemblance to Navicula gottlandica. Populations of similar diatoms (previously reported as N. gottlandica) from Tasmania were also investigated. We here present a detailed morphological analysis of these diatoms, and compare it with the type material of N. gottlandica. Methods - Materials were analysed using Light and Scanning Electron Microscopy. Key results - The southern hemisphere populations represent two hitherto unknown taxa here described as Navicula bergstromiana and N. eileencoxiana. Important morphological differences include valve shape, stria density, shape of the central area, ultrastructure of the external central raphe endings, presence of a distinct internal accessory rib, and the relative width of the external longitudinal silica strips covering the valve face with respect to the longitudinal fissures separating these strips. While the new taxa show some affinity with the genus Haslea, the internal apical structure of the raphe, the external structure of the terminal raphe fissures and the central raphe endings (often with tooth-like protrusions, creating the impression of a satellite pore), and the apparent lack of the typical sandwich-type Haslea valve ultrastructure support the position of N. gottlandica and both new taxa within the genus Navicula. Conclusions - The description of two additional species with close similarities to N. gottlandica (i.e. possessing the typical longitudinal striae/silica strips and tooth-like protrusions in hooked central raphe endings) suggests that the N. gottlandica species group is more diverse than previously thought. The existence of closely similar Navicula species recently described from rivers in tropical South America but also from marine littoral samples in South and North America and China, raises intriguing questions about their phylogenetic relationships, ecology and biogeography.</t>
  </si>
  <si>
    <t>[Sabbe, Koen; Vyverman, Wim; Verleyen, Elie] Univ Ghent, Protistol &amp; Aquat Ecol Lab, Krijgslaan 281-S8, B-9000 Ghent, Belgium; [Ector, Luc; Wetzel, Carlos E.] Luxembourg Inst Sci &amp; Technol, Environm Res &amp; Innovat Dept ERIN, 41 Rue Brill, L-4422 Belvaux, Luxembourg; [John, Jacob] McNamara Sci Ctr, Dept Biodivers Conservat &amp; Attract, Diatom Sect WA Herbarium, 17 Dick Perry Ave, Kensington, WA 6151, Australia; [Hodgson, Dominic A.] British Antarctic Survey, Madingley Rd, Cambridge CB3 0ET, England; [Van de Vijver, Bart] Meise Bot Garden, Res Dept, Nieuwelaan 38, B-1860 Meise, Belgium; [Van de Vijver, Bart] Univ Antwerp, Dept Biol ECOBE, Univ Pl 1, B-2610 Antwerp, Belgium</t>
  </si>
  <si>
    <t>Ghent University; Luxembourg Institute of Science &amp; Technology; UK Research &amp; Innovation (UKRI); Natural Environment Research Council (NERC); NERC British Antarctic Survey; University of Antwerp</t>
  </si>
  <si>
    <t>Sabbe, K (corresponding author), Univ Ghent, Protistol &amp; Aquat Ecol Lab, Krijgslaan 281-S8, B-9000 Ghent, Belgium.</t>
  </si>
  <si>
    <t>koen.sabbe@ugent.be</t>
  </si>
  <si>
    <t>Wetzel, Carlos Eduardo/A-2839-2015</t>
  </si>
  <si>
    <t>Wetzel, Carlos Eduardo/0000-0001-5330-0494</t>
  </si>
  <si>
    <t>Belgian Science Policy Office project CCAMBIO [SD/BA/03A]; Australian Antarctic Division [4156]; UK Natural Environment Research Council [NE/K004514/1]; NERC [NE/K004514/1, bas0100030] Funding Source: UKRI</t>
  </si>
  <si>
    <t>Belgian Science Policy Office project CCAMBIO; Australian Antarctic Division; UK Natural Environment Research Council(UK Research &amp; Innovation (UKRI)Natural Environment Research Council (NERC)); NERC(UK Research &amp; Innovation (UKRI)Natural Environment Research Council (NERC))</t>
  </si>
  <si>
    <t>This research was funded by the Belgian Science Policy Office project CCAMBIO (SD/BA/03A). Steve Roberts and Wim Van Nieuwenhuyze are thanked for their help during the sampling campaign. The Brun collection in Geneva (Switzerland) is acknowledged for sending us the Brun slide containing N. helvetica. The Australian Antarctic Division provided logistic support. Fieldwork on Macquarie Island was carried out by Dominic Hodgson, Steve Roberts and Wim Van Nieuwenhuyze with logistic support from the Australian Antarctic Division (Project 4156) and the UK Natural Environment Research Council (NE/K004514/1).</t>
  </si>
  <si>
    <t>SOC ROYAL BOTAN BELGIQUE</t>
  </si>
  <si>
    <t>MEISE</t>
  </si>
  <si>
    <t>NIEUWELAAN 38, B-1860 MEISE, BELGIUM</t>
  </si>
  <si>
    <t>2032-3913</t>
  </si>
  <si>
    <t>2032-3921</t>
  </si>
  <si>
    <t>PLANT ECOL EVOL</t>
  </si>
  <si>
    <t>Plant Ecol. Evol.</t>
  </si>
  <si>
    <t>10.5091/plecevo.2019.1607</t>
  </si>
  <si>
    <t>IJ5SR</t>
  </si>
  <si>
    <t>WOS:000475963600016</t>
  </si>
  <si>
    <t>Medlin, LK</t>
  </si>
  <si>
    <t>Medlin, Linda K.</t>
  </si>
  <si>
    <t>The nomenclature and type locality of Berkeleya adeliensis (Bacillariophyceae): a correction</t>
  </si>
  <si>
    <t>Antarctic diatoms; Bacillariophyta; Berkeleya; diatoms; taxonomy; typification</t>
  </si>
  <si>
    <t>Background and aims - Berkeleya adeliensis was described in 1990 by Medlin, unfortunately with an error in its typification. This note discusses and corrects the error. Key results and conclusions - The type locality is in McMurdo Sound, Antarctica. not in Adelie Land where the species was first recorded by Manguin as Amphipleura ruffians vat antarctica. Nevertheless, the species does occur in both localities, as shown by published illustrations. Morphometric data are given for Berkeleya species reported from the Antarctic. including the two locations where B. adeliensis occurs.</t>
  </si>
  <si>
    <t>[Medlin, Linda K.] Marine Biol Assoc UK, Plymouth PL1 2PB, Devon, England</t>
  </si>
  <si>
    <t>Marine Biological Association United Kingdom</t>
  </si>
  <si>
    <t>Medlin, LK (corresponding author), Marine Biol Assoc UK, Plymouth PL1 2PB, Devon, England.</t>
  </si>
  <si>
    <t>lkm@MBA.ac.uk</t>
  </si>
  <si>
    <t>medlin, linda k/G-4820-2010</t>
  </si>
  <si>
    <t>medlin, linda k/0000-0001-6014-8339</t>
  </si>
  <si>
    <t>10.5091/plecevo.2019.1610</t>
  </si>
  <si>
    <t>WOS:000475963600025</t>
  </si>
  <si>
    <t>Gusmao, LC; Berniker, L; Van Deusen, V; Harris, O; Rodríguez, E</t>
  </si>
  <si>
    <t>Gusmao, L. C.; Berniker, L.; Van Deusen, V.; Harris, O.; Rodriguez, E.</t>
  </si>
  <si>
    <t>Halcampulactidae (Actiniaria, Actinostoloidea), a new family of burrowing sea anemones with external brooding from Antarctica</t>
  </si>
  <si>
    <t>Parental care; Reproduction; Taxonomy; Hexacorallia; Southern ocean</t>
  </si>
  <si>
    <t>CNIDARIA ANTHOZOA ACTINIARIA; WEDDELL SEA; SP-NOV; GENUS; REPRODUCTION; CLASSIFICATION; FORMS; ANTENNAPEACHIA; REDESCRIPTION; HALOCLAVIDAE</t>
  </si>
  <si>
    <t>Brooding is known for at least 57 species within Actiniaria, making it a rare phenomenon among the approximately 1100 described species in the order. Within the order, brooders are known from taxonomically disparate groups in both suborders (Anenthemonae and Enthemonae) and all superfamilies except for Actinernoidea. Two-thirds of brooders do so internally and have a pan-latitudinal distribution whereas external brooders show a disproportionate diversity in the poles, particularly in the Southern Ocean. Here, we describe Halcampulactidae fam. nov., a new family of burrowing sea anemones from Antarctica characterized by a novel combination of morphological features: twelve mesenteries (eight macrocnemes and four microcnemes) and invaginations of the oral disc similar to glandular sacs of Oractiidae Riemann-Zurneck (Polar Biol 23:604-608, 2000) hypothesized to brood offspring. Halcampulactidae fam. nov. is the first endemic family from Antarctica and Halcampulactis solimar sp. nov. is the 11th species of sea anemone with parental care recorded from Antarctica; it is also the first burrowing anemone with external brooding from the Southern Ocean, representing the second instance of external brooding on the oral disc within the order Actiniaria. In addition, we use molecular evidence to establish the phylogenetic position of the new family within the order; Halcampulactidae fam. nov. is the first burrowing family within the superfamily Actinostoloidea. We discuss the evolution of external brooding within the superfamily in light of these new findings.</t>
  </si>
  <si>
    <t>[Gusmao, L. C.; Berniker, L.; Van Deusen, V.; Rodriguez, E.] Amer Museum Nat Hist, Div Invertebrate Zool, Cent Pk West 79th St, New York, NY 10024 USA; [Harris, O.] Bucknell Univ, 701 Moore Ave, Lewisburg, PA 17837 USA</t>
  </si>
  <si>
    <t>American Museum of Natural History (AMNH); Bucknell University</t>
  </si>
  <si>
    <t>Gusmao, LC (corresponding author), Amer Museum Nat Hist, Div Invertebrate Zool, Cent Pk West 79th St, New York, NY 10024 USA.</t>
  </si>
  <si>
    <t>Lgusmao@amnh.org</t>
  </si>
  <si>
    <t>Rodríguez, Estefanía/AAK-4634-2021</t>
  </si>
  <si>
    <t>Rodríguez, Estefanía/0000-0002-5590-6606</t>
  </si>
  <si>
    <t>Spanish Comision Interministerial de Ciencia y Tecnologia projects [ANT97-1533-E, ANT98-1739-E, ANT99-1608-E, REN2003-04236]</t>
  </si>
  <si>
    <t>Spanish Comision Interministerial de Ciencia y Tecnologia projects</t>
  </si>
  <si>
    <t>Our special thanks to PJ Lopez-Gonzalez (Universidad de Sevilla, Spain), JM Gili (Institut Ciencies del Mar, CMIMA-CSIC, Spain), and Prof. W. Arntz (Alfred Wegener Institute, Germany) for access to material collected during the R/V Polarstern cruise ANT XV/3 (EASIZ-II). We thank the British Antarctic Survey (BAS), particularly H Griffiths (BAS), for providing access to E Rodriguez in the JR15005 cruise. Loan of specimens from JR cruise was facilitated by H Griffiths (BAS); M Lowe helped with depositing material at the Natural History Museum (London, UK). We extend our acknowledgements to the Officers, crew and scientists aboard the R/V Polarstern and the RRS James Clark Ross during the EASIZ-II and JR15005 cruises of the SCAR Programs EASIZ (Coastal and Shelf Ecology of the Antarctic Sea-Ice Zone) and SO-AntEco (South Orkneys-State of the Antarctic Ecosystem), respectively. Lab support was provided by T Chiodo (AMNH). Many thanks to A Reft (USNM) for sharing her expertise on nematocysts. We thank B Fine for helping with illustrations. Partial funding for this project came from the Spanish Comision Interministerial de Ciencia y Tecnologia projects: ANT97-1533-E, ANT98-1739-E, ANT99-1608-E, REN2003-04236. The authors also thank J. Luke for supporting E Rodriguez's research program and LC GusmAo.</t>
  </si>
  <si>
    <t>10.1007/s00300-019-02516-1</t>
  </si>
  <si>
    <t>IJ0DH</t>
  </si>
  <si>
    <t>WOS:000475570000004</t>
  </si>
  <si>
    <t>Lynch, MA; Youngflesh, C; Agha, NH; Ottinger, MA; Lynch, HJ</t>
  </si>
  <si>
    <t>Lynch, Maureen A.; Youngflesh, Casey; Agha, Nadia H.; Ottinger, Mary Ann; Lynch, Heather J.</t>
  </si>
  <si>
    <t>Tourism and stress hormone measures in Gentoo Penguins on the Antarctic Peninsula</t>
  </si>
  <si>
    <t>Stress; Pygoscelis papua; IAATO; Tourism; Visitor guidelines</t>
  </si>
  <si>
    <t>LONG-LIVED BIRD; PYGOSCELIS-PAPUA; CORTICOSTERONE LEVELS; MAGELLANIC PENGUINS; POPULATION TRENDS; HUMAN DISTURBANCE; BREEDING SUCCESS; RESPONSES; BEHAVIOR; AREAS</t>
  </si>
  <si>
    <t>The impacts of tourism on wildlife have long been a concern in areas where ecotourism is a major industry. The issue is especially pressing in Antarctica, which has a rapidly growing tourism industry largely concentrated around penguin colonies on the Antarctic Peninsula. Guidelines developed by both the Committee for Environmental Protection and the International Association of Antarctica Tour Operators include measures to minimize wildlife impacts. In this study, we examined the relationship between physiologic stress in Gentoo Penguins (Pygoscelis papua) and tourism. Corticosterone is an adrenal glucocorticoid that has been shown in previous studies to increase in response to stressors such as low food availability, environmental conditions, as well as human visitation and proximity. Fecal glucocorticoids (FGM; primarily corticosterone and metabolites) were measured in Gentoo Penguin guano collected at 19 breeding colonies (n=108, 3-10 samples per site) on the Antarctic Peninsula and the South Shetland Islands, representing a wide range of tourism visitation. We found a large degree of variation in FGM concentrations, and no relationship between FGM concentrations and number of tourists landed at that site. These results suggest that current tourism management guidelines on the Antarctic Peninsula are effective at preventing increased stress in Gentoo Penguins as measured by hormonal markers, and demonstrate the use of guano as a non-invasive, low-impact methodology for monitoring Gentoo Penguin stress.</t>
  </si>
  <si>
    <t>[Lynch, Maureen A.; Youngflesh, Casey; Lynch, Heather J.] SUNY Stony Brook, Dept Ecol &amp; Evolut, Stony Brook, NY 11794 USA; [Agha, Nadia H.] Univ Houston, Dept Hlth &amp; Human Performance, Houston, TX USA; [Ottinger, Mary Ann] Univ Houston, Dept Biol &amp; Biochem, Houston, TX USA; [Lynch, Heather J.] SUNY Stony Brook, Inst Adv Computat Sci, Stony Brook, NY 11794 USA</t>
  </si>
  <si>
    <t>State University of New York (SUNY) System; State University of New York (SUNY) Stony Brook; University of Houston System; University of Houston; University of Houston System; University of Houston; State University of New York (SUNY) System; State University of New York (SUNY) Stony Brook</t>
  </si>
  <si>
    <t>Lynch, MA (corresponding author), SUNY Stony Brook, Dept Ecol &amp; Evolut, Stony Brook, NY 11794 USA.</t>
  </si>
  <si>
    <t>maureen.mlynch@gmail.com</t>
  </si>
  <si>
    <t>陆, 展滔/HJZ-1696-2023</t>
  </si>
  <si>
    <t>Youngflesh, Casey/0000-0001-6343-3311; Lynch, Maureen/0000-0003-4494-7012</t>
  </si>
  <si>
    <t>Oceanites, Inc.; National Aeronautics and Space Administration [NNX16AO27H]; National Science Foundation [1255058]</t>
  </si>
  <si>
    <t>Oceanites, Inc.; National Aeronautics and Space Administration(National Aeronautics &amp; Space Administration (NASA)); National Science Foundation(National Science Foundation (NSF))</t>
  </si>
  <si>
    <t>Funding was provided by Oceanites, Inc., National Aeronautics and Space Administration Grant NNX16AO27H and National Science Foundation Award 1255058.</t>
  </si>
  <si>
    <t>10.1007/s00300-019-02518-z</t>
  </si>
  <si>
    <t>WOS:000475570000006</t>
  </si>
  <si>
    <t>Glemser, B; Kloster, M; Esper, O; Eggers, SL; Kauer, G; Beszteri, B</t>
  </si>
  <si>
    <t>Glemser, Barbara; Kloster, Michael; Esper, Oliver; Eggers, Sarah Lena; Kauer, Gerhard; Beszteri, Bank</t>
  </si>
  <si>
    <t>Biogeographic differentiation between two morphotypes of the Southern Ocean diatom Fragilariopsis kerguelensis</t>
  </si>
  <si>
    <t>Fragilariopsiskerguelensis; Rectangularity; Morphometrics; Biogeography</t>
  </si>
  <si>
    <t>VARIABILITY; SEDIMENTS</t>
  </si>
  <si>
    <t>Fragilariopsiskerguelensis (O' Meara) Hust. is a ubiquitous diatom of the Southern Ocean. Its thick frustules are the numerically dominant component of the siliceous sediment layer covering large parts of the seafloor beneath. Morphometric variability of frustules of this diatom has been of interest for paleoenvironmental reconstructions. Recently, two morphotypes differentiated by the morphometric descriptor rectangularity were described from a Southern Ocean sediment core, the relative abundance of which correlated with reconstructed paleotemperatures. In the present study, we use semi-automated microscopic and image analysis methods to answer whether these morphotypes also appear in recent assemblages, and if yes, do their distributions reflect geographic location or environmental factors. Three transects from the water column, sampled along the Greenwich meridian with hand nets, and one sediment surface transect from the South Pacific, were analyzed. In each of these transects, both morphotypes were detected, and annual mean sea surface temperatures (SST) were found to be a good predictor of their relative abundances. The transition between dominance of one or the other morphotype appeared roughly between the Antarctic Polar Front and the Southern Boundary of the Antarctic Circumpolar Current. Although more extensive circumpolar sampling will be needed to confirm the generality of our conclusions, the observed morphometric cline is a novel aspect of the biology of this species and can in the future potentially be used for further developing paleoproxies especially for highly F.kerguelensis-dominated sediment in the Southern Ocean.</t>
  </si>
  <si>
    <t>[Glemser, Barbara; Kloster, Michael; Esper, Oliver; Eggers, Sarah Lena; Beszteri, Bank] Helmholtz Ctr Polar &amp; Marine Res, Alfred Wegener Inst, Handelshafen 12, D-27570 Bremerhaven, Germany; [Kauer, Gerhard] Univ Appl Sci Emden Leer, Constantiapl 4, D-26723 Emden, Germany; [Beszteri, Bank] Univ Duisburg Essen, Univ Str 5, D-45141 Essen, Germany</t>
  </si>
  <si>
    <t>Helmholtz Association; Alfred Wegener Institute, Helmholtz Centre for Polar &amp; Marine Research; University of Duisburg Essen</t>
  </si>
  <si>
    <t>Beszteri, B (corresponding author), Helmholtz Ctr Polar &amp; Marine Res, Alfred Wegener Inst, Handelshafen 12, D-27570 Bremerhaven, Germany.;Beszteri, B (corresponding author), Univ Duisburg Essen, Univ Str 5, D-45141 Essen, Germany.</t>
  </si>
  <si>
    <t>bank.beszteri@uni-due.de</t>
  </si>
  <si>
    <t>Beszteri, Bank/D-1961-2010</t>
  </si>
  <si>
    <t>Beszteri, Bank/0000-0002-6852-1588; Esper, Oliver/0000-0002-4342-3471; Kloster, Michael/0000-0001-9244-4925</t>
  </si>
  <si>
    <t>Deutsche Forschungsgemeinschaft (DFG) [1158, BE4316/4-1, KA1655/3-1]; [AWI_PS103_04]</t>
  </si>
  <si>
    <t>Deutsche Forschungsgemeinschaft (DFG)(German Research Foundation (DFG));</t>
  </si>
  <si>
    <t>This work was supported by the Deutsche Forschungsgemeinschaft (DFG) in the framework of the priority programme 1158 Antarctic Research with comparative investigations in Arctic ice areas by grant nr. BE4316/4-1, KA1655/3-1. Sample collection was performed in the frame of RV Polarstern expeditions ANTXII/4 (PS35), ANTXIII/4 (PS40), ANTXXVIII/2 (PS79), and PS103 (grant nr. AWI_PS103_04). Thanks to Amy Leventer, Xavier Crosta, and an anonymous reviewer who provided valuable suggestions for improving a previous version of the manuscript.</t>
  </si>
  <si>
    <t>10.1007/s00300-019-02525-0</t>
  </si>
  <si>
    <t>WOS:000475570000011</t>
  </si>
  <si>
    <t>Southwell, C; Emmerson, L</t>
  </si>
  <si>
    <t>Southwell, Colin; Emmerson, Louise</t>
  </si>
  <si>
    <t>Constraint in the midst of growth: decadal-scale Adelie penguin (Pygoscelis adeliae) population change at Scullin and Murray Monoliths diverges from widespread increases across East Antarctica</t>
  </si>
  <si>
    <t>Population monitoring; Population regulation; Protected area; Pygoscelisadeliae; Spatial synchrony; Spatio-temporal variation</t>
  </si>
  <si>
    <t>ISLAND; LAND</t>
  </si>
  <si>
    <t>Understanding spatio-temporal variation in the abundance of species' populations is an issue of central importance in ecology. Recent studies of decadal-scale change in Adelie penguin (Pygoscelisadeliae) populations around the Antarctic continent have led to insights into our understanding of the species' population dynamics and to exploration of the ecosystem processes driving them. However, gaps in knowledge of population change still exist for many populations, especially at breeding sites distant from research stations. In this study, we estimate population change for the large Adelie penguin populations at the seldom visited and data-poor Scullin and Murray Monoliths in East Antarctica by critically assessing historical population data and extending the historical time series of population data to the present day with a recent survey. Unlike Adelie penguin populations studied elsewhere in East Antarctica, we find the Monolith populations have remained stable or decreased slightly over the past 3-4 decades. The results indicate that spatially divergent processes are driving Adelie penguin population dynamics, and that these factors may not be sufficiently represented in current explanatory or predictive population models for this species. The methods employed here provide a viable means of undertaking regular population monitoring of highly visible seabird species such as the Adelie penguin in remote and ecologically important areas such as Scullin and Murray Monoliths in the future.</t>
  </si>
  <si>
    <t>[Southwell, Colin; Emmerson, Louise] Australian Antarctic Div, Dept Environm &amp; Energy, 203 Channel Highway, Kingston, Tas 7050, Australia</t>
  </si>
  <si>
    <t>Southwell, C (corresponding author), Australian Antarctic Div, Dept Environm &amp; Energy, 203 Channel Highway, Kingston, Tas 7050, Australia.</t>
  </si>
  <si>
    <t>colin.southwell@aad.gov.au</t>
  </si>
  <si>
    <t>10.1007/s00300-019-02527-y</t>
  </si>
  <si>
    <t>WOS:000475570000013</t>
  </si>
  <si>
    <t>Reeve, KA; Boebel, O; Strass, V; Kanzow, T; Gerdes, R</t>
  </si>
  <si>
    <t>Reeve, Krissy Anne; Boebel, Olaf; Strass, Volker; Kanzow, Torsten; Gerdes, Ruediger</t>
  </si>
  <si>
    <t>Horizontal circulation and volume transports in the Weddell Gyre derived : from Argo float data</t>
  </si>
  <si>
    <t>Weddell Gyre circulation; Argo float data; Volume transports; Warm Deep Water; Stream-function; Baroclinic flow field</t>
  </si>
  <si>
    <t>ANTARCTIC BOTTOM WATER; SOUTHERN-OCEAN; SCOTIA SEA; DEEP; MASSES; VELOCITIES; VORTICITY; ATLANTIC; BALANCE</t>
  </si>
  <si>
    <t>Argo floats provide both hydrographic and trajectory data, affording the opportunity to investigate surface to mid-depth ocean dynamics. Here, Argo float data are used to determine the absolute geostrophic velocity field of the upper 50-2000 m of the Weddell Gyre, from which the overall circulation pattern is investigated. The Weddell Gyre plays a pivotal role in the modification of climate by advecting heat towards the Antarctic ice shelves and by modifying the water masses that feed into the lowest limb of the global ocean overturning circulation. Warm Deep Water, the source water mass that delivers heat to the Weddell Gyre, is conveniently located within the upper 2000 m domain covered by the floats; we investigate its volume transport as it circulates the gyre. Full depth volume transports are estimated by applying a quadratic function to extrapolate the relative dynamic height field component to the full ocean depth, using CTD profiles from ship-based surveys to determine an extrapolation error. Major new insights are provided by this study. There is an established double-gyre structure to the circulation, with a strong eastern cell and a weaker western cell. Regional variation of the baroclinic component of the flow field is revealed, indicating a northeast-to-southwest reduction in the baroclinic flow, along with a strong meridional gradient of baroclinic flow along the northern limb of the gyre, especially east of similar to 25 degrees W. The zonal mean gyre strength away from the shelf edge is 32 +/- 5 Sv (1 Sv = 1 x 10(6) m(3) s(-1)), of which 13 +/- 3 Sv are associated with the advection of Warm Deep Water. There is a considerable amount of recirculation within the gyre interior, where water does not traverse the full zonal extent of the gyre. The recirculation is stronger in the eastern cell of the observed double-gyre structure. The interior circulation cells partly explain the large variations in previous gyre strength estimates. We provide an extensive review of previous estimates in context of the new results obtained.</t>
  </si>
  <si>
    <t>[Reeve, Krissy Anne; Boebel, Olaf; Strass, Volker; Kanzow, Torsten; Gerdes, Ruediger] Helmholtz Zentrum Polar &amp; Marine Res, Alfred Wegener Inst, Bremerhaven, Germany</t>
  </si>
  <si>
    <t>Reeve, KA (corresponding author), Alfred Wegener Inst, Postfach 12 01 61, D-27515 Bremerhaven, Germany.</t>
  </si>
  <si>
    <t>kreeve@awi.de</t>
  </si>
  <si>
    <t>Reeve, Krissy Anne/0000-0001-5615-8040; Kanzow, Torsten/0000-0002-5786-3435</t>
  </si>
  <si>
    <t>10.1016/j.pocean.2019.04.006</t>
  </si>
  <si>
    <t>IF3OT</t>
  </si>
  <si>
    <t>WOS:000472990800020</t>
  </si>
  <si>
    <t>da Silva, AB; Arigony-Neto, J; Bicca, CE</t>
  </si>
  <si>
    <t>da Silva, Aline Barbosa; Arigony-Neto, Jorge; Bicca, Cleidir Eidelwein</t>
  </si>
  <si>
    <t>GEOMORPHOLOGICAL CHARACTERIZATION OF ANTARCTIC PENINSULA GLACIERS</t>
  </si>
  <si>
    <t>REVISTA BRASILEIRA DE GEOMORFOLOGIA</t>
  </si>
  <si>
    <t>Portuguese</t>
  </si>
  <si>
    <t>Geomorphology; Glaciers; Antarctic Peninsula</t>
  </si>
  <si>
    <t>ISLAND ICE CAP; SHELF</t>
  </si>
  <si>
    <t>The present study aims to characterize the morphology of Antarctic Peninsula glaciers, using a key for classification developed in the context of the international project Global Land Ice Measurements from Space. At total, 1906 glacial drainage basins were identified between latitudes 61 degrees S and 73 degrees S, corresponding to an area of 342,696.56 km2. Each glacial basin was then identified according to its morphology. The primary classification of glaciers showed that 61% are outlet glaciers, spatially distributed throughout the whole Antarctic Peninsula. Considering the form, 54% were identified as simple basins, more common to the south of the region, and 30% of the ice masses are associated with basins composed by tributaries, distributed mainly to the north of the study area. Regarding the frontal activity, 30% of the glaciers were classified as calving glaciers, 23% as calving and piemonte, calving and expansion, and lobe and calving, and 17% have small floating fronts, found mainly in the north and central part of the west and 17% are ice shelf nourishing in the south and eastern part of the central peninsula. As for the longitudinal characteristics, 50% of the basins are cascading and 38% are uniform or regular, distributed throughout the region. In addition, 56% of the glaciers have lateral moraine, distributed along the Antarctic Peninsula and 30% of the glaciers do not have moraine.</t>
  </si>
  <si>
    <t>[da Silva, Aline Barbosa; Arigony-Neto, Jorge; Bicca, Cleidir Eidelwein] Univ Fed Rio Grande, Inst Oceanog, Av Italia,Km 8, BR-96203900 Rio Grande, RS, Brazil</t>
  </si>
  <si>
    <t>Universidade Federal do Rio Grande</t>
  </si>
  <si>
    <t>da Silva, AB (corresponding author), Univ Fed Rio Grande, Inst Oceanog, Av Italia,Km 8, BR-96203900 Rio Grande, RS, Brazil.</t>
  </si>
  <si>
    <t>linebsilva@yahoo.com.br; jorgerigony@furg.br; cleidirbicca@gmail.com</t>
  </si>
  <si>
    <t>Arigony-Neto, Jorge/0000-0003-4848-2064</t>
  </si>
  <si>
    <t>UNIAO GEOMORFOLOGIA BRASILEIRA</t>
  </si>
  <si>
    <t>UBERLANDIA, BRAZIL</t>
  </si>
  <si>
    <t>UNIV FEDERAL UBERLANDIA, AV JOAO NAVES AVILA 2160, UBERLANDIA, BRAZIL, 00000, BRAZIL</t>
  </si>
  <si>
    <t>1519-1540</t>
  </si>
  <si>
    <t>2236-5664</t>
  </si>
  <si>
    <t>REV BRAS GEOMORFOL</t>
  </si>
  <si>
    <t>Rev. Bras. Geomorfol.</t>
  </si>
  <si>
    <t>JUL-SEP</t>
  </si>
  <si>
    <t>10.20502/rbg.v20i3.1547</t>
  </si>
  <si>
    <t>Geography, Physical</t>
  </si>
  <si>
    <t>Physical Geography</t>
  </si>
  <si>
    <t>II8HF</t>
  </si>
  <si>
    <t>WOS:000475432400005</t>
  </si>
  <si>
    <t>Zawierucha, K; Zmudczynska-Skarbek, K; Guil, N; Bogdziewicz, M</t>
  </si>
  <si>
    <t>Zawierucha, Krzysztof; Zmudczynska-Skarbek, Katarzyna; Guil, Noemi; Bogdziewicz, Michal</t>
  </si>
  <si>
    <t>Seabirds modify trophic groups, while altitude promotes xeric-tolerant species of Tardigrada in the high Arctic tundra (Svalbard archipelago)</t>
  </si>
  <si>
    <t>ACTA OECOLOGICA-INTERNATIONAL JOURNAL OF ECOLOGY</t>
  </si>
  <si>
    <t>Microbivores; Herbivores; Polar and alpine regions; Tardigrades; Trophic networks; Tundra</t>
  </si>
  <si>
    <t>ANTARCTIC DRY VALLEYS; CLIMATE-CHANGE; COLLEMBOLAN COMMUNITIES; HORNSUND AREA; SOIL FAUNA; TERRESTRIAL; TEMPERATURE; ECOSYSTEMS; DIVERSITY; ABUNDANCE</t>
  </si>
  <si>
    <t>In the Arctic, especially in the coastal mountainous areas, gradual changes in elevation above sea level and allochthonous nutrients delivered by seabirds modify environmental conditions. Increasing elevation affects temperature whereas allochthonous nutrients delivered by seabirds to the terrestrial ecosystem remarkably influence primary production and diversity of organisms. Knowing the abundance of ubiquitous tardigrades (a microinvertebrate phylum), their multitrophic level function and their trophic composition might be essential for understanding ecosystem functioning and matter flow in fragile polar ecosystems. In this study, we tested the effects of altitude and seabird guano on modifying trophic diversity of tardigrades. We found that the tardigrades in Hornsund were herbivorous and microbivorous species dominated. Microbivores were significantly more abundant in guano-supplied than in control areas, which may be explained by the presence of higher nutrient and organic matter content in comparison with areas not fertilised by birds. We observed no significant relationship between the abundance of tardigrade trophic groups and altitude. However, the abundance of xerictolerant herbivorous terrestrial tardigrades representing the class Heterotardigrada increased with altitude. Strongly hygrophilic conditions (ponds, swamps, streams) at lower elevations as well as acidic conditions formed by seabird guano may reduce the abundance of heterotardigrades. Our study shows that seabirds rather than the effect of altitude or the generally predicted increasing temperatures in the Arctic, are affecting high Arctic tundra limno-terrestrial invertebrate trophic groups proportion. Our results provide baseline data for future studies of the Hornsund region, since climate change scenarios predict decreased guano delivery by seabirds on mountain slopes, shifts in plant species dominance and more intense fertilisation of lakes by geese, all of which may alter invertebrate trophic composition in southern Svalbard.</t>
  </si>
  <si>
    <t>[Zawierucha, Krzysztof] Adam Mickiewicz Univ, Dept Anim Taxon &amp; Ecol, Uniwersytetu Poznanskiego 6, PL-61614 Poznan, Poland; [Zmudczynska-Skarbek, Katarzyna] Univ Gdansk, Fac Biol, Dept Vertebrates Ecol &amp; Zool, Wita Stwosza 59, PL-80308 Gdansk, Poland; [Guil, Noemi] CSIC, Museo Nacl Ciencias Nat, Jose Gutierrez Abascal 2, E-28006 Madrid, Spain; [Bogdziewicz, Michal] Adam Mickiewicz Univ, Dept Systemat Zool, Uniwersytetu Poznanskiego 6, PL-61614 Poznan, Poland</t>
  </si>
  <si>
    <t>Adam Mickiewicz University; Fahrenheit Universities; University of Gdansk; Consejo Superior de Investigaciones Cientificas (CSIC); CSIC - Museo Nacional de Ciencias Naturales (MNCN); Adam Mickiewicz University</t>
  </si>
  <si>
    <t>Zawierucha, K (corresponding author), Adam Mickiewicz Univ, Dept Anim Taxon &amp; Ecol, Uniwersytetu Poznanskiego 6, PL-61614 Poznan, Poland.</t>
  </si>
  <si>
    <t>k.p.zawierucha@gmail.com</t>
  </si>
  <si>
    <t>Noemi, Guil/O-1271-2015; Zawierucha, Krzysztof/HTP-6506-2023; Bogdziewicz, Michał/J-2868-2012; Zmudczynska-Skarbek, Katarzyna/HNP-0022-2023; Zawierucha, Krzysztof/HDN-5985-2022</t>
  </si>
  <si>
    <t>Bogdziewicz, Michał/0000-0002-6777-9034; Zawierucha, Krzysztof/0000-0002-0754-1411</t>
  </si>
  <si>
    <t>Polish Ministry of Science and Higher Education [DIA 2011035241]; Juventus Plus Programme [IP2014 017973]; National Science Centre [2015/16/T/NZ8/00017]; Svalbard project [5326]</t>
  </si>
  <si>
    <t>Polish Ministry of Science and Higher Education(Ministry of Science and Higher Education, Poland); Juventus Plus Programme; National Science Centre(National Science Centre, Poland); Svalbard project</t>
  </si>
  <si>
    <t>The study was supported by the Polish Ministry of Science and Higher Education via the Diamond Grant programme (grant no. DIA 2011035241) and partially by Juventus Plus Programme (grant no. IP2014 017973). During this study, KZ was a beneficiary of a National Science Centre scholarship to support doctoral research (no. 2015/16/T/NZ8/00017). We would like to thanks two anonymous reviewers for improving of the text and Katherine Short (British Antarctic Survey) for critical comments and linguistic corrections on manuscript. We thank the team of the Stanislaw Siedlecki Polish Polar Station in Hornsund for their hospitality and assistance during the field works. Samples in 2010 (Zawierucha et al., 2015) were collected by professor L. Kaczmarek and professor J. Smykla via the Research in Svalbard project no. 5326 and we are grateful to them. We are also grateful to K. Wojczulanis-Jakubas and D. Jakubas for their help during sampling in 2011. The text was proofread by Cambridge Proofreading LLC (343 W Wolf Point Plaza Chicago).</t>
  </si>
  <si>
    <t>1146-609X</t>
  </si>
  <si>
    <t>1873-6238</t>
  </si>
  <si>
    <t>ACTA OECOL</t>
  </si>
  <si>
    <t>Acta Oecol.-Int. J. Ecol.</t>
  </si>
  <si>
    <t>10.1016/j.actao.2019.05.007</t>
  </si>
  <si>
    <t>IH2IQ</t>
  </si>
  <si>
    <t>WOS:000474318800008</t>
  </si>
  <si>
    <t>Anderson, HM; Barbacka, M; Bamford, MK; Holmes, WBK; Anderson, JM</t>
  </si>
  <si>
    <t>Anderson, Heidi M.; Barbacka, Maria; Bamford, Marion K.; Holmes, W. B. Keith; Anderson, John M.</t>
  </si>
  <si>
    <t>Dicroidium (foliage) and affiliated wood Part 3 of a reassessment of Gondwana Triassic plant genera and a reclassification of some previously attributed</t>
  </si>
  <si>
    <t>ALCHERINGA</t>
  </si>
  <si>
    <t>Triassic; Gondwana; Molteno Flora; Umkomasia; Dicroidium; corystosperms</t>
  </si>
  <si>
    <t>NYMBOIDA COAL MEASURES; BASIN CREEK FORMATION; NEW-SOUTH-WALES; ANTARCTIC FOSSIL RECORD; SAN-JUAN PROVINCE; MEGAFOSSIL FLORA; PERMINERALIZED STEMS; TRANSANTARCTIC MOUNTAINS; SEED FERN; AUSTRALIA</t>
  </si>
  <si>
    <t>Anderson, H.M., Barbacka, M., Bamford, M.K., Holmes, W.B.K. &amp; Anderson, J.M., XX. 2019. Dicroidium (foliage) and affiliated wood; Part 3 of a reassessment of Gondwana Triassic plant genera and a reclassification of some previously attributed. Alcheringa XXX, X-X. ISSN 0311-5518 Dicroidium belonging to Umkomasiaceae (Corystospermaceae) in the polyphyletic pteridosperms (seed-ferns) is reassessed comprehensively worldwide and emended. All records are analysed and some attributed to the genus previously are reclassified. Dicroidium leaves are clearly affiliated with Umkomasia 'megasporophylls' and Pteruchus 'microsporophylls'. The attachments of Dicroidium leaves to stems and associated wood genera are reviewed. Dicroidium is shown to be restricted to the Triassic of Gondwana, where it is by far the most prominent and diverse genus with 23 accepted species. It is well represented in collections from South America, Antarctica, India, Australia, New Zealand and southern Africa from where the Molteno Formation is the most comprehensively sampled stratigraphic unit, yielding numerous species from 75 assemblages. The problems of defining the limits of Dicroidium and its species are addressed. The records of leaf fragments from the Indian Nidpur Flora, Early Triassic, are questionably referable to Dicroidium, whereas the multiple forking leaves from the Cisuralian of India await description as a new peltasperm genus. The forked leaves from the (?)Lopingian of Jordan, previously classified as Dicroidium, are reassessed and placed in the new genus Jordaniopteris. Heidi M. Anderson [hmsholmes@googlemail.com], Evolutionary Studies Institute, University of the Witwatersrand, Johannesburg 20150, South Africa; Maria Barbacka [maria.barbacka@gmail.com], W. Szafer Institute of Botany, Polish Academy of Sciences, Lubicz 46, Krakow 31-512, Poland, Botanical Department, Hungarian Natural History Museumartmem H-1431, Budapest, Pf. 137, Hungary; Marion K. Bamford [marion.bamford@wits.ac.za], Evolutionary Studies Institute, University of the Witwatersrand, Johannesburg 20150, South Africa; W. B. Keith Holmes [wbkholmes@hotmail.com], 46 Kurrajong Street, Dorrigo, NSW 2453, Australia, University of New England, Armidale, NSW 2351, Australia; John M. Anderson [jmanderson.gondwana@googlemail.com], Evolutionary Studies Institute, University of the Witwatersrand, Johannesburg 20150, South Africa.</t>
  </si>
  <si>
    <t>[Anderson, Heidi M.; Bamford, Marion K.; Anderson, John M.] Univ Witwatersrand, Evolutionary Studies Inst, ZA-20150 Johannesburg, South Africa; [Barbacka, Maria] Polish Acad Sci, W Szafer Inst Bot, Lubicz 46, PL-31512 Krakow, Poland; [Barbacka, Maria] Hungarian Nat Hist Museumartmem, Bot Dept, Pf 137, H-1431 Budapest, Hungary; [Holmes, W. B. Keith] 46 Kurrajong St, Dorrigo, NSW 2453, Australia; [Holmes, W. B. Keith] Univ New England, Armidale, NSW 2351, Australia</t>
  </si>
  <si>
    <t>University of Witwatersrand; Polish Academy of Sciences; W. Szafer Institute of Botany of the Polish Academy of Sciences; University of New England</t>
  </si>
  <si>
    <t>Anderson, HM (corresponding author), Univ Witwatersrand, Evolutionary Studies Inst, ZA-20150 Johannesburg, South Africa.</t>
  </si>
  <si>
    <t>hmsholmes@googlemail.com; maria.barbacka@gmail.com; marion.bamford@wits.ac.za; wbkholmes@hotmail.com; jmanderson.gondwana@googlemail.com</t>
  </si>
  <si>
    <t>Barbacka, Maria/0000-0002-1685-7741</t>
  </si>
  <si>
    <t>DST-NRF Centre of Excellence in Palaeosciences; W. Szafer Institute of Botany, Polish Academy of Sciences</t>
  </si>
  <si>
    <t>We acknowledge the DST-NRF Centre of Excellence in Palaeosciences for a research grant to Marion Bamford and a travel grant to Heidi Anderson. Maria Barbacka was supported by the W. Szafer Institute of Botany, Polish Academy of Sciences from their statutory funds. We thank Hannes Du Plessis and Clara Anderson for technical assistance in preparation of the manuscript. Copyright has been obtained for the use of Fig. 9 from the corresponding author and the publisher (permission date included): Axsmith etal. (2000, figs 4, 11, 13, text-fig. 21) American Journal of Botany, Botanical Society of America, publisher: John Wiley and Sons (31.1.18). Figs 6-8 are used herein with permission (3.12.2018) and courtesy of Hans Kerp, Forschungsstelle fur Palaobotanik, Geologisch- Palaontologisches Institut, Westfalische Wilhelms-Universitat, Munster, Germany. Two anonymous reviewers and assistant editor Steve McLoughlin are thanked for their helpful comments.</t>
  </si>
  <si>
    <t>0311-5518</t>
  </si>
  <si>
    <t>1752-0754</t>
  </si>
  <si>
    <t>Alcheringa</t>
  </si>
  <si>
    <t>10.1080/03115518.2019.1622779</t>
  </si>
  <si>
    <t>Paleontology</t>
  </si>
  <si>
    <t>KL2VH</t>
  </si>
  <si>
    <t>WOS:000474750400001</t>
  </si>
  <si>
    <t>Peña, M; González-Quirós, R; Munuera-Fernandez, I; González, F; Romero-Romero, S; Nogueira, E</t>
  </si>
  <si>
    <t>Pena, M.; Gonzalez-Quiros, R.; Munuera-Fernandez, I; Gonzalez, F.; Romero-Romero, S.; Nogueira, E.</t>
  </si>
  <si>
    <t>Vertical distribution and aggregation patterns of krill (Crustacea: Euphausiacea) in the Bay of Biscay: interannual and seasonal variability</t>
  </si>
  <si>
    <t>CANADIAN JOURNAL OF ZOOLOGY</t>
  </si>
  <si>
    <t>krill; acoustics; net sampling; vertical distribution; diurnal vertical migration; DVM; Bay of Biscay; Crustacea; Euphausiacea</t>
  </si>
  <si>
    <t>MEGANYCTIPHANES-NORVEGICA; ANTARCTIC KRILL; NORTHERN KRILL; MIGRATION BEHAVIOR; PHYSICAL PROCESSES; SUPERBA; LAYERS; COAST; WEST; MOLT</t>
  </si>
  <si>
    <t>Studies of krill (Crustacea: Euphausiacea) in oceanic waters of the Bay of Biscay are scarce and restricted to the epipelagic zone, overlooking vertical dynamics such as diurnal vertical migration (DVM). There is a growing interest in acoustically evaluating the biomass of krill in this area, but this requires a good knowledge of its vertical dynamics and aggregation patterns. In this work we employed acoustic data and net samples from two consecutive annual surveys covering a wide off-shelf area of the Bay of Biscay (JUVENA surveys of 2013 and 2014) and four seasonal surveys covering slope and oceanic waters in the Cantabrian Sea (SCAPA surveys of 2015). Vertical dynamics of krill were analyzed in the frame of the environmental seascape. High interannual and seasonal variations in the vertical distribution and aggregation patterns (small swarms, dense aggregations, or loose layers) of krill were observed. The vertical distribution covaried with dissolved oxygen and salinity. According to our findings, the best season to acoustically evaluate krill in the Bay of Biscay is spring, with the bulk of the biomass located above 600 m depth. Moreover, extending the acoustic recording beyond the epipelagic zone is mandatory for any season.</t>
  </si>
  <si>
    <t>[Pena, M.] Ctr Oceanog Baleares, Inst Espanol Oceanog, Palma De Mallorca 07015, Spain; [Gonzalez-Quiros, R.; Munuera-Fernandez, I; Gonzalez, F.] Ctr Oceanog Gijon, Inst Espanol Oceanog, Gijon 33212, Asturias, Spain; [Romero-Romero, S.] Univ Oviedo, E-33006 Oviedo, Spain; [Nogueira, E.] Ctr Oceanog Vigo, Inst Espanol Oceanog, Vigo, Pontevedra, Spain</t>
  </si>
  <si>
    <t>Spanish Institute of Oceanography; Spanish Institute of Oceanography; University of Oviedo; Spanish Institute of Oceanography</t>
  </si>
  <si>
    <t>Peña, M (corresponding author), Ctr Oceanog Baleares, Inst Espanol Oceanog, Palma De Mallorca 07015, Spain.</t>
  </si>
  <si>
    <t>marian.pena@ieo.es</t>
  </si>
  <si>
    <t>Nogueira García, Enrique/R-6534-2018; Romero Romero, Sonia/GOP-0364-2022; Peña, Marian/HKN-2290-2023</t>
  </si>
  <si>
    <t>Peña, Marian/0000-0002-9000-1060; Nogueira, Enrique/0000-0002-4222-928X; Romero, Sonia/0000-0003-4683-8805</t>
  </si>
  <si>
    <t>[CTM2013-45089-R]</t>
  </si>
  <si>
    <t>We thank the collaboration of all scientists and crew involved in the surveys of the JUVENA and SCAPA (CTM2013-45089-R) projects. We also thank comments from an anonymous reviewer that helped to focus our findings.</t>
  </si>
  <si>
    <t>CANADIAN SCIENCE PUBLISHING, NRC RESEARCH PRESS</t>
  </si>
  <si>
    <t>OTTAWA</t>
  </si>
  <si>
    <t>65 AURIGA DR, SUITE 203, OTTAWA, ON K2E 7W6, CANADA</t>
  </si>
  <si>
    <t>0008-4301</t>
  </si>
  <si>
    <t>1480-3283</t>
  </si>
  <si>
    <t>CAN J ZOOL</t>
  </si>
  <si>
    <t>Can. J. Zool.</t>
  </si>
  <si>
    <t>10.1139/cjz-2018-0119</t>
  </si>
  <si>
    <t>IH1JL</t>
  </si>
  <si>
    <t>WOS:000474247000006</t>
  </si>
  <si>
    <t>Campen, R; Kowalski, J; Lyons, WB; Tulaczyk, S; Dachwald, B; Pettit, E; Welch, KA; Mikucki, JA</t>
  </si>
  <si>
    <t>Campen, Richard; Kowalski, Julia; Lyons, W. Berry; Tulaczyk, Slawek; Dachwald, Bernd; Pettit, Erin; Welch, Kathleen A.; Mikucki, Jill A.</t>
  </si>
  <si>
    <t>Microbial diversity of an Antarctic subglacial community and high-resolution replicate sampling inform hydrological connectivity in a polar desert</t>
  </si>
  <si>
    <t>ENVIRONMENTAL MICROBIOLOGY</t>
  </si>
  <si>
    <t>MCMURDO DRY VALLEYS; SP-NOV.; TAYLOR GLACIER; GEN.-NOV.; BLOOD FALLS; FAMILY FLAVOBACTERIACEAE; LAKE VOSTOK; ICE; BACTERIA; MEMBER</t>
  </si>
  <si>
    <t>Antarctic subglacial environments host microbial ecosystems and are proving to be geochemically and biologically diverse. The Taylor Glacier, Antarctica, periodically expels iron-rich brine through a conduit sourced from a deep subglacial aquifer, creating a dramatic red surface feature known as Blood Falls. We used Illumina MiSeq sequencing to describe the core microbiome of this subglacial brine and identified previously undetected but abundant groups including the candidate bacterial phylum Atribacteria and archaeal phylum Pacearchaeota. Our work represents the first microbial characterization of samples collected from within a glacier using a melt probe, and the only Antarctic subglacial aquatic environment that, to date, has been sampled twice. A comparative analysis showed the brine community to be stable at the operational taxonomic unit level of 99% identity over a decade. Higher resolution sequencing enabled deconvolution of the microbiome of subglacial brine from mixtures of materials collected at the glacier surface. Diversity patterns between this brine and samples from the surrounding landscape provide insight into the hydrological connectivity of subglacial fluids to the surface polar desert environment. Understanding subice brines collected on the surfaces of thick ice covers has implications for analyses of expelled materials that may be sampled on icy extraterrestrial worlds.</t>
  </si>
  <si>
    <t>[Campen, Richard; Mikucki, Jill A.] Univ Tennessee, Dept Microbiol, Knoxville, TN 37996 USA; [Kowalski, Julia] Rhein Westfal TH Aachen, Aachen, Germany; [Lyons, W. Berry; Welch, Kathleen A.] Ohio State Univ, Columbus, OH 43210 USA; [Tulaczyk, Slawek] Univ Calif Santa Cruz, Santa Cruz, CA 95064 USA; [Dachwald, Bernd] FH Aachen Univ Appl Sci, Fac Aerosp Engn, Aachen, Germany; [Pettit, Erin] Oregon State Univ, Coll Earth Ocean &amp; Atmospher Sci, Corvallis, OR 97331 USA</t>
  </si>
  <si>
    <t>University of Tennessee System; University of Tennessee Knoxville; RWTH Aachen University; University System of Ohio; Ohio State University; University of California System; University of California Santa Cruz; Oregon State University</t>
  </si>
  <si>
    <t>Mikucki, JA (corresponding author), Univ Tennessee, Dept Microbiol, Knoxville, TN 37996 USA.</t>
  </si>
  <si>
    <t>jmikucki@utk.edu</t>
  </si>
  <si>
    <t>; Tulaczyk, Slawek/O-7375-2018</t>
  </si>
  <si>
    <t>Dachwald, Bernd/0000-0001-8765-8339; Tulaczyk, Slawek/0000-0002-9711-4332; Welch, Kathleen/0000-0003-1028-3086; Campen, Richard/0000-0002-9467-9100; Pettit, Erin Christine/0000-0002-6765-9841</t>
  </si>
  <si>
    <t>National Science Foundation Office of Polar Programs [ANT-1144178, ANT1344348, ANT-1144192, ANT-1144176, ANT-1144177]</t>
  </si>
  <si>
    <t>National Science Foundation Office of Polar Programs(National Science Foundation (NSF)NSF - Directorate for Geosciences (GEO))</t>
  </si>
  <si>
    <t>This work was supported by the National Science Foundation Office of Polar Programs ANT-1144178 and ANT1344348 (JAM); ANT-1144192 (ST); ANT-1144176 (WBL); ANT-1144177 (EP). Field logistics was provided by the Antarctic Support Contractor for the United States Antarctic Program. This work was made possible by collaboration of all members of the MIDGE and EnEx Science Team (https://github.com/MikuckiLab/MIDGE-EnEx-Science-Team), in particular Gero Franke, Marco Feldman, Clemens Espe, Dirk Heinen, Ilya Digel, Michelle Chua and Ryan Davis. Stefan Green (UIC) was instrumental in troubleshooting amplicon library sequencing. We acknowledge the thoughtful comments of two anonymous reviewers which improved the clarity of this manuscript. The authors have no conflicts of interest to disclose.</t>
  </si>
  <si>
    <t>1462-2912</t>
  </si>
  <si>
    <t>1462-2920</t>
  </si>
  <si>
    <t>ENVIRON MICROBIOL</t>
  </si>
  <si>
    <t>Environ. Microbiol.</t>
  </si>
  <si>
    <t>10.1111/1462-2920.14607</t>
  </si>
  <si>
    <t>IH1ZM</t>
  </si>
  <si>
    <t>WOS:000474294900007</t>
  </si>
  <si>
    <t>Pathangey, G; Wheatley-Guy, CM; Stewart, G; Anderson, PJ; Richert, MLC; Miller, AD; Johnson, JB; Johnson, B</t>
  </si>
  <si>
    <t>Pathangey, Girish; Wheatley-Guy, Courtney M.; Stewart, Glenn; Anderson, Paul J.; Richert, Maile L. Ceridon; Miller, Andrew D.; Johnson, Jacob B.; Johnson, Bruce</t>
  </si>
  <si>
    <t>Relationship of Activity Patterns to Acute Mountain Sickness in South Pole Workers</t>
  </si>
  <si>
    <t>INTERNATIONAL JOURNAL OF SPORTS MEDICINE</t>
  </si>
  <si>
    <t>acclimatization; altitude; exercise; hypobaric</t>
  </si>
  <si>
    <t>ENERGY-EXPENDITURE; EXERCISE; ALTITUDE; HYPOXIA; ADOLESCENTS; HYPOBARIA; SYMPTOMS</t>
  </si>
  <si>
    <t>This study aimed to evaluate the influence of physical activity on incidence of acute mountain sickness (AMS) by continuous activity monitoring in a free-living sample of South Pole workers over the initial 72h at altitude exposure of 2,840m (9,318 ft). Body Media activity monitors were worn by 47 healthy participants. AMS was defined by the Lake Louise symptom questionnaire. Venous blood samples were taken at sea level and approximately 48h after high altitude exposure. AMS incidence was 34% (n=16/47) over the first 48h and 40% (n=19/47) over 72h. On day 2 at high altitude, individuals with AMS demonstrated a significantly greater increase in the percent change in physical activity metrics from baseline: total energy expenditure 19 +/- 13 vs. 5 +/- 7%, total steps 65 +/- 51 vs. 10 +/- 18%, metabolic equivalent of tasks 21 +/- 13 vs. 7 +/- 13%, and time spent performing moderate to vigorous physical activity 114 +/- 79 vs. 26 +/- 27% for individuals with AMS vs. no AMS, respectively, p&lt;0.05. In addition, erythropoietin and vascular endothelial growth factor were 1.69 and 1.75 times higher, respectively, in those with AMS. In conclusion, workers who engaged in increased physical activity and activity intensity during initial exposure to the South Pole were more susceptible to developing AMS.</t>
  </si>
  <si>
    <t>[Pathangey, Girish; Wheatley-Guy, Courtney M.] Mayo Clin Arizona, Cardiovasc Dis, 13400 E Shea Blvd, Scottsdale, AZ 85259 USA; [Stewart, Glenn; Anderson, Paul J.; Richert, Maile L. Ceridon; Miller, Andrew D.; Johnson, Jacob B.; Johnson, Bruce] Mayo Clin, Div Cardiovasc Dis, Rochester, MN USA; [Anderson, Paul J.] HealthPartners West Clin, Occupat Med, St Louis Pk, MN USA</t>
  </si>
  <si>
    <t>Mayo Clinic; Mayo Clinic Phoenix; Mayo Clinic</t>
  </si>
  <si>
    <t>Wheatley-Guy, CM (corresponding author), Mayo Clin Arizona, Cardiovasc Dis, 13400 E Shea Blvd, Scottsdale, AZ 85259 USA.</t>
  </si>
  <si>
    <t>wheatley.courtney@mayo.edu</t>
  </si>
  <si>
    <t>Pathangey, Girish/0000-0002-7594-9056</t>
  </si>
  <si>
    <t>National Science Foundation [B-179-M]; Mayo Clinic Center for Translational Science Activity (CTSA), Clinical Research Unit [UL1TR000135]</t>
  </si>
  <si>
    <t>National Science Foundation(National Science Foundation (NSF)); Mayo Clinic Center for Translational Science Activity (CTSA), Clinical Research Unit</t>
  </si>
  <si>
    <t>The study was made possible through the working efforts of the employees at the US Antarctic Program. This study was supported by a grant from the National Science Foundation, B-179-M and Mayo Clinic Center for Translational Science Activity (CTSA), Clinical Research Unit, Grant Number UL1TR000135. We appreciate the study coordination efforts of Kathy O'Malley and the technical support of Josh Mueller CTSA phlebotomist. We also appreciate contributions from general science support, station management, and cargo crew at South Pole, Crary Lab, medical team, and transportation/shipping at both McMurdo and South Pole. We would also like to thank Drs. Kenneth Beck, Jay O' Brien, and Kent Bailey for assistance with many aspects of data collection and study logistics.</t>
  </si>
  <si>
    <t>GEORG THIEME VERLAG KG</t>
  </si>
  <si>
    <t>STUTTGART</t>
  </si>
  <si>
    <t>RUDIGERSTR 14, D-70469 STUTTGART, GERMANY</t>
  </si>
  <si>
    <t>0172-4622</t>
  </si>
  <si>
    <t>1439-3964</t>
  </si>
  <si>
    <t>INT J SPORTS MED</t>
  </si>
  <si>
    <t>Int. J. Sports Med.</t>
  </si>
  <si>
    <t>10.1055/a-0884-3014</t>
  </si>
  <si>
    <t>Sport Sciences</t>
  </si>
  <si>
    <t>IH8LI</t>
  </si>
  <si>
    <t>WOS:000474756300003</t>
  </si>
  <si>
    <t>Hanke, F; Mooij, BJA; Ariese, F; Böttger, U</t>
  </si>
  <si>
    <t>Hanke, Franziska; Mooij, Bram J. A.; Ariese, Freek; Boettger, Ute</t>
  </si>
  <si>
    <t>The evaluation of time-resolved Raman spectroscopy for the suppression of background fluorescence from space-relevant samples</t>
  </si>
  <si>
    <t>fluorescence rejection; lunar regolith analogue material; space exploration; time-resolved Raman spectroscopy; Xanthoria elegans</t>
  </si>
  <si>
    <t>ANTARCTIC HABITATS; KEY BIOMARKERS; LICHENS; CYANOBACTERIA; RADIATION; SPECTROMETER; RESISTANCE; REJECTION; REGOLITH; EXTREMOTOLERANCE</t>
  </si>
  <si>
    <t>One of the primary goals in space research is the search for signs of extant or extinct extraterrestrial life, and Raman spectroscopy can play a role in this field. Raman spectrometers are planned for future missions to Mars and possibly the Moon to identify the mineralogical surface composition and potentially existing organic compounds (especially on Mars). However, a major challenge in Raman spectroscopy, especially in the visible range, is the strong fluorescence background. Time-resolved Raman spectroscopy (TRRS) can provide selective detection of Raman signals over the generally longer living fluorescence. This study investigates the potential of a TRRS system, using 3-ps, 440-nm laser pulses and time-gated detection with an intensified chargecoupled device (CCD) camera. Test samples were the lichen Xanthoria elegans as an extraterrestrial life analogue, and a lunar regolith analogue material (LRS) as a planetary surface analogue. The TRRS technique is evaluated by comparing gated to nongated Raman spectroscopy using different detectors but with otherwise the same instrument and identical measurement conditions. The gated spectra of X. elegans showed significant signal-to-noise ratio (SNR) improvements compared to the nongated spectra. The visible Raman lines could be assigned to the photoprotective pigment parietin. For the LRS sample, measurement spots with a good SNR in the nongated spectrum were not significantly improved by measuring in gated mode. However, spots dominated by fluorescence showed significant improvement in gated mode because of fluorescence suppression. Minerals such as plagioclase, diopside, olivine, apatite, and a carbonate mineral were detected. In most cases, TRRS provided better results compared to nongated measurements, demonstrating the suitability for future space-exploration missions.</t>
  </si>
  <si>
    <t>[Hanke, Franziska; Boettger, Ute] German Aerosp Ctr DLR, Inst Opt Sensor Syst, Rutherfordstr 2, D-12489 Berlin, Germany; [Mooij, Bram J. A.; Ariese, Freek] Vrije Univ Amsterdam, LaserLaB, Fac Sci, Amsterdam, Netherlands</t>
  </si>
  <si>
    <t>Helmholtz Association; German Aerospace Centre (DLR); Vrije Universiteit Amsterdam</t>
  </si>
  <si>
    <t>Hanke, F (corresponding author), German Aerosp Ctr DLR, Inst Opt Sensor Syst, Rutherfordstr 2, D-12489 Berlin, Germany.</t>
  </si>
  <si>
    <t>franziska.hanke@dlr.de</t>
  </si>
  <si>
    <t>LASERLAB-EUROPE [654148]; European Union [654148]</t>
  </si>
  <si>
    <t>LASERLAB-EUROPE; European Union(European Union (EU))</t>
  </si>
  <si>
    <t>LASERLAB-EUROPE, Grant/Award Number: 654148, European Union's Horizon 2020 research and 654148</t>
  </si>
  <si>
    <t>10.1002/jrs.5586</t>
  </si>
  <si>
    <t>IH7NQ</t>
  </si>
  <si>
    <t>WOS:000474691600007</t>
  </si>
  <si>
    <t>Van Leeuwen, ATD; Morrissey, LJ; Kelsey, DE; Raimondo, T</t>
  </si>
  <si>
    <t>Van Leeuwen, Alexander T. De Vries; Morrissey, Laura J.; Kelsey, David E.; Raimondo, Tom</t>
  </si>
  <si>
    <t>Recognition of Pan-African-aged metamorphism in the Fisher Terrane, central Prince Charles Mountains, East Antarctica</t>
  </si>
  <si>
    <t>JOURNAL OF THE GEOLOGICAL SOCIETY</t>
  </si>
  <si>
    <t>U-TH-PB; AMERY ICE SHELF; PRYDZ BAY; ZIRCON AGES; PROGRADE METAMORPHISM; METAVOLCANIC ROCKS; MAWSON-ESCARPMENT; TECTONIC EVENTS; LARSEMANN HILLS; GROVE MOUNTAINS</t>
  </si>
  <si>
    <t>The Precambrian tectonic architecture of the East Antarctic Shield is subject to considerable uncertainty because of limited outcrop. The Fisher Terrane, located in the central region of the Prince Charles Mountains, evolved during the Mesoproterozoic as a volcanic arc system and provides key data about the evolution of this region. Our study provides evidence that the Fisher Terrane formed in proximity to a Proterozoic plate boundary and was subsequently metamorphosed during the late Neoproterozoic to early Cambrian during the final stages of Gondwana amalgamation. U-Pb detrital zircon geochronology reveals that metasedimentary rocks from within a metasedimentary-metavolcanic package cropping out at Fisher Massif were deposited after c. 1300 Ma, and contain detritus derived from the Rayner-Eastern Ghats Terrane. This suggests that the Fisher Terrane was not an isolated oceanic arc but rather formed on the same tectonic plate as the Rayner Complex. Metapelitic schists from within the same metasedimentary package yield metamorphic U-Pb monazite ages of c. 512-509 Ma, corresponding to a regionally recognized Pan-African-aged event. This event has not been previously identified in the Fisher Terrane, and demonstrates that Pan-African-aged metamorphism affected all parts of the Prince Charles Mountains. Calculated phase equilibria modelling constrains the metamorphic conditions during this event to 2.5-4.0 kbar and 550-615 degrees C, corresponding to apparent thermal gradients of 146-220 degrees C kbar(-1). Such conditions plausibly relate to metamorphism taking place in an extensional setting.</t>
  </si>
  <si>
    <t>[Van Leeuwen, Alexander T. De Vries; Morrissey, Laura J.; Raimondo, Tom] Univ South Australia, Sch Nat &amp; Built Environm, GPO Box 2471, Adelaide, SA 5001, Australia; [Morrissey, Laura J.; Kelsey, David E.] Univ Adelaide, Sch Phys Sci, Adelaide, SA 5005, Australia; [Raimondo, Tom] Univ South Australia, Future Ind Inst, GPO Box 2471, Adelaide, SA 5001, Australia</t>
  </si>
  <si>
    <t>University of South Australia; University of Adelaide; University of South Australia</t>
  </si>
  <si>
    <t>Van Leeuwen, ATD (corresponding author), Univ South Australia, Sch Nat &amp; Built Environm, GPO Box 2471, Adelaide, SA 5001, Australia.</t>
  </si>
  <si>
    <t>alexander.devriesvanleeuwen@unisa.edu.au</t>
  </si>
  <si>
    <t>Raimondo, Tom/F-3766-2013; Kelsey, David E/D-3676-2009</t>
  </si>
  <si>
    <t>Raimondo, Tom/0000-0001-9115-9196; Morrissey, Laura/0000-0001-7506-6117; De Vries Van Leeuwen, Alexander/0000-0003-4988-4153</t>
  </si>
  <si>
    <t>University of South Australia Vacation Research Scholarship; Australian Research Training Program (RTP) scholarship; Australian Research Council [DP160101006]</t>
  </si>
  <si>
    <t>University of South Australia Vacation Research Scholarship; Australian Research Training Program (RTP) scholarship; Australian Research Council(Australian Research Council)</t>
  </si>
  <si>
    <t>A.T.D. is supported by a University of South Australia Vacation Research Scholarship and an Australian Research Training Program (RTP) scholarship. This study was funded by Australian Research Council project DP160101006.</t>
  </si>
  <si>
    <t>GEOLOGICAL SOC PUBL HOUSE</t>
  </si>
  <si>
    <t>BATH</t>
  </si>
  <si>
    <t>UNIT 7, BRASSMILL ENTERPRISE CENTRE, BRASSMILL LANE, BATH BA1 3JN, AVON, ENGLAND</t>
  </si>
  <si>
    <t>0016-7649</t>
  </si>
  <si>
    <t>2041-479X</t>
  </si>
  <si>
    <t>J GEOL SOC LONDON</t>
  </si>
  <si>
    <t>J. Geol. Soc.</t>
  </si>
  <si>
    <t>10.1144/jgs2018-146</t>
  </si>
  <si>
    <t>IH7MG</t>
  </si>
  <si>
    <t>WOS:000474687600012</t>
  </si>
  <si>
    <t>Arcos-Ortega, GF; Serrano-Silvas, SR; Rodríguez-Jaramillo, C; Acuña-Gómez, EP; Schofield-Astorga, DC; Olave-Solar, CD</t>
  </si>
  <si>
    <t>Arcos-Ortega, Guadalupe F.; Rene Serrano-Silvas, Santos; Rodriguez-Jaramillo, Carmen; Paola Acuna-Gomez, Eliana; Schofield-Astorga, Diana C.; Olave-Solar, Carlos D.</t>
  </si>
  <si>
    <t>Oogenesis of Lithodes santolla: histological and histochemical characterization</t>
  </si>
  <si>
    <t>LATIN AMERICAN JOURNAL OF AQUATIC RESEARCH</t>
  </si>
  <si>
    <t>Lithodes santolla; oogenesis; gonad maturity; quantitative histology; Magellan and Chilean Antarctic Region</t>
  </si>
  <si>
    <t>OVARIAN MATURATION; OOCYTE DEVELOPMENT; KURUMA PRAWN; SPIDER CRAB; SHRIMP; CRUSTACEA; BRACHYURA; DECAPODA; REPRODUCTION; VANNAMEI</t>
  </si>
  <si>
    <t>Although Lithodes santolla is a resource with high commercial importance that has aroused interest in controlled reproduction in captivity, currently, little knowledge is available about basic reproductive aspects of this species. This research study describes detailed oogenesis stages at the histological level in adult females of the southern king crab of the Magellan and Chilean Antarctic Region. Oogenesis was quantitatively analyzed from the proliferation of 10-24 mu m oogonia and during oocyte growth. Five stages of ovary development were identified: multiplication (0), previtellogenesis (I), vitellogenesis (II), maturity (III) and spawning (IV). Furthermore, 11 oocyte substages were distinguished: oogonia, chromatin nucleolus, early perinucleolus, late perinucleolus, oil globule, early vitellin globule, late vitellin globule, postvitelogenic, germinal vesicle migration and germinal vesicle breakdown. Primary vitellogenesis occurred in oocytes 180-185 mu m, containing acidophilic globules and surrounded by a layer of thick follicle cells (20-40 mu m). Secondary vitellogenesis was evident in oocytes at 315-321 mu m with numerous acidophilic granules in the cytoplasm and surrounded by thin follicle cells; then, cortical crypts appeared, indicating the prematuration stage and preparation for ovulation. This study allows establishing gonadic changes that occur during a reproductive cycle of female L. santolla and help to strengthen aquaculture initiatives and management in the Magellan and Chilean Antarctic Region.</t>
  </si>
  <si>
    <t>[Arcos-Ortega, Guadalupe F.; Rene Serrano-Silvas, Santos; Paola Acuna-Gomez, Eliana; Schofield-Astorga, Diana C.; Olave-Solar, Carlos D.] Fdn CEQUA, Ctr Estudios Cuaternario Fuego Patagonia &amp; Antart, Linea Ecosistemas Acuat, Punta Arenas, Magallanes, Chile; [Arcos-Ortega, Guadalupe F.; Rene Serrano-Silvas, Santos; Paola Acuna-Gomez, Eliana; Schofield-Astorga, Diana C.; Olave-Solar, Carlos D.] Fdn CEQUA, Ctr Estudios Cuaternario Fuego Patagonia &amp; Antart, Linea Ecosistemas Acuat, Punta Arenas, Antartica Chile, Chile; [Arcos-Ortega, Guadalupe F.; Rodriguez-Jaramillo, Carmen] Ctr Invest Biol Noroeste CIBNOR, La Paz, Baja California, Mexico</t>
  </si>
  <si>
    <t>CIBNOR - Centro de Investigaciones Biologicas del Noroeste</t>
  </si>
  <si>
    <t>Arcos-Ortega, GF (corresponding author), Fdn CEQUA, Ctr Estudios Cuaternario Fuego Patagonia &amp; Antart, Linea Ecosistemas Acuat, Punta Arenas, Magallanes, Chile.;Arcos-Ortega, GF (corresponding author), Fdn CEQUA, Ctr Estudios Cuaternario Fuego Patagonia &amp; Antart, Linea Ecosistemas Acuat, Punta Arenas, Antartica Chile, Chile.</t>
  </si>
  <si>
    <t>fabiola.arcos@cequa.cl</t>
  </si>
  <si>
    <t>Arcos, Guadalupe Fabiola/H-6023-2018</t>
  </si>
  <si>
    <t>Arcos, Guadalupe Fabiola/0000-0002-6098-3569; Serrano Silvas, Santos Rene/0000-0002-3208-585X</t>
  </si>
  <si>
    <t>CORFO grant from CEQUA [12BPC2-13541]; FIC R-2012 grant from CEQUA [30127734-0]</t>
  </si>
  <si>
    <t>CORFO grant from CEQUA; FIC R-2012 grant from CEQUA</t>
  </si>
  <si>
    <t>This research was supported by CORFO (12BPC2-13541) and FIC R-2012 (30127734-0) grants from CEQUA to E. Paola Acuna Gomez and G. Fabiola Arcos. The authors thank CEQUA staff: Maria Teresa Ramirez, Freddy Munoz, Mario Esquivel, Cecilia Ramirez, Carlos Olave, Manuel Sanchez, Guillermo Alvarado, Oscar Mancilla, Carla Mora, Johana Ruiz, Marcos Pinto, Gabriel Quilahuilque, Edy Cadin, Jessica Azocar, Rocio Canche, and Juan Rios. We are indebted to CIBNOR for their infrastructure and technical support and grateful to Eulalia Meza Chavez for histological and histochemical technical support; to Diana Fischer for editorial services in English.</t>
  </si>
  <si>
    <t>UNIV CATOLICA DE VALPARAISO</t>
  </si>
  <si>
    <t>VALPARAISO</t>
  </si>
  <si>
    <t>AV BRASIL 2950, PO BOX 4059, VALPARAISO, CHILE</t>
  </si>
  <si>
    <t>0718-560X</t>
  </si>
  <si>
    <t>0717-7178</t>
  </si>
  <si>
    <t>LAT AM J AQUAT RES</t>
  </si>
  <si>
    <t>Lat. Am. J. Aquat. Res.</t>
  </si>
  <si>
    <t>10.3856/vol47-issue3-fulltext-10</t>
  </si>
  <si>
    <t>IH7NM</t>
  </si>
  <si>
    <t>WOS:000474691200010</t>
  </si>
  <si>
    <t>Braeckman, U; Pasotti, F; Vázquez, S; Zacher, K; Hoffmann, R; Elvert, M; Marchant, H; Buckner, C; Quartino, ML; Mác Cormack, W; Soetaert, K; Wenzhöfer, F; Vanreusel, A</t>
  </si>
  <si>
    <t>Braeckman, U.; Pasotti, F.; Vazquez, S.; Zacher, K.; Hoffmann, R.; Elvert, M.; Marchant, H.; Buckner, C.; Quartino, M. L.; Mac Cormack, W.; Soetaert, K.; Wenzhoefer, F.; Vanreusel, A.</t>
  </si>
  <si>
    <t>Degradation of macroalgal detritus in shallow coastal Antarctic sediments</t>
  </si>
  <si>
    <t>KING-GEORGE-ISLAND; SOUTH SHETLAND ISLANDS; FISH NOTOTHENIA-CORIICEPS; POTTER COVE; MICROPHYTOBENTHOS CARBON; FEEDING ECOLOGY; FOOD-WEB; INTERTIDAL MICROPHYTOBENTHOS; TROPHIC RELATIONSHIPS; WATER MEIOFAUNA</t>
  </si>
  <si>
    <t>Glaciers along the western Antarctic Peninsula are retreating at unprecedented rates, opening up sublittoral rocky substrate for colonization by marine organisms such as macroalgae. When macroalgae are physically detached due to storms or erosion, their fragments can accumulate in seabed hollows, where they can be grazed upon by herbivores or be degraded microbially or be sequestered. To understand the fate of the increasing amount of macroalgal detritus in Antarctic shallow subtidal sediments, a mesocosm experiment was conducted to track C-13- and N-15-labeled macroalgal detritus into the benthic bacterial, meiofaunal, and macrofaunal biomass and respiration of sediments from Potter Cove (King George Island). We compared the degradation pathways of two macroalgae species: one considered palatable for herbivores (the red algae Palmaria decipiens) and other considered nonpalatable for herbivores (the brown algae Desmarestia anceps). The carbon from Palmaria was recycled at a higher rate than that of Desmarestia, with herbivores such as amphipods playing a stronger role in the early degradation process of the Palmaria fragments and the microbial community taking over at a later stage. In contrast, Desmarestia was more buried in the subsurface sediments, stimulating subsurface bacterial degradation. Macrofauna probably relied indirectly on Desmarestia carbon, recycled by bacteria and microphytobenthos. The efficient cycling of the nutrients and carbon from the macroalgae supports a positive feedback loop among bacteria, microphytobenthos, and meiofaunal and macrofaunal grazers, resulting in longer term retention of macroalgal nutrients in the sediment, hence creating a food bank for the benthos.</t>
  </si>
  <si>
    <t>[Braeckman, U.; Pasotti, F.; Vanreusel, A.] Univ Ghent, Marine Biol Res Grp, Ghent, Belgium; [Braeckman, U.; Hoffmann, R.; Wenzhoefer, F.] Helmholtz Ctr Polar &amp; Marine Res, Alfred Wegener Inst, HGF MPG Grp Deep Sea Ecol &amp; Technol, Bremerhaven, Germany; [Braeckman, U.; Hoffmann, R.] Max Planck Inst Marine Microbiol, Bremen, Germany; [Vazquez, S.; Mac Cormack, W.] Univ Buenos Aires, NANOBIOTEC UBA CONICET, Catedra Biotecnol, Fac Farm &amp; Bioquim, Buenos Aires, DF, Argentina; [Zacher, K.] Helmholtz Ctr Polar &amp; Marine Res, Alfred Wegener Inst, Funct Ecol, Bremerhaven, Germany; [Elvert, M.] Univ Bremen, MARUM Ctr Marine Environm Sci, Bremen, Germany; [Elvert, M.] Univ Bremen, Dept Geosci, Bremen, Germany; [Marchant, H.; Buckner, C.] Max Planck Inst Marine Microbiol, Biogeochem Grp, Bremen, Germany; [Quartino, M. L.; Mac Cormack, W.] Inst Antartico Argentino, Coastal Biol Dept, Buenos Aires, DF, Argentina; [Quartino, M. L.] Museo Argentino Ciencias Nat Bernardino Rivadavia, Buenos Aires, DF, Argentina; [Soetaert, K.] NIOZ Yerseke Estuarine &amp; Delta Studies, Utrecht, Netherlands; [Soetaert, K.] Univ Utrecht, Utrecht, Netherlands</t>
  </si>
  <si>
    <t>Ghent University; Helmholtz Association; Alfred Wegener Institute, Helmholtz Centre for Polar &amp; Marine Research; Max Planck Society; University of Buenos Aires; Helmholtz Association; Alfred Wegener Institute, Helmholtz Centre for Polar &amp; Marine Research; University of Bremen; University of Bremen; Max Planck Society; Instituto Antartico Argentino; Museo Argentino de Ciencias Naturales Bernardino Rivadavia (MACN); Utrecht University</t>
  </si>
  <si>
    <t>Braeckman, U (corresponding author), Univ Ghent, Marine Biol Res Grp, Ghent, Belgium.;Braeckman, U (corresponding author), Helmholtz Ctr Polar &amp; Marine Res, Alfred Wegener Inst, HGF MPG Grp Deep Sea Ecol &amp; Technol, Bremerhaven, Germany.;Braeckman, U (corresponding author), Max Planck Inst Marine Microbiol, Bremen, Germany.</t>
  </si>
  <si>
    <t>ulrike.braeckman@ugent.be</t>
  </si>
  <si>
    <t>Marchant, Hannah Rose/HMW-0236-2023; Braeckman, Ulrike/AAJ-4801-2021; Vazquez, Susana/AEP-5214-2022; soetaert, karline/A-9839-2011</t>
  </si>
  <si>
    <t>Vazquez, Susana/0000-0002-0760-6254; Pasotti, Francesca/0000-0002-8971-8195; Elvert, Marcus/0000-0003-3863-0975; Braeckman, Ulrike/0000-0002-7558-6363; soetaert, karline/0000-0003-4603-7100; Mac Cormack, Walter/0000-0002-5280-5463</t>
  </si>
  <si>
    <t>Research Foundation -Flanders (FWO, Belgium) [1201716N]; EU research network IMCONet - Marie Curie Action International Research Staff Exchange Scheme [318718]; Belgian Science Policy Office (BELSPO) [BR/132/A1/vERSO]; PACES program - Alfred-Wegener-Institut Helmholtz-Zentrum fur Polar-und Meeresforschung; Deutsche Forschungsgemeinschaft (DFG) [Za735/1-1]</t>
  </si>
  <si>
    <t>Research Foundation -Flanders (FWO, Belgium)(FWO); EU research network IMCONet - Marie Curie Action International Research Staff Exchange Scheme(European Union (EU)); Belgian Science Policy Office (BELSPO)(Belgian Federal Science Policy Office); PACES program - Alfred-Wegener-Institut Helmholtz-Zentrum fur Polar-und Meeresforschung; Deutsche Forschungsgemeinschaft (DFG)(German Research Foundation (DFG))</t>
  </si>
  <si>
    <t>We are very grateful to the Instituto Antartico Argentino (IAA) and the crew at Carlini Station for the logistic support during the field campaign and to Oscar Gonzalez, Doris Abele, and the Argentinian Army (Ejercito Argentino) divers of CAV 2014-2015 who made this study possible. We would like to thank Andreas Wagner for culturing the macroalgae, Martina Alisch, Rafael Stiens, and Gabriele Klockgether for laboratory analysis of sediment and water properties, Jenny Wendt for help with PLFA extractions, and Guy De Smet for meiofauna counts. We are grateful to the two anonymous reviewers who provided very constructive feedback on this manuscript and to Tim tkint who designed the conceptual figure in the discussion. The first author is a postdoctoral research fellow at Research Foundation -Flanders (FWO, Belgium) (grant 1201716N). The present manuscript presents an outcome of the EU research network IMCONet funded by the Marie Curie Action International Research Staff Exchange Scheme (FP7 IRSES, Action 318718), the vERSO project (www.versoproject.be) funded by the Belgian Science Policy Office (BELSPO, contract BR/132/A1/vERSO), and the PACES program funded by Alfred-Wegener-Institut Helmholtz-Zentrum fur Polar-und Meeresforschung and was supported by the Deutsche Forschungsgemeinschaft (DFG) in the framework of the priority program Antarctic Research with comparative investigations in Arctic ice areas by grant Za735/1-1.</t>
  </si>
  <si>
    <t>10.1002/lno.11125</t>
  </si>
  <si>
    <t>IH2BW</t>
  </si>
  <si>
    <t>WOS:000474301200001</t>
  </si>
  <si>
    <t>Layton, C; Cameron, MJ; Shelamoff, V; Fernández, PA; Britton, D; Hurd, CL; Wright, JT; Johnson, CR</t>
  </si>
  <si>
    <t>Layton, Cayne; Cameron, Matthew J.; Shelamoff, Victor; Fernandez, Pamela A.; Britton, Damon; Hurd, Catriona L.; Wright, Jeffrey T.; Johnson, Craig R.</t>
  </si>
  <si>
    <t>Chemical microenvironments within macroalgal assemblages: Implications for the inhibition of kelp recruitment by turf algae</t>
  </si>
  <si>
    <t>MACROCYSTIS-PYRIFERA; OCEAN ACIDIFICATION; ECKLONIA-RADIATA; MEIOSPORE GERMINATION; COASTAL CALCIFIERS; BOUNDARY-LAYER; FORMING ALGAE; FLOW; PH; CANOPY</t>
  </si>
  <si>
    <t>Kelp forests around the world are under increasing pressure from anthropogenic stressors. A widespread consequence is that in many places, complex and highly productive kelp habitats have been replaced by structurally simple and less productive turf algae habitats. Turf algae habitats resist re-establishment of kelp via recruitment inhibition; however, little is known about the specific mechanisms involved. One potential factor is the chemical environment within the turf algae and into which kelp propagules settle and develop. Using laboratory trials, we illustrate that the chemical microenvironment (O-2 concentration and pH) 0.0-50 mm above the substratum within four multispecies macroalgal assemblages (including a turf-sediment assemblage and an Ecklonia radiata kelp-dominated assemblage) are characterized by elevated O-2 and pH relative to the surrounding seawater. Notably however, O-2 and pH were significantly higher within turf-sediment assemblages than in kelp-dominated assemblages, and at levels that have previously been demonstrated to impair the photosynthetic or physiological capacity of kelp propagules. Field observations of the experimental assemblages confirmed that recruitment of kelp was significantly lower into treatments with dense turf algae than in the kelp-dominated assemblages. We demonstrate differences between the chemical microenvironments of kelp and turf algae assemblages that correlate with differences in kelp recruitment, highlighting how degradation of kelp habitats might result in the persistence of turf algae habitats and the localized absence of kelp.</t>
  </si>
  <si>
    <t>[Layton, Cayne; Cameron, Matthew J.; Shelamoff, Victor; Fernandez, Pamela A.; Britton, Damon; Hurd, Catriona L.; Wright, Jeffrey T.; Johnson, Craig R.] Univ Tasmania, Inst Marine &amp; Antarctic Studies, Hobart, Tas, Australia; [Fernandez, Pamela A.] Univ Los Lagos, Ctr I Mar, Puerto Montt, Chile</t>
  </si>
  <si>
    <t>University of Tasmania; Universidad de Los Lagos</t>
  </si>
  <si>
    <t>Layton, C (corresponding author), Univ Tasmania, Inst Marine &amp; Antarctic Studies, Hobart, Tas, Australia.</t>
  </si>
  <si>
    <t>cayne.layton@utas.edu.au</t>
  </si>
  <si>
    <t>Fernandez, Pamela/AAX-1676-2021; Wright, Jeffrey/J-7536-2014; Layton, Cayne/J-8443-2013; Hurd, Catriona/J-2411-2013</t>
  </si>
  <si>
    <t>Fernandez, Pamela/0000-0003-3122-0084; Wright, Jeffrey/0000-0002-1085-4582; Layton, Cayne/0000-0002-3390-6437; Hurd, Catriona/0000-0001-9965-4917; Britton, Damon/0000-0002-9029-7527</t>
  </si>
  <si>
    <t>Australian Research Council; Holsworth Wildlife Research Endowment; Australian Government Postgraduate Award</t>
  </si>
  <si>
    <t>Australian Research Council(Australian Research Council); Holsworth Wildlife Research Endowment; Australian Government Postgraduate Award(Australian Government)</t>
  </si>
  <si>
    <t>The authors thank Fanny Noisette and Chris Cornwall for comments on experimental design, and Pim Somers for assistance during the experiments. This work was supported by Australian Research Council funding awarded to JTW and CRJ, and a Holsworth Wildlife Research Endowment awarded to CL. CL was supported by an Australian Government Postgraduate Award administered through the University of Tasmania.</t>
  </si>
  <si>
    <t>10.1002/lno.11138</t>
  </si>
  <si>
    <t>WOS:000474301200013</t>
  </si>
  <si>
    <t>Heiden, JP; Völkner, C; Jones, EM; van de Poll, WH; Buma, AGJ; Meredith, MP; de Baar, HJW; Bischof, K; Wolf-Gladrow, D; Trimborn, S</t>
  </si>
  <si>
    <t>Heiden, Jasmin P.; Voelkner, Christian; Jones, Elizabeth M.; van de Poll, Willem H.; Buma, Anita G. J.; Meredith, Michael P.; de Baar, Hein J. W.; Bischof, Kai; Wolf-Gladrow, Dieter; Trimborn, Scarlett</t>
  </si>
  <si>
    <t>Impact of ocean acidification and high solar radiation on productivity and species composition of a late summer phytoplankton community of the coastal Western Antarctic Peninsula</t>
  </si>
  <si>
    <t>PHOTOSYNTHETIC ELECTRON-TRANSPORT; NORTHERN MARGUERITE BAY; ICE ZONE WEST; PHAEOCYSTIS-ANTARCTICA; ROSS SEA; INTERANNUAL VARIABILITY; INORGANIC CARBON; COLONY FORMATION; FRAGILARIOPSIS-CYLINDRUS; NUTRIENT UTILIZATION</t>
  </si>
  <si>
    <t>The Western Antarctic Peninsula (WAP), one of the most productive regions of the Southern Ocean, is currently undergoing rapid environmental changes such as ocean acidification (OA) and increased daily irradiances from enhanced surface-water stratification. To assess the potential for future biological CO2 sequestration of this region, we incubated a natural phytoplankton assemblage from Ryder Bay, WAP, under a range of pCO(2) levels (180 mu atm, 450 mu atm, and 1000 mu atm) combined with either moderate or high natural solar radiation (MSR: 124 mu mol photons m(-2) s(-1) and HSR: 435 mu mol photons m(-2) s(-1), respectively). The initial and final phytoplankton communities were numerically dominated by the prymnesiophyte Phaeocystis antarctica, with the single cells initially being predominant and solitary and colonial cells reaching similar high abundances by the end. Only when communities were grown under ambient pCO(2) in conjunction with HSR did the small diatom Fragilariopsis pseudonana outcompete P. antarctica at the end of the experiment. Such positive light-dependent growth response of the diatom was, however, dampened by OA. These changes in community composition were caused by an enhanced photosensitivity of diatoms, especially F. pseudonana, under OA and HSR, reducing thereby their competitiveness toward P. antarctica. Moreover, community primary production (PP) of all treatments yielded similar high rates at the start and the end of the experiment, but with the main contributors shifting from initially large to small cells toward the end. Even though community PP of Ryder Bay phytoplankton was insensitive to the changes in light and CO2 availability, the observed size-dependent shift in productivity could, however, weaken the biological CO2 sequestration potential of this region in the future.</t>
  </si>
  <si>
    <t>[Heiden, Jasmin P.; Voelkner, Christian; Wolf-Gladrow, Dieter; Trimborn, Scarlett] Alfred Wegener Inst Helmholtz Zentrum Polar &amp; Mee, Bremerhaven, Germany; [Heiden, Jasmin P.; Bischof, Kai; Trimborn, Scarlett] Univ Bremen, Marine Bot, Bremen, Germany; [Jones, Elizabeth M.; van de Poll, Willem H.; Buma, Anita G. J.; de Baar, Hein J. W.] Univ Groningen, Energy &amp; Sustainabil Res Inst Groningen, Dept Ocean Ecosyst, Groningen, Netherlands; [Jones, Elizabeth M.; de Baar, Hein J. W.] NIOZ Royal Netherlands Inst Sea Res, Den Burg, Netherlands; [Jones, Elizabeth M.; de Baar, Hein J. W.] Univ Utrecht, Den Burg, Netherlands; [Jones, Elizabeth M.] Inst Marine Res, Fram Ctr, Tromso, Norway; [Meredith, Michael P.] British Antarctic Survey, Cambridge, England</t>
  </si>
  <si>
    <t>Helmholtz Association; Alfred Wegener Institute, Helmholtz Centre for Polar &amp; Marine Research; University of Bremen; University of Groningen; Utrecht University; Royal Netherlands Institute for Sea Research (NIOZ); Utrecht University; Institute of Marine Research - Norway; UK Research &amp; Innovation (UKRI); Natural Environment Research Council (NERC); NERC British Antarctic Survey</t>
  </si>
  <si>
    <t>Trimborn, S (corresponding author), Alfred Wegener Inst Helmholtz Zentrum Polar &amp; Mee, Bremerhaven, Germany.;Trimborn, S (corresponding author), Univ Bremen, Marine Bot, Bremen, Germany.</t>
  </si>
  <si>
    <t>Trimborn, Scarlett/AAM-1061-2021; Buma, Anita GJ/E-8372-2015</t>
  </si>
  <si>
    <t>Trimborn, Scarlett/0000-0003-1434-9927; Meredith, Michael/0000-0002-7342-7756; Bischof, Kai/0000-0002-4497-1920; van de Poll, Willem/0000-0003-4095-4338</t>
  </si>
  <si>
    <t>Helmholtz association [VH-NG-901]; Netherlands Polar Programme at NWO [866.13.006]; Natural Environment Research Council (NERC); NERC [bas0100033] Funding Source: UKRI</t>
  </si>
  <si>
    <t>Helmholtz association(Helmholtz Association); Netherlands Polar Programme at NWO; Natural Environment Research Council (NERC)(UK Research &amp; Innovation (UKRI)Natural Environment Research Council (NERC)); NERC(UK Research &amp; Innovation (UKRI)Natural Environment Research Council (NERC))</t>
  </si>
  <si>
    <t>The authors gratefully acknowledge the Bristish Antarctic Survey (BAS), the Royal Netherlands institute for Sea Research (NIOZ), and the Netherlands Organisation for Scientific Research (NWO) for the opportunity to conduct fieldwork at the Dierck Gerritz and Bonner laboratories at Rothera. The RaTS long-term monitoring program is a component of the Polar Oceans research program at BAS, funded by the Natural Environment Research Council (NERC). The work of JPH, CV, and ST was funded by the Helmholtz association (Young Investigator Group EcoTrace, VH-NG-901). This work is part of postdoctoral research (E. Jones) at the University of Groningen under the research programme 866.13.006, which is (partly) financed by the Netherlands Polar Programme at NWO.</t>
  </si>
  <si>
    <t>10.1002/lno.11147</t>
  </si>
  <si>
    <t>WOS:000474301200021</t>
  </si>
  <si>
    <t>Fuoco, R; Giannarelli, S</t>
  </si>
  <si>
    <t>Fuoco, Roger; Giannarelli, Stefania</t>
  </si>
  <si>
    <t>Integrity of aquatic ecosystems: An overview of a message from the South Pole on the level of persistent organic pollutants (POPs)</t>
  </si>
  <si>
    <t>MICROCHEMICAL JOURNAL</t>
  </si>
  <si>
    <t>16th Hungarian - Italian Symposium on Spectrochemistry - Technological Innovation for Water Science and Sustainable Aquatic Biodiversity</t>
  </si>
  <si>
    <t>OCT 03-06, 2018</t>
  </si>
  <si>
    <t>Budapest, HUNGARY</t>
  </si>
  <si>
    <t>Aquatic ecosystems; Level of integrity; Persistent organic pollutants (POPS)</t>
  </si>
  <si>
    <t>POLYCYCLIC AROMATIC-HYDROCARBONS; POLYCHLORINATED-BIPHENYLS PCBS; MUNICIPAL WASTE INCINERATOR; ORGANOCHLORINE PESTICIDES; HUMAN-MILK; SOURCE IDENTIFICATION; SOURCE APPORTIONMENT; DIOXIN-LIKE; TALOS DOME; ICE-CORE</t>
  </si>
  <si>
    <t>Two third of our planet is covered by water, and lakes and rivers are the most important freshwater resources. But the amount of fresh water represents only 2.5% of the earth's water. Of the earth's fresh water, about 70% is locked up in the continental ice, 30% in underground aquifers and only 0.3% in rivers and lakes. In many water ecosystems around the world, climate change and environmental contamination affect water quantity and quality and water-related ecosystems. It is well known that a fifth of the population in Europe and the America drink contaminated water which does not meet international standard criteria, and also that the consumption of low-quality drinking water is responsible for around 80% of human diseases in the world (official data from World Health Organization, WHO). Thus, the assessment of the integrity of aquatic ecosystems is crucial for its correct management. One of the most critical parameter in evaluating the water resource integrity is the contamination level that can be evaluated by comparing it with equivalent ecosystems in their natural (or pristine) state. However, because of the global impact of human activities, only Antarctica can be still considered almost natural. Persistent Organic Pollutants (POPS) represent one of the most studied class of environmental contaminants due to their well-known carcinogenic and mutagenic effects on living organisms. They are ubiquitous, lipophilic and accumulate in lipid tissues and trough food chains. In this work an overview on the presence of POPS in several aquatic ecosystem around the world will be comparatively discussed with data obtained at the South Pole of our planet. Moreover, the present trend of the presence of POPS at a global level will be evaluated on the basis of concentration profiles as obtained from ice-cores gathered at Victoria Land, Antarctica. Finally, some conclusive remarks are presented on the use of the information available in the management of water resources.</t>
  </si>
  <si>
    <t>[Fuoco, Roger; Giannarelli, Stefania] Univ Pisa, Dept Chem &amp; Ind Chem, Via G Moruzzi 13, I-56124 Pisa, Italy</t>
  </si>
  <si>
    <t>University of Pisa</t>
  </si>
  <si>
    <t>Fuoco, R (corresponding author), Univ Pisa, Dept Chem &amp; Ind Chem, Via G Moruzzi 13, I-56124 Pisa, Italy.</t>
  </si>
  <si>
    <t>roger.fuoco@unipi.it</t>
  </si>
  <si>
    <t>ENEA-National Antarctic Research Program (PNRA)</t>
  </si>
  <si>
    <t>The financial support of the ENEA-National Antarctic Research Program (PNRA) is gratefully acknowledged.</t>
  </si>
  <si>
    <t>0026-265X</t>
  </si>
  <si>
    <t>1095-9149</t>
  </si>
  <si>
    <t>MICROCHEM J</t>
  </si>
  <si>
    <t>Microchem J.</t>
  </si>
  <si>
    <t>10.1016/j.microc.2019.04.076</t>
  </si>
  <si>
    <t>IH4WK</t>
  </si>
  <si>
    <t>WOS:000474492600029</t>
  </si>
  <si>
    <t>Reum, JCP; Blanchard, JL; Holsman, KK; Aydin, K; Punt, AE</t>
  </si>
  <si>
    <t>Reum, Jonathan C. P.; Blanchard, Julia L.; Holsman, Kirstin K.; Aydin, Kerim; Punt, Andre E.</t>
  </si>
  <si>
    <t>Species-specific ontogenetic diet shifts attenuate trophic cascades and lengthen food chains in exploited ecosystems</t>
  </si>
  <si>
    <t>OIKOS</t>
  </si>
  <si>
    <t>community ecology; ecosystem-based management; fisheries ecology; ontogeny; trophic interactions</t>
  </si>
  <si>
    <t>BODY-SIZE; FISHERIES MANAGEMENT; FISH COMMUNITY; REGIME SHIFTS; WEB STRUCTURE; SEA OTTERS; MODEL; PREDATION; SPECTRA; POPULATIONS</t>
  </si>
  <si>
    <t>Ontogenetic diet shifts are pervasive in food websbut rules governing their emergence and the implications for trophic cascades are only partly understood. Recent theoretical advances in multispecies size spectrum models (MSSMs) predict that the emergence of ontogenetic diet shifts are driven primarily by size-selective predation and changes in the relative abundances of suitably sized prey. Howeverthese assumptions have not yet been tested with data. Herewe developed alternative MSSMs based on different assumptions about the nature of species and size-based preferences and tested them using an extensive dietary database for the Eastern Bering Sea (EBS). MSSMs with both size and species-specific prey preferences correctly predicted approximately three-fold more of the diet links than those that assumed fixed species preferences. Importantlythese model assumptions also had a profound effect on the strength of fishing-induced trophic cascades and the emergent trophic structure of the community with and without fishing. The diet-informed models exhibited lower predation mortality ratesparticularly for small individuals (less than 1 g) whichin turnreduced the intensity and reach of fishing-induced trophic cascades up the size spectrum. If the level and size dependency of piscivory observed in EBS predators is typical of other systemsthe potential for fishing-induced trophic cascades may be over-stated in MSSMs as they are currently formulated and parameterized. Representation of species-specific ontogenetic shifts in diet can strongly influence system responses to perturbationsand the extensions we propose should accelerate adoption of MSSMs as frameworks for exploring size-based food web theory and developing modeling tools to support strategic management decisions.</t>
  </si>
  <si>
    <t>[Reum, Jonathan C. P.; Punt, Andre E.] Univ Washington, Sch Aquatic &amp; Fishery Sci, 1122 NE Boat St, Seattle, WA 98102 USA; [Blanchard, Julia L.] Univ Tasmania, Inst Marine &amp; Antarctic Studies, Hobart, Tas, Australia; [Holsman, Kirstin K.; Aydin, Kerim] NOAA, Alaska Fisheries Sci Ctr, Natl Marine Fisheries Serv, Seattle, WA USA; [Blanchard, Julia L.] Univ Hobart, Ctr Marine Socioecol, Hobart, Tas, Australia</t>
  </si>
  <si>
    <t>University of Washington; University of Washington Seattle; University of Tasmania; National Oceanic Atmospheric Admin (NOAA) - USA</t>
  </si>
  <si>
    <t>Reum, JCP (corresponding author), Univ Washington, Sch Aquatic &amp; Fishery Sci, 1122 NE Boat St, Seattle, WA 98102 USA.</t>
  </si>
  <si>
    <t>reumj@uw.edu</t>
  </si>
  <si>
    <t>Blanchard, Julia L/E-4919-2010</t>
  </si>
  <si>
    <t>Blanchard, Julia/0000-0003-0532-4824; Reum, Jonathan/0000-0001-6601-4550</t>
  </si>
  <si>
    <t>NOAA National Marine Fisheries Service Fisheries and the Environment (FATE) program; Climate Regimes &amp; Ecosystem Productivity (CREP); Economics and Human Dimensions Program; NOAA Alaska Fisheries Science Center; NOAA Integrated Ecosystem Assessment Program (IEA); NOAA Research Transition Acceleration Program (RTAP); Australian Research Council [DP170104240]; Stock Assessment Analytical Methods (SAAM) program</t>
  </si>
  <si>
    <t>NOAA National Marine Fisheries Service Fisheries and the Environment (FATE) program; Climate Regimes &amp; Ecosystem Productivity (CREP); Economics and Human Dimensions Program; NOAA Alaska Fisheries Science Center(National Oceanic Atmospheric Admin (NOAA) - USA); NOAA Integrated Ecosystem Assessment Program (IEA); NOAA Research Transition Acceleration Program (RTAP); Australian Research Council(Australian Research Council); Stock Assessment Analytical Methods (SAAM) program</t>
  </si>
  <si>
    <t>This work is part of the Alaska Climate Change Integrated Modeling project (ACLIM) and was supported by grants through the NOAA National Marine Fisheries Service Fisheries and the Environment (FATE) program, the Stock Assessment Analytical Methods (SAAM) program, the Climate Regimes &amp; Ecosystem Productivity (CREP), the Economics and Human Dimensions Program, the NOAA Alaska Fisheries Science Center, the NOAA Integrated Ecosystem Assessment Program (IEA), and the NOAA Research Transition Acceleration Program (RTAP). We also acknowledge support from the Australian Research Council Discovery Project DP170104240 (Rewiring Marine Foodwebs).</t>
  </si>
  <si>
    <t>0030-1299</t>
  </si>
  <si>
    <t>1600-0706</t>
  </si>
  <si>
    <t>Oikos</t>
  </si>
  <si>
    <t>10.1111/oik.05630</t>
  </si>
  <si>
    <t>IH3CL</t>
  </si>
  <si>
    <t>WOS:000474370800013</t>
  </si>
  <si>
    <t>Dauner, ALL; Mollenhauer, G; Bícego, MC; de Souza, MM; Nagai, RH; Figueira, RCL; de Mahiques, MM; Sousa, SHDE; Martins, CC</t>
  </si>
  <si>
    <t>Dauner, Ana Lucia L.; Mollenhauer, Gesine; Bicego, Marcia Caruso; de Souza, Mihael Machado; Nagai, Renata Hanae; Lopes Figueira, Rubens Cesar; de Mahiques, Michel Michaelovitch; de Mello e Sousa, Silvia Helena; Martins, Cesar C.</t>
  </si>
  <si>
    <t>Multi-proxy reconstruction of sea surface and subsurface temperatures in the western South Atlantic over the last ∼75 kyr</t>
  </si>
  <si>
    <t>U-37(K); TEX86; LDI; Holocene; Pleistocene; Paleoceanography; South Atlantic; Organic geochemistry</t>
  </si>
  <si>
    <t>MERIDIONAL OVERTURNING CIRCULATION; CLIMATE VARIABILITY; AGULHAS LEAKAGE; BRAZIL CURRENT; PHYTOPLANKTON COMMUNITY; TROPICAL ATLANTIC; CALIBRATION; U-37(K'); RECORDS; SHELF</t>
  </si>
  <si>
    <t>Millennial-scale oscillations are known to be important in the climatic evolution of the Atlantic basin, but which internal processes originates these oscillations are still uncertain. In this study, we investigated how the Greenland and Antarctic climates affect the SW Atlantic through basin-wide oceanographic features (such as the NADW formation and the Agulhas leakage). We reconstructed sea surface and subsurface temperatures (SST and subT) using three lipid-based biomarker proxies (UK 37, TEX86 and WI indexes) from a sediment core (NAP 63-1) retrieved from the SW Atlantic slope (24.8 S, 44.3 W). This location allowed us to evaluate the temperature oscillations of the Brazil Current without any terrigenous or upwelling-derived biases. Both TEX86-based and LDI-based estimates represent the mean annual SST, while the UK 37-based estimates represent the subT (around 30 m water depth). The periods with the most well-mixed water column were observed during intervals of cooling orbital trends due to the time required to transfer the surface cooling to the subsurface. The temperature reconstructions showed a general colder MIS 3 when compared to the MIS 4. They also showed evidence of a late response to deglaciation, with its onset in the SW Atlantic occurring in the middle of the Last Glacial Maximum. Based on these reconstructions, the NAP 63-1 SST orbital-scale trend seems to be linked to the Antarctic climate, influenced by local insolation changes. These temperature records also presented a clear millennial periodicity around 8 kyr. On this timescale, the millennial oscillations in the SW Atlantic's SST are likely linked to the NADW formation. (C) 2019 Elsevier Ltd. All rights reserved.</t>
  </si>
  <si>
    <t>[Dauner, Ana Lucia L.; Nagai, Renata Hanae; Martins, Cesar C.] Univ Fed Parana, Ctr Marine Studies, BR-83255976 Pontal Do Parana, PR, Brazil; [Dauner, Ana Lucia L.] Univ Fed Parana, Grad Program Coastal &amp; Ocean Syst PGSISCO, BR-83255976 Pontal Do Parana, PR, Brazil; [Mollenhauer, Gesine] Helmholtz Ctr Polar &amp; Marine Res, Alfred Wegener Inst, D-27515 Bremerhaven, Germany; [Mollenhauer, Gesine] Univ Bremen, MARUM Ctr Marine Environm Sci, D-28334 Bremen, Germany; [Bicego, Marcia Caruso; Lopes Figueira, Rubens Cesar; de Mahiques, Michel Michaelovitch; de Mello e Sousa, Silvia Helena] Univ Sao Paulo, Oceanog Inst, BR-05508120 Sao Paulo, Brazil; [de Souza, Mihael Machado] Hamburg Univ, Inst Oceanog, D-20146 Hamburg, Germany; [de Mahiques, Michel Michaelovitch] Univ Sao Paulo, Inst Energy &amp; Environm, BR-05508120 Sao Paulo, Brazil</t>
  </si>
  <si>
    <t>Universidade Federal do Parana; Universidade Federal do Parana; Helmholtz Association; Alfred Wegener Institute, Helmholtz Centre for Polar &amp; Marine Research; University of Bremen; Universidade de Sao Paulo; University of Hamburg; Universidade de Sao Paulo</t>
  </si>
  <si>
    <t>Dauner, ALL; Martins, CC (corresponding author), Univ Fed Parana, Ctr Marine Studies, BR-83255976 Pontal Do Parana, PR, Brazil.;Mollenhauer, G (corresponding author), Helmholtz Ctr Polar &amp; Marine Res, Alfred Wegener Inst, D-27515 Bremerhaven, Germany.;Bícego, MC (corresponding author), Univ Sao Paulo, Oceanog Inst, BR-05508120 Sao Paulo, Brazil.</t>
  </si>
  <si>
    <t>anadauner@gmail.com; gesine.mollenhauer@awi.de; marciabicego@usp.br; ccmart@ufpr.br</t>
  </si>
  <si>
    <t>Dauner, Ana Lúcia Lindroth/AAF-1544-2021; de Mello e Sousa, Silvia Helena/ABH-5834-2020; Mahiques, Michel/D-1526-2010; Nagai, Renata Hanae/N-6643-2019; Mollenhauer, Gesine/AAD-8167-2019</t>
  </si>
  <si>
    <t>Dauner, Ana Lúcia Lindroth/0000-0002-9686-6241; Mahiques, Michel/0000-0002-5249-5610; Nagai, Renata Hanae/0000-0002-1358-5074; Mollenhauer, Gesine/0000-0001-5138-564X; de Castro Martins, Cesar/0000-0002-2515-5565</t>
  </si>
  <si>
    <t>CAPES (Coordenacao de Aperfeicoamento de Pessoal de Nivel Superior); Deutscher Akademischer Austauschdienst (DAAD) [91621623]; FAPESP (Sao Paulo Science Foundation) [FAPESP: 2010/06147-5, 2015/21834-2]; CNPq (Brazilian National Council for Scientific and Technological Development) [305763/2011-3]; Fundacao de Amparo a Pesquisa do Estado de Sao Paulo (FAPESP) [15/21834-2] Funding Source: FAPESP</t>
  </si>
  <si>
    <t>CAPES (Coordenacao de Aperfeicoamento de Pessoal de Nivel Superior)(Coordenacao de Aperfeicoamento de Pessoal de Nivel Superior (CAPES)); Deutscher Akademischer Austauschdienst (DAAD)(Deutscher Akademischer Austausch Dienst (DAAD)); FAPESP (Sao Paulo Science Foundation)(Fundacao de Amparo a Pesquisa do Estado de Sao Paulo (FAPESP)); CNPq (Brazilian National Council for Scientific and Technological Development)(Conselho Nacional de Desenvolvimento Cientifico e Tecnologico (CNPQ)); Fundacao de Amparo a Pesquisa do Estado de Sao Paulo (FAPESP)(Fundacao de Amparo a Pesquisa do Estado de Sao Paulo (FAPESP))</t>
  </si>
  <si>
    <t>A.L.L. Dauner would like to thank CAPES (Coordenacao de Aperfeicoamento de Pessoal de Nivel Superior) for the Ph.D. Scholarship, to Dr. Jens Hefter for all assistance and teachings in the laboratory analysis. M.M. Souza would like to thank the Deutscher Akademischer Austauschdienst (DAAD) for the doctoral scholarship (reference number: 91621623). M.C. Bicego and M.M. Mahiques would like to thank FAPESP (Sao Paulo Science Foundation) for the financial support (FAPESP: 2010/06147-5 and 2015/21834-2). C.C. Martins would like to thank CNPq (Brazilian National Council for Scientific and Technological Development) for a research grant (305763/2011-3). The authors would like to thank Dr. Peter DeMenocal from the Lamont-Doherty Earth Observatory (LDEO), Columbia University (New York, USA) for the oxygen isotopic composition analysis. The authors also thank two anonymous reviewers for their useful comments on this manuscript.</t>
  </si>
  <si>
    <t>10.1016/j.quascirev.2019.04.020</t>
  </si>
  <si>
    <t>IH2IK</t>
  </si>
  <si>
    <t>WOS:000474318200002</t>
  </si>
  <si>
    <t>Kefford, B; King, CK; Wasley, J; Riddle, MJ; Nugegoda, D</t>
  </si>
  <si>
    <t>Kefford, Ben J.; King, Catherine K.; Wasley, Jane; Riddle, Martin J.; Nugegoda, Dayanthi</t>
  </si>
  <si>
    <t>Sensitivity of a Large and Representative Sample of Antarctic Marine Invertebrates to Metals</t>
  </si>
  <si>
    <t>ENVIRONMENTAL TOXICOLOGY AND CHEMISTRY</t>
  </si>
  <si>
    <t>Metal toxicity; Species sensitivity distribution; Marine toxicity test; Invertebrate toxicology; Aquatic invertebrates; Antarctica</t>
  </si>
  <si>
    <t>RELATIVE SALINITY TOLERANCE; FUEL-OIL; TOXICITY; DISTRIBUTIONS; MACROINVERTEBRATES; VICTORIA; COPPER; CONTAMINANTS; COMMUNITIES; QUALITY</t>
  </si>
  <si>
    <t>There are limited data on the sensitivity to contaminants of marine organisms in polar regions. Consequently, assessments of the risk of contaminants to marine biota in polar environments typically include extrapolations from temperate and/or tropical species. This is problematic because the taxonomic composition of organisms differs between polar and temperate/tropical waters, and both the toxicity of chemicals and the physiology of organisms are very different at the stable low temperatures experienced in polar marine systems. Collecting high-quality sensitivity data for a wide range of marine polar organisms using traditional toxicity assessment approaches is a time-consuming and difficult process, especially in remote and hostile environments. We applied a rapid toxicity testing approach, which allowed a much larger number of species to be tested than would be possible with traditional toxicity test methods, albeit with lower replications and fewer exposure concentrations. With this rapid approach, sensitivity estimates are less precise, but more numerous. This is important when constructing species sensitivity distributions (SSDs), which aim to represent the sensitivity of communities. We determined the approximate sensitivity (4- and 10-d median lethal concentration [LC50] values) of a large and representative sample of Antarctic marine invertebrates to copper (Cu), zinc (Zn), and cadmium (Cd). Up to 88 LC50 values (from 88 different taxa) were used in the construction of SSDs. The hazardous concentrations for 1% of taxa (HC1) based on 10-d LC50 values were 37, 346, and 792 mu g/L for Cu, Zn, and Cd, respectively. Our results provide a basis for estimating the risk of exposure to metals for a large representative sample of marine polar invertebrates. Environ Toxicol Chem 2019;38:1560-1568. (c) 2019 SETAC</t>
  </si>
  <si>
    <t>[Kefford, Ben J.] Univ Canberra, Inst Appl Ecol, Canberra, ACT, Australia; [King, Catherine K.; Wasley, Jane; Riddle, Martin J.] Australian Antarctic Div, Kingston, Australia; [Nugegoda, Dayanthi] RMIT Univ, Melbourne, Vic, Australia</t>
  </si>
  <si>
    <t>University of Canberra; Australian Antarctic Division; Royal Melbourne Institute of Technology (RMIT)</t>
  </si>
  <si>
    <t>Kefford, B (corresponding author), Univ Canberra, Inst Appl Ecol, Canberra, ACT, Australia.</t>
  </si>
  <si>
    <t>ben.kefford@canberra.edu.au</t>
  </si>
  <si>
    <t>Wasley, Jane/KHX-4880-2024; King, Catherine/G-7059-2017</t>
  </si>
  <si>
    <t>Nugegoda, Dayanthi/0000-0002-6327-4581; Kefford, Ben/0000-0001-6789-4254; Wasley, Jane/0000-0001-9379-664X; King, Catherine/0000-0003-3356-0381</t>
  </si>
  <si>
    <t>Australian Antarctic Science (AAS) project [2677]</t>
  </si>
  <si>
    <t>Australian Antarctic Science (AAS) project</t>
  </si>
  <si>
    <t>The present study was conducted under Australian Antarctic Science (AAS) project 2677, awarded to D. Nugegoda. We thank all the people who were at Casey Station (Australian Antarctic Territory) in the summer of 2005 and 2006 for their support and friendship. We would particularly like to thank the dive and boating teams for collecting invertebrates, and everyone else who assisted us in the field or aquarium, including P. Goldsworthy, A. Browne, C. Golding, P. Bircher, N. Hill, C. Samson, R. Connell, and B. Free. We thank the following for specimen identification or confirmation: Zoologische Staatssammlung Munchen (Mollusca), Alistair Hirst (Amphipoda), Tim O'Hara (Ostracoda and Echinodermata), Ashley Miskelly (Abatus), Genefor Walker-Smith (Cumacea and Leptostraca). We thank G. Kon Kam King and B. Gruber for their assistance with the R-script. We thank anonymous reviewers and the Environmental Toxicology &amp; Chemistry editor C. Mebane for helpful comments that improved the paper. Author contributions: conception of the project: BJK, DN and MJR; design of the study: BJK and CKK; logistical support: MJR and DN; experimental work: BJK and CKK; metal analysis: CKK; statistical analysis: BJK; manuscript preparation: BJK, CKK, JW; approval of final version: all.</t>
  </si>
  <si>
    <t>0730-7268</t>
  </si>
  <si>
    <t>1552-8618</t>
  </si>
  <si>
    <t>ENVIRON TOXICOL CHEM</t>
  </si>
  <si>
    <t>Environ. Toxicol. Chem.</t>
  </si>
  <si>
    <t>10.1002/etc.4419</t>
  </si>
  <si>
    <t>IF7AS</t>
  </si>
  <si>
    <t>WOS:000473234500019</t>
  </si>
  <si>
    <t>Godinho, VM; de Paula, MTR; Silva, DAS; Paresque, K; Martins, AP; Colepicolo, P; Rosa, CA; Rosa, LH</t>
  </si>
  <si>
    <t>Godinho, Valeria Martins; Rafaela de Paula, Maria Theresa; Saraiva Silva, Debora Amorim; Paresque, Karla; Martins, Aline Paternostro; Colepicolo, Pio; Rosa, Carlos Augusto; Rosa, Luiz Henrique</t>
  </si>
  <si>
    <t>Diversity and distribution of hidden cultivable fungi associated with marine animals of Antarctica</t>
  </si>
  <si>
    <t>FUNGAL BIOLOGY</t>
  </si>
  <si>
    <t>Antarctic ocean; Extremophiles; Marine fungi; Taxonomy</t>
  </si>
  <si>
    <t>COMMUNITIES; MACROALGAE; ECOLOGY; TOLYPOCLADIUM; DESTRUCTANS; GEOMYCES; TAXONOMY; SOILS</t>
  </si>
  <si>
    <t>In the present study, we surveyed the distribution and diversity of fungal assemblages associated with 10 species of marine animals from Antarctica. The collections yielded 83 taxa from 27 distinct genera, which were identified using molecular biology methods. The most abundant taxa were Cladosporium sp. 1, Debaryomyces hansenii, Glaciozyma martinii, Metschnikowia australis, Pseudogymnoascus destructans, Thelebolus cf. globosus, Pseudogymnoascus pannorum, Tolypocladium tundrense, Metschnikowia australis, and different Penicillium species. The diversity, richness, and dominance of fungal assemblages ranged among the host; however, in general, the fungal community, which was composed of endemic and cold-adapted cosmopolitan taxa distributed across the different sites of Antarctic Peninsula, displayed high diversity, richness, and dominance indices. Our results contribute to knowledge about fungal diversity in the marine environment across the Antarctic Peninsula and their phylogenetic relationships with species that occur in other cold, temperate, and tropical regions of the World. Additionally, despite their extreme habitats, marine Antarctic animals shelter cryptic and complex fungal assemblages represented by endemic and cosmopolitan cold-adapted taxa, which may represent interesting models to study different symbiotic associations between fungi and their animal hosts in the extreme conditions of Antarctica. (C) 2019 British Mycological Society. Published by Elsevier Ltd. All rights reserved.</t>
  </si>
  <si>
    <t>[Godinho, Valeria Martins; Rafaela de Paula, Maria Theresa; Saraiva Silva, Debora Amorim; Rosa, Carlos Augusto; Rosa, Luiz Henrique] Univ Fed Minas Gerais, Inst Ciencias Biol, Dept Microbiol, Belo Horizonte, MG, Brazil; [Paresque, Karla] Univ Fed Alagoas, Lab Bentol, Maceio, AL, Brazil; [Martins, Aline Paternostro; Colepicolo, Pio] Univ Sao Paulo, Inst Quim, Dept Bioquim, Sao Paulo, Brazil</t>
  </si>
  <si>
    <t>Universidade Federal de Minas Gerais; Universidade Federal de Alagoas; Universidade de Sao Paulo</t>
  </si>
  <si>
    <t>Rosa, LH (corresponding author), Univ Fed Minas Gerais, Inst Ciencias Biol, Dept Microbiol, Lab Microbiol Polar &amp; Conexoes Trop, POB 486, BR-31270901 Belo Horizonte, MG, Brazil.</t>
  </si>
  <si>
    <t>lhrosa@icb.ufmg.br</t>
  </si>
  <si>
    <t>Fapesp, Biota/F-8655-2017; Martins, Aline Paternostro/H-7951-2012</t>
  </si>
  <si>
    <t>Fapesp, Biota/0000-0002-9887-8449; de Paula, Maria Theresa Rafaela/0000-0003-3359-2279</t>
  </si>
  <si>
    <t>FAPEMIG; CNPq/PROANTAR; CAPES; INCT Criosfera 2; FNDCT</t>
  </si>
  <si>
    <t>FAPEMIG(Fundacao de Amparo a Pesquisa do Estado de Minas Gerais (FAPEMIG)); CNPq/PROANTAR(Conselho Nacional de Desenvolvimento Cientifico e Tecnologico (CNPQ)); CAPES(Coordenacao de Aperfeicoamento de Pessoal de Nivel Superior (CAPES)); INCT Criosfera 2; FNDCT</t>
  </si>
  <si>
    <t>This study had financial support by FAPEMIG, CNPq/PROANTAR, CAPES, INCT Criosfera 2, FNDCT.</t>
  </si>
  <si>
    <t>1878-6146</t>
  </si>
  <si>
    <t>1878-6162</t>
  </si>
  <si>
    <t>FUNGAL BIOL-UK</t>
  </si>
  <si>
    <t>Fungal Biol.</t>
  </si>
  <si>
    <t>10.1016/j.funbio.2019.05.001</t>
  </si>
  <si>
    <t>IG5JV</t>
  </si>
  <si>
    <t>WOS:000473840300003</t>
  </si>
  <si>
    <t>Zheng, KW; Nikurashin, M</t>
  </si>
  <si>
    <t>Zheng, Kaiwen; Nikurashin, Maxim</t>
  </si>
  <si>
    <t>Downstream Propagation and Remote Dissipation of Internal Waves in the Southern Ocean</t>
  </si>
  <si>
    <t>Internal waves; Mixing; Turbulence; Numerical analysis; modeling</t>
  </si>
  <si>
    <t>ANTARCTIC CIRCUMPOLAR CURRENT; SEA-FLOOR MORPHOLOGY; STRATIFIED FLOW; IMPACT; SENSITIVITY; GENERATION; TOPOGRAPHY; TURBULENCE; PATTERNS; BREAKING</t>
  </si>
  <si>
    <t>Recent microstructure observations in the Southern Ocean report enhanced internal gravity waves and turbulence in the frontal regions of the Antarctic Circumpolar Current extending a kilometer above rough bottom topography. Idealized numerical simulations and linear theory show that geostrophic flows impinging on rough small-scale topography are very effective generators of internal waves and estimate vigorous wave radiation, breaking, and turbulence within a kilometer above bottom. However, both idealized simulations and linear theory assume periodic and spatially uniform topography and tend to overestimate the observed levels of turbulent energy dissipation locally at the generation sites. In this study, we explore the downstream evolution and remote dissipation of internal waves generated by geostrophic flows using a series of numerical, realistic topography simulations and parameters typical of Drake Passage. The results show that significant levels of internal wave kinetic energy and energy dissipation are present downstream of the rough topography, internal wave generation site. About 30%-40% of the energy dissipation occurs locally over the rough topography region, where internal waves are generated. The rest of the energy dissipation takes place remotely and decays downstream of the generation site with an e-folding length scale of up to 20-30 km. The model we use is two-dimensional with enhanced viscosity coefficients, and hence it can result in the underestimation of the remote wave dissipation and its decay length scale. The implications of our results for turbulent energy dissipation observations and mixing parameterizations are discussed.</t>
  </si>
  <si>
    <t>[Zheng, Kaiwen] Ocean Univ China, Collaborat Innovat Ctr Marine Sci &amp; Technol, Phys Oceanog Lab, Qingdao, Shandong, Peoples R China; [Zheng, Kaiwen] Qingdao Natl Lab Marine Sci &amp; Technol, Qingdao, Shandong, Peoples R China; [Zheng, Kaiwen; Nikurashin, Maxim] Univ Tasmania, Inst Marine &amp; Antarctic Studies, Hobart, Tas, Australia; [Nikurashin, Maxim] Ctr Excellence Climate Extremes, Sydney, NSW, Australia</t>
  </si>
  <si>
    <t>Ocean University of China; Laoshan Laboratory; University of Tasmania</t>
  </si>
  <si>
    <t>Zheng, KW (corresponding author), Ocean Univ China, Collaborat Innovat Ctr Marine Sci &amp; Technol, Phys Oceanog Lab, Qingdao, Shandong, Peoples R China.;Zheng, KW (corresponding author), Qingdao Natl Lab Marine Sci &amp; Technol, Qingdao, Shandong, Peoples R China.;Zheng, KW (corresponding author), Univ Tasmania, Inst Marine &amp; Antarctic Studies, Hobart, Tas, Australia.</t>
  </si>
  <si>
    <t>keviniskg@sina.com</t>
  </si>
  <si>
    <t>Zheng, Kaiwen/AAF-1029-2019</t>
  </si>
  <si>
    <t>Nikurashin, Maxim/0000-0002-5714-8343</t>
  </si>
  <si>
    <t>China Scholarship Council (CSC); Australian Research Council (ARC) Discovery Early Career Research Award (DECRA) Fellowship [DE150100937]; Australian Government; National Key Research and Development Program of China [2016YFC1401405]; National Natural Science Foundation of China [41276010, 41376010, U1406401]; Australian Research Council [DE150100937] Funding Source: Australian Research Council</t>
  </si>
  <si>
    <t>China Scholarship Council (CSC)(China Scholarship Council); Australian Research Council (ARC) Discovery Early Career Research Award (DECRA) Fellowship(Australian Research Council); Australian Government(Australian Government); National Key Research and Development Program of China; National Natural Science Foundation of China(National Natural Science Foundation of China (NSFC)); Australian Research Council(Australian Research Council)</t>
  </si>
  <si>
    <t>We thank two anonymous reviewers and the editor for their useful comments and suggestions that improved the manuscript. KZ was supported by the China Scholarship Council (CSC). MN was supported by the Australian Research Council (ARC) Discovery Early Career Research Award (DECRA) Fellowship (DE150100937). This research was undertaken with the assistance of resources provided at the NCI National Facility systems at the Australian National University through the National Computational Merit Allocation Scheme supported by the Australian Government. We also thank Prof. C. Guan and J. Sun and the support from the National Key Research and Development Program of China (2016YFC1401405) and the National Natural Science Foundation of China (41276010, 41376010, and U1406401).</t>
  </si>
  <si>
    <t>10.1175/JPO-D-18-0134.1</t>
  </si>
  <si>
    <t>IG2QH</t>
  </si>
  <si>
    <t>WOS:000473642000001</t>
  </si>
  <si>
    <t>Peel, SL; Hill, NA; Foster, SD; Wotherspoon, SJ; Ghiglione, C; Schiaparelli, S</t>
  </si>
  <si>
    <t>Peel, Samantha L.; Hill, Nicole A.; Foster, Scott D.; Wotherspoon, Simon J.; Ghiglione, Claudio; Schiaparelli, Stefano</t>
  </si>
  <si>
    <t>Reliable species distributions are obtainable with sparse, patchy and biased data by leveraging over species and data types</t>
  </si>
  <si>
    <t>Poisson point processes; presence-absence data; presence-only data; sampling bias; Southern Ocean Mollusca; species distribution models; stochastic simulation</t>
  </si>
  <si>
    <t>PRESENCE-ONLY DATA; DISTRIBUTION MODELS</t>
  </si>
  <si>
    <t>New methods for species distribution models (SDMs) utilise presence-absence (PA) data to correct the sampling bias of presence-only (PO) data in a spatial point process setting. These have been shown to improve species estimates when both datasets are large and dense. However, is a PA dataset that is smaller and patchier than hitherto examined able to do the same? Furthermore, when both datasets are relatively small, is there enough information contained within them to produce a useful estimate of species' distributions? These attributes are common in many applications. A stochastic simulation was conducted to assess the ability of a pooled data SDM to estimate the distribution of species from increasingly sparser and patchier datasets. The simulated datasets were varied by changing the number of presence-absence sample locations, the degree of patchiness of these locations, the number of PO observations, and the level of sampling bias within the PO observations. The performance of the pooled data SDM was compared to a PA SDM and a PO SDM to assess the strengths and limitations of each SDM. The pooled data SDM successfully removed the sampling bias from the PO observations even when the presence-absence data were sparse and patchy, and the PO observations formed the majority of the data. The pooled data SDM was, in general, more accurate and more precise than either the PA SDM or the PO SDM. All SDMs were more precise for the species responses than they were for the covariate coefficients. The emerging SDM methodology that pools PO and PA data will facilitate more certainty around species' distribution estimates, which in turn will allow more relevant and concise management and policy decisions to be enacted. This work shows that it is possible to achieve this result even in relatively data-poor regions.</t>
  </si>
  <si>
    <t>[Peel, Samantha L.; Hill, Nicole A.; Wotherspoon, Simon J.] Univ Tasmania, Inst Marine &amp; Antarctic Studies, Hobart, Tas, Australia; [Peel, Samantha L.; Foster, Scott D.] CSIRO, Data 61, Hobart, Tas, Australia; [Ghiglione, Claudio; Schiaparelli, Stefano] Italian Natl Antarctic Museum MNA, Sect Genoa, Genoa, Italy; [Schiaparelli, Stefano] Univ Genoa, DISTAV, Genoa, Italy</t>
  </si>
  <si>
    <t>University of Tasmania; Commonwealth Scientific &amp; Industrial Research Organisation (CSIRO); University of Genoa</t>
  </si>
  <si>
    <t>Peel, SL (corresponding author), Univ Tasmania, Inst Marine &amp; Antarctic Studies, Hobart, Tas, Australia.;Peel, SL (corresponding author), CSIRO, Data 61, Hobart, Tas, Australia.</t>
  </si>
  <si>
    <t>samantha.peel@utas.edu.au</t>
  </si>
  <si>
    <t>Wotherspoon, Simon J/B-2390-2013; Foster, Scott/E-9311-2010</t>
  </si>
  <si>
    <t>Wotherspoon, Simon J/0000-0002-6947-4445; Foster, Scott/0000-0002-6719-8002</t>
  </si>
  <si>
    <t>Tasmanian Graduate Research Scholarship; Italian National Antarctic Museum; Australian Antarctic Science Grant [4124]</t>
  </si>
  <si>
    <t>Tasmanian Graduate Research Scholarship; Italian National Antarctic Museum; Australian Antarctic Science Grant</t>
  </si>
  <si>
    <t>Tasmanian Graduate Research Scholarship; Italian National Antarctic Museum; Australian Antarctic Science Grant, Grant/Award Number: 4124</t>
  </si>
  <si>
    <t>10.1111/2041-210X.13196</t>
  </si>
  <si>
    <t>IG2XE</t>
  </si>
  <si>
    <t>WOS:000473662700008</t>
  </si>
  <si>
    <t>Verona, LS; Wainer, I; Stevenson, S</t>
  </si>
  <si>
    <t>Verona, L. S.; Wainer, I; Stevenson, S.</t>
  </si>
  <si>
    <t>Volcanically Triggered Ocean Warming Near the Antarctic Peninsula</t>
  </si>
  <si>
    <t>LAST MILLENNIUM; CIRCULATION RESPONSE; ICE SHELVES; CLIMATE; ERUPTIONS; MODEL; HYDROCLIMATE; VARIABILITY; REANALYSIS; IMPACT</t>
  </si>
  <si>
    <t>Explosive volcanic eruptions are the largest non-anthropogenic perturbations for Earth's climate, because of the injection of sulfate aerosols into the stratosphere. This causes significant radiation imbalances, resulting in surface cooling for most of the globe. However, despite its crucial importance for Antarctic ice sheet mass balance, the response of the Southern Ocean to eruptions has yet to be understood. After the eruption of Mt. Pinatubo in 1991, much of the Southern Ocean cooled; however, off the Antarctic Peninsula a warming of up to 0.8 degrees C is found in the observations. To understand the physical mechanisms associated with this counter-intuitive response, we combine observational analysis from the Mt. Pinatubo eruption with the Last Millennium Ensemble (850-1850) conducted with the Community Earth System Model. These results show not only that the observed warming off the Peninsula following the Mt. Pinatubo eruption is consistent with the forced response to low-latitude eruptions but further, that this warming is a response to roughly 16% weakening of subsurface Weddell Gyre outflow. These changes are triggered by a southward shift of the Southern Hemisphere polar westerlies (similar to 2 degrees latitude). Our results suggest that warming induced by future volcanic eruptions may further enhance the vulnerability of the ice shelves off the Antarctic Peninsula.</t>
  </si>
  <si>
    <t>[Verona, L. S.; Wainer, I] Univ Sao Paulo, IO, Sao Paulo, SP, Brazil; [Stevenson, S.] Univ Calif Santa Barbara, Bren Sch Environm Sci &amp; Management, Santa Barbara, CA 93106 USA</t>
  </si>
  <si>
    <t>Universidade de Sao Paulo; University of California System; University of California Santa Barbara</t>
  </si>
  <si>
    <t>Verona, LS (corresponding author), Univ Sao Paulo, IO, Sao Paulo, SP, Brazil.</t>
  </si>
  <si>
    <t>verona.laura@usp.br</t>
  </si>
  <si>
    <t>; WAINER, ILANA/B-4540-2011</t>
  </si>
  <si>
    <t>Sobral Verona, Laura/0000-0002-7565-2009; WAINER, ILANA/0000-0003-3784-623X</t>
  </si>
  <si>
    <t>FAPESP [2015/50686-1, 2015/17659-0]; CNPq-MCT-INCT-594 Criosfera [573720/2008-8]; Coordenacao de Aperfeicoamento de Pessoal de Nivel Superior -Brasil (CAPES) [001]; NSF EaSM grant [1243125, 124310]; National Science Foundation; National Science Foundation (NSF); National Center for Atmospheric Research - NSF [1852977]; [CNPq-301726/2013-2]; [CNPq-405869/2013-4]</t>
  </si>
  <si>
    <t>FAPESP(Fundacao de Amparo a Pesquisa do Estado de Sao Paulo (FAPESP)); CNPq-MCT-INCT-594 Criosfera; Coordenacao de Aperfeicoamento de Pessoal de Nivel Superior -Brasil (CAPES)(Coordenacao de Aperfeicoamento de Pessoal de Nivel Superior (CAPES)); NSF EaSM grant; National Science Foundation(National Science Foundation (NSF)); National Science Foundation (NSF)(National Science Foundation (NSF)); National Center for Atmospheric Research - NSF(National Science Foundation (NSF)NSF - Directorate for Geosciences (GEO)); ;</t>
  </si>
  <si>
    <t>This study was supported by grant FAPESP 2015/17659-0, FAPESP 2015/50686-1 and grants CNPq-301726/2013-2; CNPq-405869/2013-4 [Nautilus]; CNPq-MCT-INCT-594 Criosfera 573720/2008-8 and Coordenacao de Aperfeicoamento de Pessoal de Nivel Superior -Brasil (CAPES) Finance Code 001. SS was supported by an NSF EaSM grant, AGS #1243125, to NCAR #124310 to the University of Arizona. Authors thank the National Center for Atmospheric Research (NCAR) for making the CESM data available. NCAR is funded by the National Science Foundation. The CESM project is supported primarily by the National Science Foundation (NSF). This material is based upon work supported by the National Center for Atmospheric Research, which is a major facility sponsored by the NSF under Cooperative Agreement No. 1852977. Computing and data storage resources, including the Cheyenne supercomputer (https://doi.org/10.5065/D6RX99HX), were provided by the Computational and Information Systems Laboratory (CISL) at NCAR.</t>
  </si>
  <si>
    <t>10.1038/s41598-019-45190-3</t>
  </si>
  <si>
    <t>IF7VQ</t>
  </si>
  <si>
    <t>WOS:000473294100049</t>
  </si>
  <si>
    <t>Szyszka-Mroz, B; Cvetkovska, M; Ivanov, AG; Smith, DR; Possmayer, M; Maxwell, DP; Hüner, NPA</t>
  </si>
  <si>
    <t>Szyszka-Mroz, Beth; Cvetkovska, Marina; Ivanov, Alexander G.; Smith, David R.; Possmayer, Marc; Maxwell, Denis P.; Huner, Norman P. A.</t>
  </si>
  <si>
    <t>Cold-Adapted Protein Kinases and Thylakoid Remodeling Impact Energy Distribution in an Antarctic Psychrophile</t>
  </si>
  <si>
    <t>PLANT PHYSIOLOGY</t>
  </si>
  <si>
    <t>CHLOROPHYLL-A/B PROTEINS; RAUDENSIS UWO 241; CHLAMYDOMONAS-RAUDENSIS; STATE TRANSITIONS; PHOTOSYSTEM-I; GREEN-ALGA; EXCITATION-ENERGY; INDUCED PHOSPHORYLATION; ELECTRON-TRANSPORT; CATALYTIC DOMAIN</t>
  </si>
  <si>
    <t>The Antarctic psychrophile Chlamydomonas sp. UWO241 evolved in a permanently ice-covered lake whose aquatic environment is characterized not only by constant low temperature and high salt but also by low light during the austral summer coupled with 6 months of complete darkness during the austral winter. Since the UWO241 genome indicated the presence of Stt7 and Stl1 protein kinases, we examined protein phosphorylation and the state transition phenomenon in this psychrophile. Light-dependent [gamma-P-33] ATP labeling of thylakoid membranes from Chlamydomonas sp. UWO241 exhibited a distinct low temperature-dependent phosphorylation pattern compared to Chlamydomonas reinhardtii despite comparable levels of the Stt7 protein kinase. The sequence and structure of the UWO241 Stt7 kinase domain exhibits substantial alterations, which we suggest predisposes it to be more active at low temperature. Comparative purification of PSII and PSI combined with digitonin fractionation of thylakoid membranes indicated that UWO241 altered its thylakoid membrane architecture and reorganized the distribution of PSI and PSII units between granal and stromal lamellae. Although UWO241 grown at low salt and low temperature exhibited comparable thylakoid membrane appression to that of C. reinhardtii at its optimal growth condition, UWO241 grown under its natural condition of high salt resulted in swelling of the thylakoid lumen. This was associated with an upregulation of PSI cyclic electron flow by 50% compared to growth at low salt. Due to the unique 77K fluorescence emission spectra of intact UWO241 cells, deconvolution was necessary to detect enhancement in energy distribution between PSII and PSI, which was sensitive to the redox state of the plastoquinone pool and to the NaCl concentrations of the growth medium. We conclude that a reorganization of PSII and PSI in UWO241 results in a unique state transition phenomenon that is associated with altered protein phosphorylation and enhanced PSI cyclic electron flow. These data are discussed with respect to a possible PSII-PSI energy spillover mechanism that regulates photosystem energy partitioning and quenching.</t>
  </si>
  <si>
    <t>[Szyszka-Mroz, Beth; Cvetkovska, Marina; Ivanov, Alexander G.; Smith, David R.; Possmayer, Marc; Maxwell, Denis P.; Huner, Norman P. A.] Univ Western Ontario, Biol Dept, London, ON N6A 5B7, Canada; [Szyszka-Mroz, Beth; Cvetkovska, Marina; Ivanov, Alexander G.; Smith, David R.; Possmayer, Marc; Maxwell, Denis P.; Huner, Norman P. A.] Univ Western Ontario, Biotron Ctr Expt Climate Change Res, London, ON N6A 5B7, Canada; [Ivanov, Alexander G.] Bulgarian Acad Sci, Inst Biophys &amp; Biomed Engn, Acad G Bonchev Str B1 21, Sofia 1113, Bulgaria; [Cvetkovska, Marina] Univ Ottawa, Dept Biol, Ottawa, ON K1N 6N5, Canada</t>
  </si>
  <si>
    <t>Western University (University of Western Ontario); Western University (University of Western Ontario); Bulgarian Academy of Sciences; University of Ottawa</t>
  </si>
  <si>
    <t>Hüner, NPA (corresponding author), Univ Western Ontario, Biol Dept, London, ON N6A 5B7, Canada.;Hüner, NPA (corresponding author), Univ Western Ontario, Biotron Ctr Expt Climate Change Res, London, ON N6A 5B7, Canada.</t>
  </si>
  <si>
    <t>nhuner@uwo.ca</t>
  </si>
  <si>
    <t>Smith, David Roy/L-7910-2015; Smith, David Roy/AAR-1529-2020</t>
  </si>
  <si>
    <t>Smith, David Roy/0000-0001-9560-5210; Smith, David Roy/0000-0001-9560-5210; Cvetkovska, Marina/0000-0002-7080-8203; Huner, Norman/0000-0001-8723-6961</t>
  </si>
  <si>
    <t>Natural Sciences and Engineering Research Council of Canada (NSERC); Canada Foundation for Innovation; Canada Research Chairs Program</t>
  </si>
  <si>
    <t>Natural Sciences and Engineering Research Council of Canada (NSERC)(Natural Sciences and Engineering Research Council of Canada (NSERC)); Canada Foundation for Innovation(Canada Foundation for InnovationCGIARSpanish Government); Canada Research Chairs Program(Canada Research Chairs)</t>
  </si>
  <si>
    <t>This work was supported by the Natural Sciences and Engineering Research Council of Canada (NSERC), with a Discovery Grant to N.P.A.H., a Postgraduate Fellowship to B.S.-M., and a Postdoctoral Fellowship to M.C., as well as individual contributions to D.R.S. and D.P.M., and by the Canada Foundation for Innovation and the Canada Research Chairs Program.</t>
  </si>
  <si>
    <t>AMER SOC PLANT BIOLOGISTS</t>
  </si>
  <si>
    <t>ROCKVILLE</t>
  </si>
  <si>
    <t>15501 MONONA DRIVE, ROCKVILLE, MD 20855 USA</t>
  </si>
  <si>
    <t>0032-0889</t>
  </si>
  <si>
    <t>1532-2548</t>
  </si>
  <si>
    <t>PLANT PHYSIOL</t>
  </si>
  <si>
    <t>Plant Physiol.</t>
  </si>
  <si>
    <t>10.1104/pp.19.00411</t>
  </si>
  <si>
    <t>IF7OR</t>
  </si>
  <si>
    <t>WOS:000473274000009</t>
  </si>
  <si>
    <t>Navarrete, C; Gianni, G; Encinas, A; Marquez, M; Kamerbeek, Y; Valle, M; Folguera, A</t>
  </si>
  <si>
    <t>Navarrete, C.; Gianni, G.; Encinas, A.; Marquez, M.; Kamerbeek, Y.; Valle, M.; Folguera, A.</t>
  </si>
  <si>
    <t>Triassic to Middle Jurassic geodynamic evolution of southwestern Gondwana: From a large flat-slab to mantle plume suction in a rollback subduction setting</t>
  </si>
  <si>
    <t>EARTH-SCIENCE REVIEWS</t>
  </si>
  <si>
    <t>Upper Triassic; Flat-slab subduction; Triassic-Jurassic magmatism; Mantle plume suction; Rollback; Southwestern Gondwana; Patagonia</t>
  </si>
  <si>
    <t>LARGE IGNEOUS PROVINCES; SOUTHERN SOUTH-AMERICA; CENTRAL PATAGONIAN BATHOLITH; DRONNING MAUD LAND; CHON AIKE PROVINCE; PB ZIRCON AGES; ANTARCTIC PENINSULA; BREAK-UP; WEST ANTARCTICA; VOLCANIC PROVINCE</t>
  </si>
  <si>
    <t>A novel geodynamic evolution model of the southwestern region of Gondwana from the late Triassic to the middle Jurassic period is proposed in this contribution, based on new data collected in the Patagonian region and an exhaustive bibliographic review. New geochemical data of La Leona Fm. (Deseado Massif) and a new zircon U/Pb age (207.6 + 4.1/-2.3 Ma), added to a compilation of previous geochronological and geochemical data, allow confirming the existence of an Upper Triassic magmatic arc in central Patagonia, with typical adakitic features. This volcanic arc developed about similar to 1000-1100 km away from the hypothetical paleo-trench (at its most distal portion) in and intraplate position. New geological mapping carried out in the surrounding areas of these arc-related products allowed recognizing an important and previously underestimated late Triassic contractional episode that affected the south-central Patagonian region, which can be correlated with multiple events of deformation in southwestern Gondwana as far as in the Cape and Sierra de la Ventana fold belts. After this contractional episode, the Jurassic Chon Aike Silicic Large Igneous Province (SLIP - Deseado Massif and North Patagonian Massif) outbursts from a crustal source linked to a mantle thermal anomaly, as new geochemical data and previous data indicate. New and previous structural, geochemical, and geochronological data allow us to propose the existence of a late Triassic-earliest early Jurassic flat-slab episode (similar to 227-190? Ma), here referred to as the South Gondwanian fiat-slab, comparable in size with the largest present and previously documented flat-slab configurations on Earth. This event would have been responsible for the inland arc migration, from a western position on the Antarctic Peninsula to central Patagonia (Central Patagonian Batholith), as well as the widespread contractional pulse registered in southwestern Gondwana. The existence of this late Triassic shallow subduction episode is reinforced by a combination of P-wave seismic tomographic data and a recent plate kinematic reconstruction that reveal an anomalous inland location for the subducted slab, presently at the base of the lower mantle. In Lower Jurassic times, a slab-detachment episode developed simultaneously with the impingement and south-westward displacement of the Karoo mantle plume, would have favored the destabilization of the flat-subduction configuration. A re-establishment of the subduction in southwestern Gondwana, associated with the Lower Jurassic magmatic arc retraction (Subcordilleran Patagonian Batholith), occurred under extensional conditions most likely associated with slab rollback and a southwestward asthenospheric return flow. This upper mantle flow may have exerted a suction effect on the Karoo mantle plume towards Patagonia, expanding its lifespan with a continuous southwestward rejuvenation of the synextensional SLIP Chon Aike's magmatism.</t>
  </si>
  <si>
    <t>[Navarrete, C.; Marquez, M.; Kamerbeek, Y.; Valle, M.] Univ Nacl Patagonia San Juan Bosco, Dept Geol, Comodoro Rivadavia, Argentina; [Gianni, G.; Folguera, A.] UBA, Inst Estudios Andinos Don Pablo Groeber IDEAN, Buenos Aires, DF, Argentina; [Gianni, G.; Valle, M.; Folguera, A.] Consejo Nacl Invest Cient &amp; Tecn, Buenos Aires, DF, Argentina; [Encinas, A.] Univ Concepcion, Dept Ciencias Tierra, Concepcion, Chile; [Marquez, M.] Serv Geol &amp; Minero Argentine SEGEMAR, Buenos Aires, DF, Argentina; [Kamerbeek, Y.] CAPSA Capex, Buenos Aires, DF, Argentina</t>
  </si>
  <si>
    <t>Universidad Nacional de la Patagonia San Juan Bosco; University of Buenos Aires; Consejo Nacional de Investigaciones Cientificas y Tecnicas (CONICET); Universidad de Concepcion</t>
  </si>
  <si>
    <t>Navarrete, C (corresponding author), Univ Nacl Patagonia San Juan Bosco, Dept Geol, Comodoro Rivadavia, Argentina.</t>
  </si>
  <si>
    <t>cesarnavarrete@live.com.ar</t>
  </si>
  <si>
    <t>Gianni, Guido Martin/0000-0001-9036-0621; Navarrete, Cesar/0000-0001-7106-3672; folguera, andres/0000-0001-8965-8543</t>
  </si>
  <si>
    <t>Universidad Nacional de la Patagonia San Juan Bosco</t>
  </si>
  <si>
    <t>On the other hand, the authors wish to acknowledge the support received by the Universidad Nacional de la Patagonia San Juan Bosco and the Instituto de Estudios Andinos don Pablo Groeber (IDEAN) of Universidad de Buenos Aires (UBA). This paper is dedicated to Isabella Navarrete Calvo.</t>
  </si>
  <si>
    <t>0012-8252</t>
  </si>
  <si>
    <t>1872-6828</t>
  </si>
  <si>
    <t>EARTH-SCI REV</t>
  </si>
  <si>
    <t>Earth-Sci. Rev.</t>
  </si>
  <si>
    <t>10.1016/j.earscirev.2019.05.002</t>
  </si>
  <si>
    <t>IE9IB</t>
  </si>
  <si>
    <t>WOS:000472687000007</t>
  </si>
  <si>
    <t>Mulder, JA; Halpin, JA; Daczko, NR; Orth, K; Meffre, S; Thompson, JM; Morrissey, LJ</t>
  </si>
  <si>
    <t>Mulder, Jacob A.; Halpin, Jacqueline A.; Daczko, Nathan R.; Orth, Karin; Meffre, Sebastien; Thompson, Jay M.; Morrissey, Laura J.</t>
  </si>
  <si>
    <t>A Multiproxy provenance approach to uncovering the assembly of East Gondwana in Antarctica</t>
  </si>
  <si>
    <t>GEOLOGY</t>
  </si>
  <si>
    <t>U-PB ZIRCON; GAMBURTSEV SUBGLACIAL MOUNTAINS; PRINCE CHARLES MOUNTAINS; DETRITAL ZIRCONS; PRYDZ BAY; WESTERN-AUSTRALIA; MARINE-SEDIMENTS; WILKES LAND; AGES; PALEOMAGNETISM</t>
  </si>
  <si>
    <t>East Gondwana is generally thought to have assembled through the amalgamation of Indo-Antarctica and Australo-Antarctica along the Ediacaran-Cambrian Kuunga orogen. The location of a boundary between Indo-Antarctica and Australo-Antarctica within this key Gondwana-forming orogen remains controversial because extensive ice cover in East Antarctica precludes traditional characterization of terranes. Here, we integrated Pb-isotope analysis of detrital feldspar grains with U-Pb dating of detrital monazite and zircon grains from offshore sediments to infer the location of the onshore boundary between Indo-Antarctica and Australo-Antarctica. New and compiled data from onshore basement exposures highlight the different age and Pb-isotope signatures of Indo-Antarctica and Australo-Antarctica. Holocene sediments offshore from Mirny Station (Queen Mary Land, East Antarctica) have detrital feldspar Pb-isotope signatures and detrital monazite and zircon U-Pb ages that reflect contributions from both Indo-Antarctica and Australo-Antarctica. The presence of both Indo-Antarctic and Australo-Antarctic crust beneath ice cover near Mirny Station implies proximity to a fundamental terrane boundary within the Kuunga orogen, which could coincide with a geophysical lineament at similar to 94 degrees E (Mirny fault). The geophysical expression of this boundary extends into the subglacial interior of East Antarctica, where, prior to more recent rifting, it may have connected with one or more previously inferred Gondwana-forming sutures. The revised geometry of the Kuunga orogen suggests that the assembly of East Gondwana involved dominantly strike-slip motion in the Mirny region coupled with high-angle convergence between Indo-Antarctica and Australo-Antarctica to the west.</t>
  </si>
  <si>
    <t>[Mulder, Jacob A.] Monash Univ, Sch Earth Atmosphere &amp; Environm, Clayton, Vic 3168, Australia; [Halpin, Jacqueline A.] Univ Tasmania, Inst Marine &amp; Antarctic Studies, Hobart, Tas 7001, Australia; [Daczko, Nathan R.] Macquarie Univ, Australian Res Council, Ctr Excellence Core Crust Fluid Syst, Sydney, NSW 2109, Australia; [Daczko, Nathan R.] Macquarie Univ, Key Ctr Geochem Evolut &amp; Metallogeny Continents G, Dept Earth &amp; Planetary Sci, Sydney, NSW 2109, Australia; [Orth, Karin; Meffre, Sebastien; Thompson, Jay M.] Univ Tasmania, ARC, Sch Nat Sci, Ctr Excellence Ore Deposits CODES, Hobart, Tas 7001, Australia; [Morrissey, Laura J.] Univ South Australia, Sch Nat &amp; Built Environm, Adelaide, SA 5005, Australia</t>
  </si>
  <si>
    <t>Monash University; University of Tasmania; Macquarie University; Macquarie University; University of Tasmania; University of South Australia</t>
  </si>
  <si>
    <t>Mulder, JA (corresponding author), Monash Univ, Sch Earth Atmosphere &amp; Environm, Clayton, Vic 3168, Australia.</t>
  </si>
  <si>
    <t>Thompson, Jay M/A-8278-2015; Meffre, Sebastien/J-8700-2014</t>
  </si>
  <si>
    <t>Morrissey, Laura/0000-0001-7506-6117; Mulder, Jacob/0000-0001-6197-0439; Meffre, Sebastien/0000-0003-2741-6076; Daczko, Nathan/0000-0002-3737-3818</t>
  </si>
  <si>
    <t>Australian Research Council (ARC) [SR140300001]; Australian Antarctic Science Grant [4355]; ARC [FL160100168]; International Geoscience Programme Project [648]</t>
  </si>
  <si>
    <t>Australian Research Council (ARC)(Australian Research Council); Australian Antarctic Science Grant; ARC(Australian Research Council); International Geoscience Programme Project</t>
  </si>
  <si>
    <t>This research used samples provided by (1) the Antarctic Marine Geology Research Facility, formerly of Florida State University, USA (KC-18, KC-22), (2) the Polar Rock Repository, Byrd Polar and Climate Research Center, The Ohio State University (Grab-19/PRR-41453), and (3) the late John Veevers (subsamples from Ocean Drilling Program core 188-1167A). We thank S. Craven (Macquarie University, Sydney, Australia) for feldspar mineral separations, J. Munnikhuis (Macquarie University) for help with contouring the Pb-isotope data, K. Goemann and S. Feig (Central Science Laboratory, University of Tasmania, Australia) for assistance with sample imaging, and Geoscience Australia for providing the NB Palmer 0101 bathymetry in geographic information system format. This research was supported by the Australian Research Council (ARC) Special Research Initiative for Antarctic Gateway Partnership (Project ID SR140300001), an Australian Antarctic Science Grant (project 4355), and ARC grant FL160100168. We thank Michael Flowerdew, Steven Boger, and Fausto Ferraccioli for insightful and constructive reviews, and Dennis Brown for editorial handling. This is a contribution to the International Geoscience Programme Project 648.</t>
  </si>
  <si>
    <t>0091-7613</t>
  </si>
  <si>
    <t>1943-2682</t>
  </si>
  <si>
    <t>10.1130/G45952.1</t>
  </si>
  <si>
    <t>IE9QT</t>
  </si>
  <si>
    <t>WOS:000472711900016</t>
  </si>
  <si>
    <t>Semmens, JM; Kock, AA; Watanabe, YY; Shepard, CM; Berkenpas, E; Stehfest, KM; Barnett, A; Payne, NL</t>
  </si>
  <si>
    <t>Semmens, Jayson M.; Kock, Alison A.; Watanabe, Yuuki Y.; Shepard, Charles M.; Berkenpas, Eric; Stehfest, Kilian M.; Barnett, Adam; Payne, Nicholas L.</t>
  </si>
  <si>
    <t>Preparing to launch: biologging reveals the dynamics of white shark breaching behaviour</t>
  </si>
  <si>
    <t>MARINE BIOLOGY</t>
  </si>
  <si>
    <t>ANIMAL-BORNE VIDEO; CARCHARODON-CARCHARIAS; SPEED; BIOENERGETICS; FREQUENCY; PATTERNS; SEA</t>
  </si>
  <si>
    <t>In comparison to other behaviours, large predators expend relatively large amounts of energy foraging for prey, based on expected high return. Documenting how they manage costs and benefits of feeding is difficult, particularly for marine predators. In July and August of 2004 and 2005, we combined animal-borne video, accelerometry and depth sensors to examine the underwater behaviour during white shark (Carcharodon carcharias) breaching at Seal Island, South Africa (34.1373 degrees S, 18.5825 degrees E)where sharks launch from the water while attacking Cape fur seals (Arctocephalus pusillus pusillus). We show that breaching begins at depths up to 20m, is characterised by a brief (7 to 16s) ascent to the surface during which pitch angle increases by30 degrees and both tail-beat frequency and swim speed (determined using biomechanical principles) increase by a maximum of 6.5-fold (0.39-2.50Hz and 1.0-6.5ms(-1), respectively). Sharks also demonstrated the ability to rapidly adjust their approach to the seal during ascent. Dominant tail-beat frequency during breaching was 2.1-4.2 times higher (0.83-1.67Hz) than during non-predatory ascents (0.4Hz), suggestive of the large increase in power required to breach. Examination of foraging behaviour through biologger deployments may play an increasingly important role in predicting the resource requirements of large predators and developing appropriate conservation measures, as their populations are generally under threat world-wide.</t>
  </si>
  <si>
    <t>[Semmens, Jayson M.; Stehfest, Kilian M.] Univ Tasmania, Inst Marine &amp; Antarctic Studies, Fisheries &amp; Aquaculture Ctr, Taroona, Tas 7053, Australia; [Kock, Alison A.] South African Natl Pk, Cape Res Ctr, Cape Town, South Africa; [Kock, Alison A.] South African Inst Aquat Biodivers, ZA-6140 Grahamstown, South Africa; [Kock, Alison A.] Univ Cape Town, Inst Communities &amp; Wildlife Africa, Dept Biol Sci, ZA-7701 Rondebosch, South Africa; [Watanabe, Yuuki Y.] Natl Inst Polar Res, Tachikawa, Tokyo 1908518, Japan; [Watanabe, Yuuki Y.] SOKENDAI Grad Sch Adv Studies, Dept Polar Sci, Tachikawa, Tokyo 1908518, Japan; [Shepard, Charles M.; Berkenpas, Eric] Natl Geog Soc, Washington, DC 20036 USA; [Barnett, Adam] James Cook Univ, Coll Marine &amp; Environm Sci, Townsville, Qld 4811, Australia; [Barnett, Adam] Deakin Univ, Sch Life &amp; Environm Sci, Burwood, Vic 3125, Australia; [Payne, Nicholas L.] Univ Roehampton, Holybourne Ave, London SW15 4JD, England; [Payne, Nicholas L.] Trinity Coll Dublin, Sch Nat Sci, Dublin 2, Ireland</t>
  </si>
  <si>
    <t>University of Tasmania; National Research Foundation - South Africa; South African Institute for Aquatic Biodiversity; University of Cape Town; Research Organization of Information &amp; Systems (ROIS); National Institute of Polar Research (NIPR) - Japan; National Geographic Society; James Cook University; Deakin University; Roehampton University; Trinity College Dublin</t>
  </si>
  <si>
    <t>Semmens, JM (corresponding author), Univ Tasmania, Inst Marine &amp; Antarctic Studies, Fisheries &amp; Aquaculture Ctr, Taroona, Tas 7053, Australia.</t>
  </si>
  <si>
    <t>jayson.semmens@utas.edu.au</t>
  </si>
  <si>
    <t>Payne, Nicholas/0000-0002-5274-471X; Semmens, Jayson/0000-0003-1742-6692; , Adam/0000-0001-7430-8428</t>
  </si>
  <si>
    <t>South African National Research Foundation Bursary; SEAChange Programme funding; Save Our Seas Foundation; Japan Society for Promotion of Science [S13196, L15560]; National Institute of Polar Research (Japan) Visiting Professorship</t>
  </si>
  <si>
    <t>South African National Research Foundation Bursary; SEAChange Programme funding; Save Our Seas Foundation; Japan Society for Promotion of Science(Ministry of Education, Culture, Sports, Science and Technology, Japan (MEXT)Japan Society for the Promotion of Science); National Institute of Polar Research (Japan) Visiting Professorship</t>
  </si>
  <si>
    <t>We thank G. Wilhelm (National Geographic) for clamp design, G. Marshall, K. Abernathy, P. Greene and M. Thorpe (National Geographic) for logistical support, L. Best for logging the footage and the South African Navy (Simonstown) for providing free harbour facilities for the research vessel. The following people are thanked for their help during fieldwork: K. Laroche, M. Hardenberg, A. de Vos, A. Casagrande, T. Lodge and numerous volunteers. We also thank Pete Klimley and an anonymous reviewer for improving this manuscript. This work was supported by a South African National Research Foundation Bursary (to A. A. K.); SEAChange Programme funding (to A. A. K.); Save Our Seas Foundation funding (to A. A. K.); Japan Society for Promotion of Science Invitational Fellowships for Research in Japan (S13196 &amp; L15560 to J.M.S.) and a National Institute of Polar Research (Japan) Visiting Professorship (to J.M.S.).</t>
  </si>
  <si>
    <t>0025-3162</t>
  </si>
  <si>
    <t>1432-1793</t>
  </si>
  <si>
    <t>MAR BIOL</t>
  </si>
  <si>
    <t>Mar. Biol.</t>
  </si>
  <si>
    <t>10.1007/s00227-019-3542-0</t>
  </si>
  <si>
    <t>IE7TZ</t>
  </si>
  <si>
    <t>WOS:000472578800001</t>
  </si>
  <si>
    <t>Benavent-González, A; Raggio, J; Villagra, J; Blanquer, JM; Pintado, A; Rozzi, R; Green, TGA; Sancho, LG</t>
  </si>
  <si>
    <t>Benavent-Gonzalez, Alberto; Raggio, Jose; Villagra, Johana; Manuel Blanquer, Jose; Pintado, Ana; Rozzi, Ricardo; Allan Green, T. G.; Sancho, Leopoldo G.</t>
  </si>
  <si>
    <t>High nitrogen contribution by Gunnera magellanica and nitrogen transfer by mycorrhizas drive an extraordinarily fast primary succession in sub-Antarctic Chile</t>
  </si>
  <si>
    <t>NEW PHYTOLOGIST</t>
  </si>
  <si>
    <t>cyanobacteria; Gunnera magellanica; mycorrhizas; nitrogen fixation; nitrogen isotope discrimination; photosynthesis; primary succession; Tierra del Fuego</t>
  </si>
  <si>
    <t>SANTA INES ISLAND; GLACIER BAY; NUTRIENT LIMITATION; ACETYLENE-REDUCTION; SOIL DEVELOPMENT; N-2 FIXATION; PHOTOSYNTHETIC CHARACTERISTICS; PHOSPHORUS LIMITATION; ECOSYSTEM DEVELOPMENT; DINITROGEN FIXATION</t>
  </si>
  <si>
    <t>Chronosequences at the forefront of retreating glaciers provide information about colonization rates of bare surfaces. In the northern hemisphere, forest development can take centuries, with rates often limited by low nutrient availability. By contrast, in front of the retreating Pia Glacier (Tierra del Fuego, Chile), a Nothofagus forest is in place after only 34 yr of development, while total soil nitrogen (N) increased from near zero to 1.5%, suggesting a strong input of this nutrient. We measured N-fixation rates, carbon fluxes, leaf N and phosphorus contents and leaf delta N-15 in the dominant plants, including the herb Gunnera magellanica, which is endosymbiotically associated with a cyanobacterium, in order to investigate the role of N-fixing and mycorrhizal symbionts in N-budgets during successional transition. G. magellanica presented some of the highest nitrogenase activities yet reported (potential maximal contribution of 300 kg N ha(-1) yr(-1)). Foliar delta N-15 results support the framework of a highly efficient N-uptake and transfer system based on mycorrhizas, with c. 80% of N taken up by the mycorrhizas potentially transferred to the host plant. Our results suggest the symbiosis of G. magellanica with cyanobacteria, and trees and shrubs with mycorrhizas, to be the key processes driving this rapid succession.</t>
  </si>
  <si>
    <t>[Benavent-Gonzalez, Alberto; Raggio, Jose; Villagra, Johana; Manuel Blanquer, Jose; Pintado, Ana; Allan Green, T. G.; Sancho, Leopoldo G.] Univ Complutense Madrid, Fac Farm, Dept Biol Vegetal 2, E-28040 Madrid, Spain; [Rozzi, Ricardo] Univ Magallanes, Sede Puerto Williams, Parque Etnobot Omora, Teniente Munoz 396, Punta Arenas, Chile; [Rozzi, Ricardo] Inst Ecol &amp; Biodiversidad IEB Chile, Teniente Munoz 396, Puerto Williams, Chile; [Rozzi, Ricardo] Univ North Texas, Dept Philosophy &amp; Relig Studies, Denton, TX 76201 USA; [Allan Green, T. G.] Univ Waikato, Biol Sci, Hamilton 3240, New Zealand</t>
  </si>
  <si>
    <t>Complutense University of Madrid; Universidad de Magallanes; University of North Texas System; University of North Texas Denton; University of Waikato</t>
  </si>
  <si>
    <t>Benavent-González, A (corresponding author), Univ Complutense Madrid, Fac Farm, Dept Biol Vegetal 2, E-28040 Madrid, Spain.</t>
  </si>
  <si>
    <t>alberban@ucm.es</t>
  </si>
  <si>
    <t>Rozzi, Ricardo/G-1047-2012; Pintado, Ana/G-9881-2015; SANCHO, LEOPOLDO/G-9120-2015; Raggio, Jose/H-4167-2015</t>
  </si>
  <si>
    <t>Rozzi, Ricardo/0000-0001-5265-8726; SANCHO, LEOPOLDO/0000-0002-4751-7475; Raggio, Jose/0000-0002-5344-1112</t>
  </si>
  <si>
    <t>Spanish Ministerio de Economia y Competitividad [CTM2015-64728-C2-1-R, CTM2012-38222-CO2-01, BES-2013-062945]</t>
  </si>
  <si>
    <t>Spanish Ministerio de Economia y Competitividad(Spanish Government)</t>
  </si>
  <si>
    <t>We thank Captain Ezio Firmani and the crew of the vessel Oveja Negra for their skillful navigation of the highly demanding southern channels and for their kind hospitality on board, as well as for their logistic support during field sampling. We thank the Departamento de Edafologia (Facultad de Farmacia, Universidad Complutense de Madrid) for their help with soil analysis. This research was supported by grants from the Spanish Ministerio de Economia y Competitividad (CTM2015-64728-C2-1-R and CTM2012-38222-CO2-01). ABG was supported by an FPI (BES-2013-062945) grant from Spanish Ministerio de Economia y Competitividad.</t>
  </si>
  <si>
    <t>0028-646X</t>
  </si>
  <si>
    <t>1469-8137</t>
  </si>
  <si>
    <t>NEW PHYTOL</t>
  </si>
  <si>
    <t>New Phytol.</t>
  </si>
  <si>
    <t>10.1111/nph.15838</t>
  </si>
  <si>
    <t>IE9EW</t>
  </si>
  <si>
    <t>WOS:000472678700019</t>
  </si>
  <si>
    <t>Kennedy, F; Martin, A; Bowman, JP; Wilson, R; McMinn, A</t>
  </si>
  <si>
    <t>Kennedy, Fraser; Martin, Andrew; Bowman, John P.; Wilson, Richard; McMinn, Andrew</t>
  </si>
  <si>
    <t>Dark metabolism: a molecular insight into how the Antarctic sea-ice diatom Fragilariopsis cylindrus survives long-term darkness</t>
  </si>
  <si>
    <t>Antarctic; dark survival; Fragilariopsis cylindrus; metabolism; proteomics; sea-ice algae</t>
  </si>
  <si>
    <t>DIADINOXANTHIN DE-EPOXIDASE; PROLONGED DARKNESS; BINDING-PROTEIN; LIGHT; TEMPERATURE; CYCLE; CHLOROPLAST; ACCLIMATION; EVOLUTION; REVEALS</t>
  </si>
  <si>
    <t>Light underneath Antarctic sea-ice is below detectable limits for up to 4 months of the year. The ability of Antarctic sea-ice diatoms to survive this prolonged darkness relies on their metabolic capability. This study is the first to examine the proteome of a prominent sea-ice diatom in response to extended darkness, focusing on the protein-level mechanisms of dark survival. The Antarctic diatom Fragilariopsis cylindrus was grown under continuous light or darkness for 120 d. The whole cell proteome was quantitatively analysed by nano-LC-MS/MS to investigate metabolic changes that occur during sustained darkness and during recovery under illumination. Enzymes of metabolic pathways, particularly those involved in respiratory processes, tricarboxylic acid cycle, glycolysis, the Entner-Doudoroff pathway, the urea cycle and the mitochondrial electron transport chain became more abundant in the dark. Within the plastid, carbon fixation halted while the upper sections of the glycolysis, gluconeogenesis and pentose phosphate pathways became less active. We have discovered how F. cylindrus utilises an ancient alternative metabolic mechanism that enables its capacity for long-term dark survival. By sustaining essential metabolic processes in the dark, F. cylindrus retains the functionality of the photosynthetic apparatus, ensuring rapid recovery upon re-illumination.</t>
  </si>
  <si>
    <t>[Kennedy, Fraser; Martin, Andrew; McMinn, Andrew] Univ Tasmania, Inst Marine &amp; Antarct Studies, Hobart, Tas 7000, Australia; [Bowman, John P.] Tasmanian Inst Agr, Ctr Food Safety &amp; Innovat, Hobart, Tas 7000, Australia; [Wilson, Richard] Univ Tasmania, Cent Sci Lab, Hobart, Tas 7000, Australia</t>
  </si>
  <si>
    <t>University of Tasmania; University of Tasmania; University of Tasmania</t>
  </si>
  <si>
    <t>Kennedy, F (corresponding author), Univ Tasmania, Inst Marine &amp; Antarct Studies, Hobart, Tas 7000, Australia.</t>
  </si>
  <si>
    <t>f.c.kennedy@utas.edu.au</t>
  </si>
  <si>
    <t>Bowman, John P/C-2414-2014; Bowman, John P./ABF-5108-2020; McMinn, Andrew/A-9910-2008; Kennedy, Fraser/M-5145-2019; Wilson, Richard/H-8429-2012</t>
  </si>
  <si>
    <t>Bowman, John P/0000-0002-4528-9333; Bowman, John P./0000-0002-4528-9333; Kennedy, Fraser/0000-0003-1796-0764; McMinn, Andrew/0000-0002-2133-3854; Wilson, Richard/0000-0003-0152-4394</t>
  </si>
  <si>
    <t>Australian Research Council's Special Research Initiative for Antarctic Gateway Partnership [SR140300001]; Australian Government Research Training Programme</t>
  </si>
  <si>
    <t>Australian Research Council's Special Research Initiative for Antarctic Gateway Partnership(Australian Research Council); Australian Government Research Training Programme(Australian Government)</t>
  </si>
  <si>
    <t>This research was supported under Australian Research Council's Special Research Initiative for Antarctic Gateway Partnership (Project ID SR140300001). FK was supported by a PhD Scholarship under the Australian Government Research Training Programme.</t>
  </si>
  <si>
    <t>10.1111/nph.15843</t>
  </si>
  <si>
    <t>WOS:000472678700020</t>
  </si>
  <si>
    <t>Ludescher, J; Yuan, NM; Bunde, A</t>
  </si>
  <si>
    <t>Ludescher, Josef; Yuan, Naiming; Bunde, Armin</t>
  </si>
  <si>
    <t>Detecting the statistical significance of the trends in the Antarctic sea ice extent: an indication for a turning point</t>
  </si>
  <si>
    <t>Antarctica; Sea ice extent; Natural variability</t>
  </si>
  <si>
    <t>LONG-RANGE CORRELATIONS; OZONE HOLE; MULTIFRACTALITY; VARIABILITY; PERSISTENCE</t>
  </si>
  <si>
    <t>In the past decades, the Antarctic sea ice extent (SIE) has been steadily increasing, but recently showed a sharp decline. Here we address the questions whether (1) the observed changes in the Antarctic SIE can be fully explained by natural variability and (2) whether the recent unprecedented decline in the SIE can serve as an indication that the long-term positive trend has reached a turning point entailing further decline. To study these questions, we extended the analysis period of previous studies (until 2013) by considering data until May 2018 and applied a statistical model which accurately reflects the natural variability of the SIE. Contrary to earlier detection studies we find that none of the annual trends of the SIE in whole Antarctica and its five sectors are statistically significant. When studying the seasonal changes, we find that the only trends in the Antarctic SIE that cannot be explained by natural variability and are probably tied to the warming of the Antarctic Peninsula, are the negative trends of the SIE in austral autumn (p=0.043) and February (p=0.012) in the Bellinghausen and Amundsen Seas (BellAm). In contrast, when the recent decline is omitted from the analysis and only data until 2015 are included, the (annual and seasonal) increases of the SIE in whole Antarctica and the Ross Sea become significant, while the significance of the decreasing trends in BellAm is slightly decreased. We consider this as a first indication that the Antarctic SIE may have reached a turning point towards a further decrease.</t>
  </si>
  <si>
    <t>[Ludescher, Josef; Bunde, Armin] Justus Liebig Univ Giessen, Inst Theoret Phys, Heinrich Buff Ring 16, D-35392 Giessen, Germany; [Ludescher, Josef] Potsdam Inst Climate Impact Res, D-14473 Potsdam, Germany; [Yuan, Naiming] Chinese Acad Sci, Inst Atmospher Phys, CAS Key Lab Reg Climate Environm Temperate East A, Beijing 100029, Peoples R China</t>
  </si>
  <si>
    <t>Justus Liebig University Giessen; Potsdam Institut fur Klimafolgenforschung; Chinese Academy of Sciences; Institute of Atmospheric Physics, CAS</t>
  </si>
  <si>
    <t>Yuan, NM (corresponding author), Chinese Acad Sci, Inst Atmospher Phys, CAS Key Lab Reg Climate Environm Temperate East A, Beijing 100029, Peoples R China.</t>
  </si>
  <si>
    <t>yuannm@tea.ac.cn; arminbunde00@googlemail.com</t>
  </si>
  <si>
    <t>National Natural Science Foundation of China [41675088]; CAS Pioneer Hundred Talents Program</t>
  </si>
  <si>
    <t>National Natural Science Foundation of China(National Natural Science Foundation of China (NSFC)); CAS Pioneer Hundred Talents Program</t>
  </si>
  <si>
    <t>N.Y. gratefully acknowledges supports from the National Natural Science Foundation of China (no. 41675088) and from the CAS Pioneer Hundred Talents Program. We like to thank Minghu Ding and Yan Huang for helpful discussions.</t>
  </si>
  <si>
    <t>1-2</t>
  </si>
  <si>
    <t>10.1007/s00382-018-4579-3</t>
  </si>
  <si>
    <t>ID5NF</t>
  </si>
  <si>
    <t>WOS:000471722400014</t>
  </si>
  <si>
    <t>Cameron, C; Bodeker, GE; Conway, JP; Stuart, S; Renwick, J</t>
  </si>
  <si>
    <t>Cameron, Chris; Bodeker, Gregory E.; Conway, Jonathan P.; Stuart, Stephen; Renwick, James</t>
  </si>
  <si>
    <t>Simulating the Antarctic stratospheric vortex transport barrier: comparing the Unified Model to reanalysis</t>
  </si>
  <si>
    <t>Antarctic stratospheric circumpolar vortex; Meridional impermeability; Dynamical isolation; Unified Model; NCEP-CFSR reanalysis; Ozone hole; Global climate models; Climate change</t>
  </si>
  <si>
    <t>GRAVITY-WAVE PARAMETERIZATION; POLAR VORTEX; OZONE HOLE; OFFICE; CHEMISTRY; SYSTEM</t>
  </si>
  <si>
    <t>An assessment has been made of the ability of the UK Met Office Unified Model (UM) to simulate the Antarctic stratospheric circumpolar vortex and, in particular, the extent to which the vortex acts as a barrier to meridional transport. It is important that models simulate this barrier well as it determines spatial gradients in radiatively active gases, such as ozone, which then determine the spatial morphology of the radiative forcing field. The assessment was made by comparing metrics of meridional impermeability calculated from dynamical fields extracted from UM simulations and from analogous fields obtained from NCEP-CFSR reanalysis. Two different UM configurations were assessed: global atmosphere 3.0 (GA3.0) using the New Dynamics dynamical core, and GA7.0 using the newer ENDGame dynamical core, with both versions run at N96 resolution (1.25 degrees latitude by 1.875 degrees longitude). The GA7.0 configuration appears to better simulate the dynamical isolation of the Antarctic stratospheric vortex in the lower stratosphere up to about 600K, while GA3.0 provides a better simulation in the upper stratosphere. However, neither UM configuration simulates the same degree of dynamical isolation suggested by the reanalysis. In particular the UM configurations produce a wider and more poleward meridional band of high wind-speed and steep PV gradients when compared with the NCEP-CFSR reanalysis, leading to a stronger barrier in GA7.0 and a weaker barrier in GA3.0. Possible causes of discrepancies between model simulations and reanalysis and between the two model configurations are discussed. It is pointed out that further work is needed to identify ways of resolving these discrepancies in model simulations.</t>
  </si>
  <si>
    <t>[Cameron, Chris; Bodeker, Gregory E.; Conway, Jonathan P.] Bodeker Sci, 42 Russell St, Alexandra, New Zealand; [Stuart, Stephen] NIWA, Private Bag 14901, Wellington, New Zealand; [Cameron, Chris; Renwick, James] Victoria Univ Wellington, POB 600, Wellington, New Zealand</t>
  </si>
  <si>
    <t>National Institute of Water &amp; Atmospheric Research (NIWA) - New Zealand; Victoria University Wellington</t>
  </si>
  <si>
    <t>Cameron, C (corresponding author), Bodeker Sci, 42 Russell St, Alexandra, New Zealand.;Cameron, C (corresponding author), Victoria Univ Wellington, POB 600, Wellington, New Zealand.</t>
  </si>
  <si>
    <t>chris@bodekerscientific.com</t>
  </si>
  <si>
    <t>Stuart, Stephen/0000-0003-4411-9495; Cameron, Chris/0000-0002-6624-5452; Conway, Jonathan/0000-0001-9276-7425</t>
  </si>
  <si>
    <t>Marsden Fund of the Royal Society of New Zealand [BDS1401]</t>
  </si>
  <si>
    <t>Marsden Fund of the Royal Society of New Zealand(Royal Society of New ZealandMarsden Fund (NZ))</t>
  </si>
  <si>
    <t>We would like to acknowledge the support of the Marsden Fund (contract BDS1401) of the Royal Society of New Zealand in making this research possible. We also acknowledge the contribution of high-performance computing facilities from the New Zealand eScience Infrastructure (NeSI), Sam Dean, Jonny Williams and Olaf Morgenstern from NIWA, and Joao Teixeira from the UK Met Office. High-resolution SST and sea ice data were provided by the NOAA/OAR/ESRL PSD, Boulder, Colorado, USA.</t>
  </si>
  <si>
    <t>10.1007/s00382-018-4593-5</t>
  </si>
  <si>
    <t>WOS:000471722400026</t>
  </si>
  <si>
    <t>Allen, KJ; Anchukaitis, KJ; Grose, MG; Lee, G; Cook, ER; Risbey, JS; O'Kane, TJ; Monselesan, D; O'Grady, A; Larsen, S; Baker, PJ</t>
  </si>
  <si>
    <t>Allen, K. J.; Anchukaitis, K. J.; Grose, M. G.; Lee, G.; Cook, E. R.; Risbey, J. S.; O'Kane, T. J.; Monselesan, D.; O'Grady, A.; Larsen, S.; Baker, P. J.</t>
  </si>
  <si>
    <t>Tree-ring reconstructions of cool season temperature for far southeastern Australia, 1731-2007</t>
  </si>
  <si>
    <t>Cool season temperature reconstruction; Australia; Tree rings</t>
  </si>
  <si>
    <t>SPRING-TEMPERATURE; CLIMATE-CHANGE; WINTER CHILL; FRUIT-TREES; VARIABILITY; TRENDS; XYLOGENESIS; TASMANIA; EXTREMES; RAINFALL</t>
  </si>
  <si>
    <t>At the global scale, reconstructions of cool season temperature over past centuries are relatively rare. Here we present 277-year reconstructions of cool season (July-October) temperatures for southern Australia based on three different data sets: a spatial field reconstruction based on highly resolved temperature data from the Australian Water Availability Product data; reconstructions for the four southeast Australian states based on the Berkeley Earth mean temperature data for each state; and reconstructions for individual stations in southeastern Australia from the Australian Bureau of Meteorology's Australian Climate Observations Reference Network-Surface Air Temperature data. Our reconstructions typically capture 25-50% of the variation over the late twentieth Century calibration period and are strongest for the southern state of Tasmania and the southeastern part of mainland Australia. All three use Tasmanian tree-rings sensitive to cool season temperatures and display similar variability. In the context of our reconstructions, the persistent warming in the observed record since 1950 is unprecedented. While the low frequency variability of winter temperatures is generally in step with that in summer (December-February) temperatures, high frequency variability is not, illustrating the need for seasonal reconstructions to help improve understanding of variability in inter-seasonal dynamics and the historical importance of this on the environment. The reconstructions covary with changes in the Southern Annular Mode and may be useful for future reconstructions of this phenomenon.</t>
  </si>
  <si>
    <t>[Allen, K. J.; Baker, P. J.] Univ Melbourne, Sch Ecosyst &amp; Forest Sci, Richmond, Vic 3121, Australia; [Allen, K. J.] Univ New South Wales, Ctr Excellence Australian Biodivers &amp; Heritage, Sydney, NSW 2052, Australia; [Anchukaitis, K. J.] Univ Arizona, Sch Geog &amp; Dev, Tucson, AZ USA; [Grose, M. G.; Risbey, J. S.; O'Kane, T. J.; Monselesan, D.] CSIRO Oceans &amp; Atmosphere, Hobart, Tas 7000, Australia; [Lee, G.] Univ Tasmania, Antarctic Climate &amp; Ecosyst Res Ctr, Hobart, Tas 7000, Australia; [Cook, E. R.] Lamont Doherty Earth Observ, Tree Ring Lab, New York, NY 10964 USA; [O'Grady, A.] CSIRO Land &amp; Water, Hobart, Tas 7005, Australia; [Larsen, S.] Inst Marine Res, N-5817 Bergen, Norway</t>
  </si>
  <si>
    <t>University of Melbourne; University of New South Wales Sydney; University of Arizona; Commonwealth Scientific &amp; Industrial Research Organisation (CSIRO); University of Tasmania; Columbia University; Commonwealth Scientific &amp; Industrial Research Organisation (CSIRO); Institute of Marine Research - Norway</t>
  </si>
  <si>
    <t>Allen, KJ (corresponding author), Univ Melbourne, Sch Ecosyst &amp; Forest Sci, Richmond, Vic 3121, Australia.;Allen, KJ (corresponding author), Univ New South Wales, Ctr Excellence Australian Biodivers &amp; Heritage, Sydney, NSW 2052, Australia.</t>
  </si>
  <si>
    <t>Kathryn.Allen@unimelb.edu.au</t>
  </si>
  <si>
    <t>O'Kane, Terence J/B-1655-2009; CABAH, ARC/T-6419-2019; Risbey, James/M-8419-2013; O'Grady, Anthony P/B-8148-2011; O'Kane, Terence/AAV-1123-2021; Allen, Kathryn/AAH-8535-2019; Monselesan, Didier/A-2327-2012</t>
  </si>
  <si>
    <t>O'Kane, Terence J/0000-0002-2137-5915; Risbey, James/0000-0003-3202-9142; O'Kane, Terence/0000-0002-2137-5915; Allen, Kathryn/0000-0002-8403-4552; Larsen, Stuart/0000-0003-4669-0273; Baker, Patrick/0000-0002-6560-7124; Monselesan, Didier/0000-0002-0310-8995</t>
  </si>
  <si>
    <t>Australian Research Council [DP087844, LP1202811]</t>
  </si>
  <si>
    <t>We thank Mike Sumner for assistance with coding and Martin Visbeck for the SAM indices. Jonathan Palmer made constructive comments on an early draft of this manuscript. Tree-ring data used in this study are available from the International Tree-ring Databank (ITRDB), and reconstructions can be obtained from the corresponding author. KA was supported by Australian Research Council grants DP087844 and LP1202811. This is Lamont-Doherty contribution no. 8278. The Dobrovolny data were sourced from the NOAA website at http://www.ncdc.noaa.gov. We thank two anonymous reviewers for their suggestions that have helped improve this work.</t>
  </si>
  <si>
    <t>10.1007/s00382-018-04602-2</t>
  </si>
  <si>
    <t>WOS:000471722400034</t>
  </si>
  <si>
    <t>Ji, LQ; Fan, K</t>
  </si>
  <si>
    <t>Ji, Liuqing; Fan, Ke</t>
  </si>
  <si>
    <t>Climate prediction of dust weather frequency over northern China based on sea-ice cover and vegetation variability</t>
  </si>
  <si>
    <t>Dust weather; Dust climate; Antarctic oscillation; Sea-ice cover; Vegetation variability; North China; Climate prediction</t>
  </si>
  <si>
    <t>SOIL-MOISTURE; EAST-ASIA; STORMS; WINTER; MODEL; EMISSION; MONSOON; OSCILLATION; PERFORMANCE; REGIONS</t>
  </si>
  <si>
    <t>Seasonal climate predictions of spring (MarchAprilMay) dust weather frequency (DWF) over North China (DWFNC) are conducted based on a previous-summer (June-July-August) normalized difference vegetation index in North China (NDVINC), winter (December-January-February) sea-ice cover index over the Barents Sea (SICBS), and winter Antarctic Oscillation index (AAOI). The year-to-year increment approach is applied to improve the prediction skill. Two statistical prediction schemesstatistical models based on year-to-year-increment-form predictors (SM-DY) and anomaly-form predictors (SM-A)are applied based on NDVINC, SICBS, and AAOI. The results show that the prediction model using the year-to-year increment approach performs much better in predicting DWFNC, with the correlation coefficient between the average DWFNC and the cross-validated results of SM-DY (SM-A) being 0.80 (0.68) during 1983-2016. A hybrid dynamical-statistical prediction model (HM-DY) is constructed based on NDVINC, SICBS, and a spring 850-hPa geopotential height index, derived from the second version of the NCEP Climate Forecast System. Results show that HM-DY has comparable prediction skill with SM-DY. Both SM-DY and HM-DY are extended to hindcast DWF over the 245 stations in the whole of northern China, indicating comparably high skill. The results show that NDVINC and SICBS account for large variances of the dust climate over northern China. In particular, NDVINC and SICBS can enhance 64% of stations in North China in their prediction of dust climate.</t>
  </si>
  <si>
    <t>[Ji, Liuqing; Fan, Ke] Chinese Acad Sci, Inst Atmospher Phys, Nansen Zhu Int Res Ctr, Beijing 100029, Peoples R China; [Ji, Liuqing; Fan, Ke] Univ Chinese Acad Sci, Beijing 100049, Peoples R China; [Fan, Ke] Nanjing Univ Informat Sci &amp; Technol, Collaborat Innovat Ctr Forecast &amp; Evaluat Meteoro, Nanjing 210044, Jiangsu, Peoples R China</t>
  </si>
  <si>
    <t>Chinese Academy of Sciences; Institute of Atmospheric Physics, CAS; Chinese Academy of Sciences; University of Chinese Academy of Sciences, CAS; Nanjing University of Information Science &amp; Technology</t>
  </si>
  <si>
    <t>Fan, K (corresponding author), Chinese Acad Sci, Inst Atmospher Phys, Nansen Zhu Int Res Ctr, Beijing 100029, Peoples R China.;Fan, K (corresponding author), Univ Chinese Acad Sci, Beijing 100049, Peoples R China.;Fan, K (corresponding author), Nanjing Univ Informat Sci &amp; Technol, Collaborat Innovat Ctr Forecast &amp; Evaluat Meteoro, Nanjing 210044, Jiangsu, Peoples R China.</t>
  </si>
  <si>
    <t>fanke@mail.iap.ac.cn</t>
  </si>
  <si>
    <t>Fan, Ke/AAJ-2315-2020; Ji, Liuqing/JDW-8730-2023; Fan, K/GXH-3734-2022</t>
  </si>
  <si>
    <t>Ji, Liuqing/0000-0002-0435-256X</t>
  </si>
  <si>
    <t>National Natural Science Foundation of China [41730964, 41325018, 41575079]</t>
  </si>
  <si>
    <t>We thank the reviewers and Editor for constructive recommends. This research was supported by the National Natural Science Foundation of China (Grants 41730964, 41325018, 41575079).</t>
  </si>
  <si>
    <t>10.1007/s00382-018-04608-w</t>
  </si>
  <si>
    <t>WOS:000471722400041</t>
  </si>
  <si>
    <t>Tang, YM; Wu, P; Jiang, SJ; Selvaraj, JN; Yang, SH; Zhang, GM</t>
  </si>
  <si>
    <t>Tang, Yumeng; Wu, Pan; Jiang, Sijing; Selvaraj, Jonathan Nimal; Yang, Shihui; Zhang, Guimin</t>
  </si>
  <si>
    <t>A new cold-active and alkaline pectate lyase from Antarctic bacterium with high catalytic efficiency</t>
  </si>
  <si>
    <t>APPLIED MICROBIOLOGY AND BIOTECHNOLOGY</t>
  </si>
  <si>
    <t>Pectate lyase; Enzymatic assay; Cold-active; Specific activity; Mutation analysis</t>
  </si>
  <si>
    <t>CRYSTAL-STRUCTURE; PECTIC ENZYMES; PURIFICATION; ADAPTATION; SEQUENCE; PROTEASE; CLONING; GENE</t>
  </si>
  <si>
    <t>Cold-active enzymes have become attractive biocatalysts in biotechnological applications for their ability to retain high catalytic activity below 30 degrees C, which allows energy reduction and cost saving. Here, a 1041 bp gene pel1 encoding a 34.7 KDa pectate lyase was cloned from a facultatively psychrophilic Antarctic bacterium Massilia eurypsychrophila and heterologously expressed in Escherichia coli. PEL1 presented the highest 66% identity to the reported mesophilic pectate lyase PLXc. The purified PEL1 exhibits the optimum temperature and pH of 30 degrees C and 10 toward polygalacturonic acid, respectively. PEL1 is a cold-active enzyme that can retain 60% and 25% relative activity at 10 degrees C and 0 degrees C, respectively, while it loses most of activity at 40 degrees C for 10 min. PEL1 has the highest specific activity (78.75 U mg(-1)) than all other reported cold-active pectinase, making it a better choice for use in industry. Based on the detailed sequence and structure comparison between PEL1 and PLXc and mutation analysis, more flexible structure and some loop regions may contribute to the cold activity and thermal instability of PEL1. Our investigations of the cold-active mechanism of PEL1 might guide the rational design of PEL1 and other related enzymes.</t>
  </si>
  <si>
    <t>[Tang, Yumeng; Wu, Pan; Jiang, Sijing; Selvaraj, Jonathan Nimal; Yang, Shihui; Zhang, Guimin] Hubei Univ, Sch Life Sci, Hubei Collaborat Innovat Ctr Green Transformat Bi, State Key Lab Biocatalysis &amp; Enzyme Engn, Wuhan 430062, Hubei, Peoples R China</t>
  </si>
  <si>
    <t>Hubei University</t>
  </si>
  <si>
    <t>Zhang, GM (corresponding author), Hubei Univ, Sch Life Sci, Hubei Collaborat Innovat Ctr Green Transformat Bi, State Key Lab Biocatalysis &amp; Enzyme Engn, Wuhan 430062, Hubei, Peoples R China.</t>
  </si>
  <si>
    <t>zhangguimin@hubu.edu.cn</t>
  </si>
  <si>
    <t>Yang, Shihui/AAE-4100-2020</t>
  </si>
  <si>
    <t>Yang, Shihui/0000-0002-9394-9148; Zhang, Guimin/0000-0002-7824-0077</t>
  </si>
  <si>
    <t>Technical innovation special fund of Hubei Province [2017ACA171]; Hubei Provincial Natural Science Foundation [2018CFA042, 2018CFB319]; Wuhan Yellow Crane Talents (Science) Program</t>
  </si>
  <si>
    <t>Technical innovation special fund of Hubei Province; Hubei Provincial Natural Science Foundation; Wuhan Yellow Crane Talents (Science) Program</t>
  </si>
  <si>
    <t>This work was supported by Technical innovation special fund of Hubei Province (2017ACA171), Hubei Provincial Natural Science Foundation (2018CFA042, 2018CFB319), and 2016 Wuhan Yellow Crane Talents (Science) Program.</t>
  </si>
  <si>
    <t>0175-7598</t>
  </si>
  <si>
    <t>1432-0614</t>
  </si>
  <si>
    <t>APPL MICROBIOL BIOT</t>
  </si>
  <si>
    <t>Appl. Microbiol. Biotechnol.</t>
  </si>
  <si>
    <t>10.1007/s00253-019-09803-1</t>
  </si>
  <si>
    <t>ID5JT</t>
  </si>
  <si>
    <t>WOS:000471713400013</t>
  </si>
  <si>
    <t>Ding, LS; Guo, WB; Chen, XH</t>
  </si>
  <si>
    <t>Ding, Lianshuai; Guo, Wenbin; Chen, Xinhua</t>
  </si>
  <si>
    <t>Exogenous addition of alkanoic acids enhanced production of antifungal lipopeptides in Bacillus amyloliquefaciens Pc3</t>
  </si>
  <si>
    <t>Alkanoic acids; Lipopeptide; Bacillus amyloliquefaciens; Rhizoctonia solani ACCC 36316; Sclerotinia sclerotiorum; Antagonistic activity</t>
  </si>
  <si>
    <t>SUBTILIS; SURFACTIN; ITURIN; FENGYCIN; IDENTIFICATION; CULTURE; PROTEIN</t>
  </si>
  <si>
    <t>The bacterium, Bacillus amyloliquefaciens Pc3, was previously isolated from Antarctic seawater and has been found to show antagonistic activity against the fungus, Rhizoctonia solani ACCC 36316, which causes a severe disease known as Sclerotinia sclerotiorum in rapeseed plants. Bacillus lipopeptides had been widely used as biocontrol agents for plant diseases. In this study, we isolated 11 lipopeptide compounds from B. amyloliquefaciens Pc3 culture broth via reversed-phase high-performance liquid chromatography (RP-HPLC) and used matrix-assisted laser desorption ionization time-of-flight mass spectrometry (MALDI-TOF-MS) to identify these as iturin A (C-14, C-15, C-16, C-17), fengycin B (C-14, C-15, C-16, C-17), and surfactin (C-14, C-15, C-16). We further found that the addition of exogenous alkanoic acids, including myristic acid, pentadecanoic acid, palmitic acid, heptadecanoic acid, octadecanoic acid, and nonadecanoic acid, to the bacterial growth media could promote lipopeptide production and enhance the antifungal activities of crude lipopeptide extracts from B. amyloliquefaciens Pc3. In addition, the transcriptional levels of three lipopeptide synthesis genes, ituD, fenA, and srfA-A, and two fatty acid metabolism-related genes, FabI, which encodes enoyl-ACP reductase, and FadB, which encodes enoyl-CoA hydratase, were found to be upregulated in cells grown with exogenous alkanoic acids. Among the six alkanoic acids tested, those with odd carbon chain lengths had a greater effect on lipopeptide production, antifungal activity, and target gene upregulation than those with even carbon chain lengths. These results provide a practical approach for the efficient production of lipopeptides in Bacillus amyloliquefaciens Pc3.</t>
  </si>
  <si>
    <t>[Ding, Lianshuai; Guo, Wenbin; Chen, Xinhua] Minist Nat Resources, Key Lab Marine Biogenet Resources, Inst Oceanog 3, Xiamen 361005, Fujian, Peoples R China; [Ding, Lianshuai; Guo, Wenbin; Chen, Xinhua] Fujian Key Lab Marine Genet Resources, Xiamen 361005, Fujian, Peoples R China; [Chen, Xinhua] Fujian Agr &amp; Forestry Univ, Inst Oceanol, Key Lab Marine Biotechnol Fujian Prov, Fuzhou 350002, Fujian, Peoples R China</t>
  </si>
  <si>
    <t>Ministry of Natural Resources of the People's Republic of China; Third Institute of Oceanography, Ministry of Natural Resources; Fujian Agriculture &amp; Forestry University</t>
  </si>
  <si>
    <t>Guo, WB; Chen, XH (corresponding author), Minist Nat Resources, Key Lab Marine Biogenet Resources, Inst Oceanog 3, Xiamen 361005, Fujian, Peoples R China.;Guo, WB; Chen, XH (corresponding author), Fujian Key Lab Marine Genet Resources, Xiamen 361005, Fujian, Peoples R China.;Chen, XH (corresponding author), Fujian Agr &amp; Forestry Univ, Inst Oceanol, Key Lab Marine Biotechnol Fujian Prov, Fuzhou 350002, Fujian, Peoples R China.</t>
  </si>
  <si>
    <t>guo5721@tio.org.cn; chenxinhua@tio.org.cn</t>
  </si>
  <si>
    <t>Guo, Wenbin/0000-0001-7197-6260</t>
  </si>
  <si>
    <t>National Key Basic Research Program of China [2015CB755903]; China Ocean Mineral Resources R &amp; D Association (COMRA) program [DY135-B2-01, DY135-B2-16]; Yantai Marine Economic Innovation and Development Demonstration City Industrial Chain Collaborative Innovation Project [YHCX-SW-L-201703]; Natural Science Foundation of Fujian Province, China [2019J05019]; Xiamen Ocean Economic Innovation and Development Demonstration Project [16PZP001SF16]</t>
  </si>
  <si>
    <t>National Key Basic Research Program of China(National Basic Research Program of China); China Ocean Mineral Resources R &amp; D Association (COMRA) program; Yantai Marine Economic Innovation and Development Demonstration City Industrial Chain Collaborative Innovation Project; Natural Science Foundation of Fujian Province, China(Natural Science Foundation of Fujian Province); Xiamen Ocean Economic Innovation and Development Demonstration Project</t>
  </si>
  <si>
    <t>This work was supported by grants from the National Key Basic Research Program of China [grant number: 2015CB755903], the China Ocean Mineral Resources R &amp; D Association (COMRA) program [grant number: DY135-B2-01 and DY135-B2-16], the Yantai Marine Economic Innovation and Development Demonstration City Industrial Chain Collaborative Innovation Project (YHCX-SW-L-201703), the Natural Science Foundation of Fujian Province, China [grant number: 2019J05019], and the Xiamen Ocean Economic Innovation and Development Demonstration Project [grant number: 16PZP001SF16].</t>
  </si>
  <si>
    <t>10.1007/s00253-019-09792-1</t>
  </si>
  <si>
    <t>WOS:000471713400023</t>
  </si>
  <si>
    <t>Vause, BJ; Morley, SA; Fonseca, VG; Jazdzewska, A; Ashton, GV; Barnes, DKA; Giebner, H; Clark, MS; Peck, LS</t>
  </si>
  <si>
    <t>Vause, Belinda J.; Morley, Simon A.; Fonseca, Vera G.; Jazdzewska, Anna; Ashton, Gail V.; Barnes, David K. A.; Giebner, Hendrik; Clark, Melody S.; Peck, Lloyd S.</t>
  </si>
  <si>
    <t>Spatial and temporal dynamics of Antarctic shallow soft-bottom benthic communities: ecological drivers under climate change</t>
  </si>
  <si>
    <t>BMC ECOLOGY</t>
  </si>
  <si>
    <t>Disturbance ecology; Patchiness; Seasonality; Latitudinal comparisons; Sediment properties</t>
  </si>
  <si>
    <t>MARINE BIODIVERSITY; WATER SITE; MEIOFAUNA; ECOSYSTEM; SEA; ICE; DISCRIMINATION; DIVERSITY; PENINSULA; SEDIMENTS</t>
  </si>
  <si>
    <t>BackgroundMarine soft sediments are some of the most widespread habitats in the ocean, playing a vital role in global carbon cycling, but are amongst the least studied with regard to species composition and ecosystem functioning. This is particularly true of the Polar Regions, which are currently undergoing rapid climate change, the impacts of which are poorly understood. Compared to other latitudes, Polar sediment habitats also experience additional environmental drivers of strong seasonality and intense disturbance from iceberg scouring, which are major structural forces for hard substratum communities. This study compared sediment assemblages from two coves, near Rothera Point, Antarctic Peninsula, 67 degrees S in order to understand the principal drivers of community structure, for the first time, evaluating composition across all size classes from mega- to micro-fauna.ResultsMorpho-taxonomy identified 77 macrofaunal species with densities of 464-16,084 individuals m(-2). eDNA metabarcoding of microfauna, in summer only, identified a higher diversity, 189 metazoan amplicon sequence variants (ASVs) using the 18S ribosomal RNA and 249 metazoan ASVs using the mitochondrial COI gene. Both techniques recorded a greater taxonomic diversity in South Cove than Hangar Cove, with differences in communities between the coves, although the main taxonomic drivers varied between techniques. Morphotaxonomy identified the main differences between coves as the mollusc, Altenaeum charcoti, the cnidarian Edwardsia sp. and the polychaetes from the family cirratulidae. Metabarcoding identified greater numbers of species of nematodes, crustaceans and Platyhelminthes in South Cove, but more bivalve species in Hangar Cove. There were no detectable differences in community composition, measured through morphotaxonomy, between seasons, years or due to iceberg disturbance.ConclusionsThis study found that unlike hard substratum communities the diversity of Antarctic soft sediment communities is correlated with the same factors as other latitudes. Diversity was significantly correlated with grain size and organic content, not iceberg scour. The increase in glacial sediment input as glaciers melt, may therefore be more important than increased iceberg disturbance.</t>
  </si>
  <si>
    <t>[Vause, Belinda J.; Morley, Simon A.; Ashton, Gail V.; Barnes, David K. A.; Clark, Melody S.; Peck, Lloyd S.] British Antarctic Survey, Madingley Rd, Cambridge CB3 0ET, Cambs, England; [Fonseca, Vera G.; Giebner, Hendrik] Ctr Mol Biodivers Res, Zool Res Museum Alexander Koenig ZFMK, Adenauerallee 160, D-53113 Bonn, Germany; [Jazdzewska, Anna] Univ Lodz, Lab Polar Biol &amp; Oceanobiol, Dept Invertebrate Zool &amp; Hydrobiol, Fac Biol &amp; Environm Protect, 12-16 Banacha St, PL-90237 Lodz, Poland; [Ashton, Gail V.] Smithsonian Environm Res Ctr, Romberg Tiburon Ctr, Tiburon, CA USA</t>
  </si>
  <si>
    <t>UK Research &amp; Innovation (UKRI); Natural Environment Research Council (NERC); NERC British Antarctic Survey; Zoologisches Forschungsmuseum Alexander Koenig (ZFMK); University of Lodz; Smithsonian Institution; Smithsonian Environmental Research Center</t>
  </si>
  <si>
    <t>Morley, SA (corresponding author), British Antarctic Survey, Madingley Rd, Cambridge CB3 0ET, Cambs, England.</t>
  </si>
  <si>
    <t>smor@bas.ac.uk</t>
  </si>
  <si>
    <t>Clark, Melody S/D-7371-2014; Jazdzewska, Anna/AAK-4697-2020; Fonseca, Vera/F-5566-2010</t>
  </si>
  <si>
    <t>Jazdzewska, Anna/0000-0003-2529-0641; Ashton, Gail/0000-0001-5884-3383; Morley, Simon/0000-0002-7761-660X</t>
  </si>
  <si>
    <t>NERC; NERC [dml011000, bas0100036] Funding Source: UKRI</t>
  </si>
  <si>
    <t>This study was funded by NERC core funding to the Biodiversity, Evolution and Adaptations Team (British Antarctic Survey). Apart from the funding, NERC had no role in the design of the study, collection, analysis, and interpretation of data or in writing this manuscript.</t>
  </si>
  <si>
    <t>1472-6785</t>
  </si>
  <si>
    <t>BMC ECOL</t>
  </si>
  <si>
    <t>BMC Ecol.</t>
  </si>
  <si>
    <t>10.1186/s12898-019-0244-x</t>
  </si>
  <si>
    <t>IH2WB</t>
  </si>
  <si>
    <t>WOS:000474354200001</t>
  </si>
  <si>
    <t>Manninen, T; Jääskeläinen, E; Riihelä, A</t>
  </si>
  <si>
    <t>Manninen, Terhikki; Jaaskelainen, Emmihenna; Riihela, Aku</t>
  </si>
  <si>
    <t>Black and White-Sky Albedo Values of Snow: In Situ Relationships for AVHRR-Based Estimation Using CLARA-A2 SAL</t>
  </si>
  <si>
    <t>CANADIAN JOURNAL OF REMOTE SENSING</t>
  </si>
  <si>
    <t>SURFACE ALBEDO; SEA-ICE; RADIATION; MODEL</t>
  </si>
  <si>
    <t>The relationship of black-sky and white-sky albedo values of snow-covered terrain is studied using empirical measurements of six BSRN sites and the Finnish Meteorological Institute Sodankyla site, where albedo measurements are carried out both in an open area and above coniferous forest. In addition, a forest model was used to provide simulated albedo values to cover a wider leaf area index range. Linear regression formulas for estimating the monthly mean white-sky albedo value on the basis of the monthly statistics of the black-sky albedo were derived separately for open and forested areas. The statistical parameters used were the mean, median, standard deviation, skewness and kurtosis. In addition, the monthly mean solar zenith angle value was used as well. The mean absolute difference between the estimated monthly mean white-sky albedo and the empirical value was 0.027 for open areas and 0.015 for forested areas. The derived formulas were applied to the satellite black-sky albedo product CLARA-A2 SAL to generate white-sky albedo maps. Using the open snow area regression for the sea ice area produced values comparable to measured values both around the Antarctic and in the Arctic sea ice area.</t>
  </si>
  <si>
    <t>[Manninen, Terhikki; Jaaskelainen, Emmihenna; Riihela, Aku] Finnish Meteorol Inst, Meteorol Res, Helsinki, Finland</t>
  </si>
  <si>
    <t>Finnish Meteorological Institute</t>
  </si>
  <si>
    <t>Manninen, T (corresponding author), Finnish Meteorol Inst, Meteorol Res, Helsinki, Finland.</t>
  </si>
  <si>
    <t>Terhikki.Manninen@fmi.fi</t>
  </si>
  <si>
    <t>Jääskeläinen, Emmihenna/AAX-8861-2021; Riihela, Aku/D-2799-2013</t>
  </si>
  <si>
    <t>Jääskeläinen, Emmihenna/0000-0002-9834-3372; Riihela, Aku/0000-0001-6581-8792</t>
  </si>
  <si>
    <t>EUMETSAT</t>
  </si>
  <si>
    <t>The authors are grateful to EUMETSAT for financial support in the project Satellite Application Facility on Climate Monitoring (CM SAF).</t>
  </si>
  <si>
    <t>0703-8992</t>
  </si>
  <si>
    <t>1712-7971</t>
  </si>
  <si>
    <t>CAN J REMOTE SENS</t>
  </si>
  <si>
    <t>Can. J. Remote Sens.</t>
  </si>
  <si>
    <t>10.1080/07038992.2019.1632177</t>
  </si>
  <si>
    <t>Remote Sensing</t>
  </si>
  <si>
    <t>JD2HU</t>
  </si>
  <si>
    <t>WOS:000474241700001</t>
  </si>
  <si>
    <t>Chaya, A; Kurosawa, N; Kawamata, A; Kosugi, M; Imura, S</t>
  </si>
  <si>
    <t>Chaya, Aoi; Kurosawa, Norio; Kawamata, Akinori; Kosugi, Makiko; Imura, Satoshi</t>
  </si>
  <si>
    <t>Community Structures of Bacteria, Archaea, and Eukaryotic Microbes in the Freshwater Glacier Lake Yukidori-Ike in Langhovde, East Antarctica</t>
  </si>
  <si>
    <t>Antarctica; freshwater lake; Yukidori-Ike; bacteria; archaea; eukaryotic microorganism; SSU rRNA gene; clone library analysis</t>
  </si>
  <si>
    <t>HETEROTROPHIC PRODUCTION; PROKARYOTIC COMMUNITY; DIVERSITY; SEDIMENT; ISLAND; LAND</t>
  </si>
  <si>
    <t>Since most studies about community structures of microorganisms in Antarctic terrestrial lakes using molecular biological tools are mainly focused on bacteria, limited information is available about archaeal and eukaryotic microbial diversity. In this study, the biodiversity of microorganisms belonging to all three domains in a typical Antarctic freshwater glacier lake (Yukidori-Ike) was revealed using small subunit ribosomal RNA (SSU rRNA) clone library analysis. The bacterial clones were grouped into 102 operational taxonomic units (OTUs) and showed significant biodiversity. Betaproteobacteria were most frequently detected, followed by Cyanobacteria, Bacteroidetes, and Firmicutes as major lineages. In contrast to the bacterial diversity, much lower archaeal diversity, consisting of only two OTUs of methanogens, was observed. In the eukaryotic microbial community consisting of 20 OTUs, Tardigradal DNA was remarkably frequently detected. Genera affiliated with the phyla Ciliophora, Cryptomycota, Chlorophyta, Bacillariophyta, and Apusozoa were also detected. The biodiversity and species compositions of the whole microbial community of Lake Yukidori-Ike are similar to those of freshwater environments in temperate regions but are different from saline lakes in Antarctica, indicating that the salinity seems to affect the microbial composition more than the temperature.</t>
  </si>
  <si>
    <t>[Chaya, Aoi; Kurosawa, Norio] Soka Univ, Fac Sci &amp; Engn, Dept Sci &amp; Engn Sustainable Innovat, 1-236 Tangi Machi, Hachioji, Tokyo 1928577, Japan; [Kawamata, Akinori] Ehime Prefectural Sci Museum, 2133-2 Ojoin, Niihama, Ehime 7920060, Japan; [Kosugi, Makiko] Natl Inst Nat Sci, Astrobiol Ctr, 2-21-1 Mitaka, Tokyo 1818588, Japan; [Imura, Satoshi] Natl Inst Polar Res, 10-3 Midori Cho, Tachikawa, Tokyo 1908518, Japan; [Imura, Satoshi] SOKENDAI Grad Univ Adv Studies, 10-3 Midori Cho, Tachikawa, Tokyo 1908518, Japan</t>
  </si>
  <si>
    <t>Soka University; National Institutes of Natural Sciences (NINS) - Japan; Astrobiology Center (ABC); Research Organization of Information &amp; Systems (ROIS); National Institute of Polar Research (NIPR) - Japan; Graduate University for Advanced Studies - Japan</t>
  </si>
  <si>
    <t>Kurosawa, N (corresponding author), Soka Univ, Fac Sci &amp; Engn, Dept Sci &amp; Engn Sustainable Innovat, 1-236 Tangi Machi, Hachioji, Tokyo 1928577, Japan.</t>
  </si>
  <si>
    <t>kurosawa@soka.ac.jp</t>
  </si>
  <si>
    <t>Imura, Satoshi/0000-0002-6803-6996; Kurosawa, Norio/0000-0001-5095-2104</t>
  </si>
  <si>
    <t>National Institute of Polar Research (NIPR) under Ministry of Education, Culture, Sports, Science and Technology (MEXT)</t>
  </si>
  <si>
    <t>This study is a part of the Science Program of Japanese Antarctic Research Expedition (JARE). It was supported by National Institute of Polar Research (NIPR) under Ministry of Education, Culture, Sports, Science and Technology (MEXT).</t>
  </si>
  <si>
    <t>10.3390/d11070105</t>
  </si>
  <si>
    <t>IR6EO</t>
  </si>
  <si>
    <t>WOS:000481532700014</t>
  </si>
  <si>
    <t>Liu, K; Lin, HS; He, XB; Huang, YQ; Li, Z; Lin, JH; Mou, JF; Zhang, SY; Lin, LS; Wang, JJ; Sun, J</t>
  </si>
  <si>
    <t>Liu Kun; Lin Heshan; He Xuebao; Huang Yaqin; Li Zhong; Lin Junhui; Mou Jianfeng; Zhang Shuyi; Lin Longshan; Wang Jianjun; Sun Jun</t>
  </si>
  <si>
    <t>Functional trait composition and diversity patterns of marine macrobenthos across the Arctic Bering Sea</t>
  </si>
  <si>
    <t>Macrobenthos; Functional diversity; Biological trait analysis; Environmental gradients; Bering Sea</t>
  </si>
  <si>
    <t>BIOLOGICAL TRAITS; CHUKCHI SEAS; BENTHIC COMMUNITY; MACROFAUNAL PRODUCTION; SHELF; BIODIVERSITY; HABITATS; INVERTEBRATES; ECOSYSTEMS; TRANSECT</t>
  </si>
  <si>
    <t>The use of functional trait analysis has been advocated to uncover the global mechanisms behind biodiversity responses to environmental variation, but the application of this approach to the Arctic macrobenthic community is underdeveloped relative to that used for other organism groups. Based on several summer surveys (July to September 2010, 2012, 2014 and 2016) in the Bering Sea, we used biological trait analysis (BTA) to quantify the composition and diversity of macrobenthic biological traits along an environmental gradient ranging from the shallowest portion of the continental shelf to the shelf break and deep basin. Our results show a clear shift in the macrobenthic functional composition through the application of abundance-and biomass-based measurements in six different subregions of the Bering Sea. The macrobenthic community of the south-western shelf and shelf break of the Bering Sea, an area with silty-sand sediment, was mainly composed of taxa characterized by high body flexibility, vermiform, and tube-dweller/burrower modalities or large, semi-motile, deposit feeder and flattened dorsally modalities. However, the community of the north-eastern shelf of the Bering Sea with sandy sediment was mainly characterized by organisms characterized as motile surface crawlers and carnivores/scavengers. Similar to the factors that determine the taxonomic distribution and composition of the macrobenthos, sediment composition and depth were found to be the main factors that affect the distribution of the macrobenthic functional structure in the study area. The species and functional diversity of the macrobenthos show a strong linear relationship, potentially indicating that the community exhibits relatively low functional redundancy and that the benthic ecosystem is vulnerable to species loss or regime shifts.</t>
  </si>
  <si>
    <t>[Liu Kun] Tianjin Univ Sci &amp; Technol, Coll Biotechnol, Tianjin 300457, Peoples R China; [Liu Kun; Lin Heshan; He Xuebao; Huang Yaqin; Li Zhong; Lin Junhui; Mou Jianfeng; Zhang Shuyi; Lin Longshan; Wang Jianjun] Minist Nat Resources, Inst Oceanog 3, Lab Marine Biol &amp; Ecol, Xiamen 361005, Fujian, Peoples R China; [Lin Heshan; Huang Yaqin] Jimei Univ, Fisheries Coll, Xiamen 361021, Fujian, Peoples R China; [Sun Jun] Tianjin Univ Sci &amp; Technol, Res Ctr Indian Ocean Ecosyst, Tianjin 300457, Peoples R China; [Sun Jun] Tianjin Univ Sci &amp; Technol, Tianjin Key Lab Marine Resources &amp; Chem, Tianjin 300457, Peoples R China</t>
  </si>
  <si>
    <t>Tianjin University Science &amp; Technology; Ministry of Natural Resources of the People's Republic of China; Third Institute of Oceanography, Ministry of Natural Resources; Jimei University; Tianjin University Science &amp; Technology; Tianjin University Science &amp; Technology</t>
  </si>
  <si>
    <t>Wang, JJ; Sun, J (corresponding author), Tianjin Univ Sci &amp; Technol, Res Ctr Indian Ocean Ecosyst, Tianjin 300457, Peoples R China.</t>
  </si>
  <si>
    <t>wangjianjun220@tio.org.cn; phytoplankton@163.com</t>
  </si>
  <si>
    <t>He, Xue-Bao/E-6716-2011; zhang, jinlu/KEE-9374-2024; Huang, YQ/JOK-7580-2023; Sun, Jun/A-5254-2009</t>
  </si>
  <si>
    <t>Sun, Jun/0000-0001-7369-7871</t>
  </si>
  <si>
    <t>Scientific Research Foundation of Third Institute of Oceanography, SOA [2018023]; National Natural Science Foundation of China [41306116, 41306115, 41876176, 41876134]; Polar Science Strategic Research Foundation of China [20140309]; Chinese Polar Environment Comprehensive Investigation &amp; Assessment Program [CHINARE2012-2016-03-05, CHINARE2012-2016-04-03]; Tianjin 131 Innovation Team Program [20180314]; Changjiang Scholar Program of Chinese Ministry of Education</t>
  </si>
  <si>
    <t>Scientific Research Foundation of Third Institute of Oceanography, SOA; National Natural Science Foundation of China(National Natural Science Foundation of China (NSFC)); Polar Science Strategic Research Foundation of China; Chinese Polar Environment Comprehensive Investigation &amp; Assessment Program; Tianjin 131 Innovation Team Program; Changjiang Scholar Program of Chinese Ministry of Education</t>
  </si>
  <si>
    <t>We extend thanks to Liu Yanguang, Jiang Jinxiang, Li Rongguan, Zheng Fengwu, and Zheng Chengxing for their help and suggestions, and to the anonymous reviewers for their constructive suggestions regarding the paper. We also thank the Resource-sharing Platform of Polar Samples (http://birds.chinare.org.cn) maintained by the Polar Research Institute of China and the Chinese National Arctic and Antarctic Data Center. This work was supported by the Scientific Research Foundation of Third Institute of Oceanography, SOA [Grant No. 2018023], the National Natural Science Foundation of China [Grant Nos. 41306116, 41306115, 41876176 and 41876134], the Polar Science Strategic Research Foundation of China [Grant No. 20140309] and the Chinese Polar Environment Comprehensive Investigation &amp; Assessment Program [Grant CHINARE2012-2016-03-05, CHINARE2012-2016-04-03], partly supported by the Tianjin 131 Innovation Team Program (20180314) and the Changjiang Scholar Program of Chinese Ministry of Education to Jun Sun.</t>
  </si>
  <si>
    <t>10.1016/j.ecolind.2019.03.029</t>
  </si>
  <si>
    <t>IC4VG</t>
  </si>
  <si>
    <t>WOS:000470964500067</t>
  </si>
  <si>
    <t>Almar, R; Kestenare, E; Boucharel, J</t>
  </si>
  <si>
    <t>Almar, Rafael; Kestenare, Elodie; Boucharel, Julien</t>
  </si>
  <si>
    <t>On the key influence of remote climate variability from Tropical Cyclones, North and South Atlantic mid-latitude storms on the Senegalese coast (West Africa)</t>
  </si>
  <si>
    <t>ENVIRONMENTAL RESEARCH COMMUNICATIONS</t>
  </si>
  <si>
    <t>sea level; coastal vulnerability; longshore sediment transport; North Atlantic oscillation; Southern Annular mode; Tropical Cyclone; waves</t>
  </si>
  <si>
    <t>MEAN WAVE HEIGHT; SEA-LEVEL; DUNE EROSION; WATER LEVELS; BENIN GULF; TRENDS; WINTER; BEACH; INUNDATION; TRANSPORT</t>
  </si>
  <si>
    <t>The low-lying Senegalese sandy coast is extremely vulnerable to marine flooding and erosion. Using climate and wave reanalysis, we establish the remote connections between Atlantic climate modes and coastal wave variability in Senegal. We show that impacting swells come from the North Atlantic in boreal winter but also from the South and Tropical Atlantic in boreal summer. Near shore-normal tropical cyclones swells have a large impact on the sea level contribution at the coast but a limited influence on the longshore sediment transport. In contrast, boreal summer south swells have a large destabilizing coastal impact due to a reversal of the climatological southward sediment drift. They also induce large sea level anomalies on the southern Senegalese coast, the most exposed to flooding. This study emphasizes the importance of quantifying the influence of both the regional and remote climate variability on wave activity to better understand the drivers of coastal evolution and vulnerability.</t>
  </si>
  <si>
    <t>[Almar, Rafael; Kestenare, Elodie; Boucharel, Julien] LEGOS, Toulouse, France</t>
  </si>
  <si>
    <t>Universite de Toulouse; Universite Toulouse III - Paul Sabatier; Centre National de la Recherche Scientifique (CNRS); Institut de Recherche pour le Developpement (IRD); Laboratoire d'Etudes en Geophysique et oceanographie spatiales</t>
  </si>
  <si>
    <t>Almar, R (corresponding author), LEGOS, Toulouse, France.</t>
  </si>
  <si>
    <t>rafael.almar@ird.fr</t>
  </si>
  <si>
    <t>Almar, Rafael/G-7470-2018</t>
  </si>
  <si>
    <t>Almar, Rafael/0000-0001-5842-658X; KESTENARE, Elodie/0000-0002-6665-2146; Boucharel, Julien/0000-0003-4598-3349</t>
  </si>
  <si>
    <t>French Agence Nationale de la Recherche [ANR COASTVAR: ANR-14-ASTR-0019, ANR-17-MPGA-0018]; Agence Nationale de la Recherche (ANR) [ANR-17-MPGA-0018] Funding Source: Agence Nationale de la Recherche (ANR)</t>
  </si>
  <si>
    <t>French Agence Nationale de la Recherche(Agence Nationale de la Recherche (ANR)); Agence Nationale de la Recherche (ANR)(Agence Nationale de la Recherche (ANR))</t>
  </si>
  <si>
    <t>This research was funded by the French Agence Nationale de la Recherche (ANR COASTVAR: ANR-14-ASTR-0019) and project MOPGA'Trocodyn' (ANR-17-MPGA-0018). Julien Boucharel wants to acknowledge the French Region Occitanie. The SSALTO/DUACS altimeter products are produced and distributed by the Copernicus Marine Environment Monitoring Service (http://marine.copernicus.eu). NAO index is distributed by the United States National Oceanic and Atmospheric Administration (www.esrl.noaa.gov), SAM index by the British Antarctic Survey (www.nerc-bas.ac.uk/icd/gjma/sam.html), and Tropical Cyclones by NOAA's Tropical Prediction Center (www.nhc.noaa.gov/?atl).</t>
  </si>
  <si>
    <t>2515-7620</t>
  </si>
  <si>
    <t>ENVIRON RES COMMUN</t>
  </si>
  <si>
    <t>Environ. Res. Commun.</t>
  </si>
  <si>
    <t>10.1088/2515-7620/ab2ec6</t>
  </si>
  <si>
    <t>OA1ER</t>
  </si>
  <si>
    <t>WOS:000577538400001</t>
  </si>
  <si>
    <t>Zhu, GP; Deng, B; Zhang, HT; Yang, QY</t>
  </si>
  <si>
    <t>Zhu, Guoping; Deng, Bo; Zhang, Haiting; Yang, Qingyuan</t>
  </si>
  <si>
    <t>Ontogenetic and temporal diet variation in adult Antarctic krill Euphausia superba at South Georgia during austral winter revealed by stable isotope analysis</t>
  </si>
  <si>
    <t>Euphausia superba; Ontogenetic diet shift; Overwintering; Stable isotope analysis; South Georgia</t>
  </si>
  <si>
    <t>MARGINAL ICE-ZONE; LARVAL KRILL; FOOD-WEB; SCOTIA SEA; PACK-ICE; GROWTH; ZOOPLANKTON; ANIMALS; STOMACH; WATERS</t>
  </si>
  <si>
    <t>Understanding the ontogenetic and temporal shifts in krill diet during winter is crucial to elucidate the over wintering of krill in the Southern Ocean. Stable isotope analyses (N-15/N-14 and C-13/C-12) were utilized to explore the variation in diet of adult krill with size and month during the winter season (June to September 2016) at the South Georgia. Stable isotope signatures indicated that there were no significant differences in delta C-13 and delta N-15 values between sexes of krill. Nitrogen isotope signatures suggested increasing carnivory with size of adults throughout winter. Carbon isotope signatures revealed reduced food sources for the larger adults during early winter, but all adults could feed on similar food items during middle to late winter. The trophic niche of adults was similar during the winter season at the South Georgia. Our results provide insight for the diet of adult krill in the food-limited season and should be useful in understanding the energy transfer in the marine food web in the South Georgia ecosystem. Moreover, the information derived from this study can also be used to support krill fishery management and understand the interaction between krill population, top predators and fishery.</t>
  </si>
  <si>
    <t>[Zhu, Guoping; Deng, Bo; Zhang, Haiting; Yang, Qingyuan] Shanghai Ocean Univ, Coll Marine Sci, Shanghai 201306, Peoples R China; [Zhu, Guoping] Natl Engn Res Ctr Ocean Fisheries, Shanghai 201306, Peoples R China; [Zhu, Guoping; Deng, Bo; Zhang, Haiting; Yang, Qingyuan] Shanghai Ocean Univ, Key Lab Sustainable Exploitat Ocean Fisheries Res, Minist Educ, Polar Marine Ecosyst Grp, Shanghai 201306, Peoples R China</t>
  </si>
  <si>
    <t>Shanghai Ocean University; National Engineering Research Center for Oceanic Fisheries; Shanghai Ocean University</t>
  </si>
  <si>
    <t>Zhu, GP (corresponding author), Shanghai Ocean Univ, Coll Marine Sci, Shanghai 201306, Peoples R China.</t>
  </si>
  <si>
    <t>gpzhu@shou.edu.cn</t>
  </si>
  <si>
    <t>QIAN, LIU/S-1353-2019; ZHU, Guo-ping/D-1002-2010</t>
  </si>
  <si>
    <t>Zhang, Haiting/0000-0002-4938-0900; Zhu, Guoping/0000-0001-6081-7811</t>
  </si>
  <si>
    <t>National Key R&amp;D Program of China [2018YFC1406801]; National Science Foundation of China [41776185]; Scientific Research Foundation for the Returned Overseas Chinese Scholars, State Education Ministry, China</t>
  </si>
  <si>
    <t>National Key R&amp;D Program of China; National Science Foundation of China(National Natural Science Foundation of China (NSFC)); Scientific Research Foundation for the Returned Overseas Chinese Scholars, State Education Ministry, China(Scientific Research Foundation for the Returned Overseas Chinese ScholarsMinistry of Education, China)</t>
  </si>
  <si>
    <t>We are grateful to the captains of large-scale trawlers Longda and Mingkai and the scientific observers, Teng Wang, Wang Liu, Zhipeng Su and Zhen Wang, onboard those vessels for their help to collect the samples. Chunxia Gao deserve special recognition for her effort in the laboratory. We also thank the College of Marine Sciences, Shanghai Ocean University for providing the facilities in the laboratory that make this study happen. Funding was provided by the National Key R&amp;D Program of China (grant no 2018YFC1406801), the National Science Foundation of China (grant no 41776185), and the Scientific Research Foundation for the Returned Overseas Chinese Scholars, State Education Ministry, China.</t>
  </si>
  <si>
    <t>10.1016/j.fishres.2019.02.011</t>
  </si>
  <si>
    <t>HW6TU</t>
  </si>
  <si>
    <t>WOS:000466824300001</t>
  </si>
  <si>
    <t>Greene, CA; Thirumalai, K; Kearney, KA; Delgado, JM; Schwanghart, W; Wolfenbarger, NS; Thyng, KM; Gwyther, DE; Gardner, AS; Blankenship, DD</t>
  </si>
  <si>
    <t>Greene, Chad A.; Thirumalai, Kaustubh; Kearney, Kelly A.; Delgado, Jose Miguel; Schwanghart, Wolfgang; Wolfenbarger, Natalie S.; Thyng, Kristen M.; Gwyther, David E.; Gardner, Alex S.; Blankenship, Donald D.</t>
  </si>
  <si>
    <t>The Climate Data Toolbox for MATLAB</t>
  </si>
  <si>
    <t>GEOCHEMISTRY GEOPHYSICS GEOSYSTEMS</t>
  </si>
  <si>
    <t>OSCILLATION; TRENDS; MODE</t>
  </si>
  <si>
    <t>Climate science is highly interdisciplinary by nature, so understanding interactions between Earth processes inherently warrants the use of analytical software that can operate across the disciplines of Earth science. Toward this end, we present the Climate Data Toolbox for MATLAB, which contains more than 100 functions that span the major climate-related disciplines of Earth science. The toolbox enables streamlined, entirely scriptable workflows that are intuitive to write and easy to share. Included are functions to evaluate uncertainty, perform matrix operations, calculate climate indices, and generate common data displays. Documentation is presented pedagogically, with thorough explanations of how each function works and tutorials showing how the toolbox can be used to replicate results of published studies. As a well-tested, well-documented platform for interdisciplinary collaborations, the Climate Data Toolbox for MATLAB aims to reduce time spent writing low-level code, let researchers focus on physics rather than coding and encourage more efficacious code sharing. Plain Language Summary This article describes a collection of computer code that has recently been released to help scientists analyze many types of Earth science data. The code in this toolbox makes it easy to investigate things like global warming, El Nino, or other major climate-related processes such as how winds affect ocean circulation. Although the toolbox was designed to be used by expert climate scientists, its instruction manual is well written, and beginners may be able to learn a great deal about coding and Earth science, simply by following along with the provided examples. The toolbox is intended to help scientists save time, help them ensure their analysis is accurate, and make it easy for other scientists to repeat the results of previous studies.</t>
  </si>
  <si>
    <t>[Greene, Chad A.; Gardner, Alex S.] CALTECH, Jet Prop Lab, Pasadena, CA 91125 USA; [Greene, Chad A.; Wolfenbarger, Natalie S.; Blankenship, Donald D.] Univ Texas Austin, Inst Geophys, John A &amp; Katherine G Jackson Sch Geosci, Austin, TX 78712 USA; [Thirumalai, Kaustubh] Brown Univ, Dept Earth Environm &amp; Planetary Sci, Providence, RI 02912 USA; [Kearney, Kelly A.] Univ Washington, JISAO, Seattle, WA 98195 USA; [Kearney, Kelly A.] NOAA, Alaska Fisheries Sci Ctr, Seattle, WA USA; [Delgado, Jose Miguel; Schwanghart, Wolfgang] Univ Potsdam, Inst Environm Sci &amp; Geog, Potsdam, Germany; [Thyng, Kristen M.] Texas A&amp;M Univ, Dept Oceanog, College Stn, TX 77843 USA; [Gwyther, David E.] Univ Tasmania, Inst Marine &amp; Antarctic Studies, Hobart, Tas, Australia</t>
  </si>
  <si>
    <t>National Aeronautics &amp; Space Administration (NASA); NASA Jet Propulsion Laboratory (JPL); California Institute of Technology; University of Texas System; University of Texas Austin; Brown University; University of Washington; University of Washington Seattle; National Oceanic Atmospheric Admin (NOAA) - USA; University of Potsdam; Texas A&amp;M University System; Texas A&amp;M University College Station; University of Tasmania</t>
  </si>
  <si>
    <t>Greene, CA (corresponding author), CALTECH, Jet Prop Lab, Pasadena, CA 91125 USA.;Greene, CA (corresponding author), Univ Texas Austin, Inst Geophys, John A &amp; Katherine G Jackson Sch Geosci, Austin, TX 78712 USA.</t>
  </si>
  <si>
    <t>chad@chadagreene.com</t>
  </si>
  <si>
    <t>Blankenship, Donald D./G-5935-2010; Gwyther, David E/Q-2987-2018; Kearney, Kelly A/A-8673-2014; Greene, Chad/HTQ-9931-2023; Delgado, Jose Miguel/G-4975-2013; Thirumalai, Kaustubh/N-2511-2014</t>
  </si>
  <si>
    <t>Gwyther, David E/0000-0002-7218-2785; Greene, Chad/0000-0001-6710-6297; Thyng, Kristen/0000-0002-8746-614X; Gardner, Alex/0000-0002-8394-8889; Wolfenbarger, Natalie/0000-0001-7990-3891; Delgado, Jose Miguel/0000-0002-1672-6004; Thirumalai, Kaustubh/0000-0002-7875-4182; Schwanghart, Wolfgang/0000-0001-6907-6474</t>
  </si>
  <si>
    <t>G. Unger Vetlesen Foundation; Presidential Postdoctoral Fellowship at Brown University; Australian Research Council's Special Research Initiative [SR140300001]; NASA Cryosphere program; Jet Propulsion Laboratory, California Institute of Technology; NASA MEaSUREs; NASA Postdoctoral Program</t>
  </si>
  <si>
    <t>G. Unger Vetlesen Foundation; Presidential Postdoctoral Fellowship at Brown University; Australian Research Council's Special Research Initiative(Australian Research Council); NASA Cryosphere program; Jet Propulsion Laboratory, California Institute of Technology; NASA MEaSUREs; NASA Postdoctoral Program(National Aeronautics &amp; Space Administration (NASA))</t>
  </si>
  <si>
    <t>The Climate Data Toolbox for MATLAB is available on GitHub (https://github.com/chadagreene/CDT; Greene et al., 2019). We thank Carl Wunsch, Monique Messie, and Guillaume Maze for their helpful feedback and suggestions during the development of CDT. Thanks also to Peter Huybers for sharing his daily_insolation function. Thanks to Lisa Kempler at The MathWorks for supporting this work. The C2xyz and islatlon functions were originally written for Antarctic Mapping Tools for MATLAB (Greene, Gwyther, &amp; Blankenship, 2017). The filt1 and sun_angle functions were written for work that has been published by Greene and Blankenship (2018). The filt2 function was developed for work by Dow et al. (2018) and Greene (2017). The ekman and windstress functions were developed for work published by Greene, Blankenship, et al. (2017). The sinefit, sineval, and sinefit_bootstrap functions were developed for work published by Greene et al. (2018). The mld function was adapted from find_mld.m, which was originally published alongside Holte and Talley (2009). The authors were supported by the G. Unger Vetlesen Foundation, the Presidential Postdoctoral Fellowship at Brown University, the Australian Research Council's Special Research Initiative for Antarctic Gateway Partnership (Project ID SR140300001), and the NASA Cryosphere program. The writing and publication of this paper was supported by the Jet Propulsion Laboratory, California Institute of Technology, sponsored by NASA MEaSUREs and the NASA Postdoctoral Program, through an agreement with the National Aeronautics and Space Administration. Reference herein to any specific commercial product, process, or service by trade name, trademark, manufacturer, or otherwise, does not constitute or imply its endorsement by the U.S. Government or the Jet Propulsion Laboratory, California Institute of Technology. C. A. G. and K. A. K. currently serve as volunteers on the MathWorks Community Advisory Board.</t>
  </si>
  <si>
    <t>1525-2027</t>
  </si>
  <si>
    <t>GEOCHEM GEOPHY GEOSY</t>
  </si>
  <si>
    <t>Geochem. Geophys. Geosyst.</t>
  </si>
  <si>
    <t>10.1029/2019GC008392</t>
  </si>
  <si>
    <t>IP8FP</t>
  </si>
  <si>
    <t>WOS:000480282600032</t>
  </si>
  <si>
    <t>Tetzner, D; Thomas, E; Allen, C</t>
  </si>
  <si>
    <t>Tetzner, Dieter; Thomas, Elizabeth; Allen, Claire</t>
  </si>
  <si>
    <t>A Validation of ERA5 Reanalysis Data in the Southern Antarctic Peninsula-Ellsworth Land Region, and Its Implications for Ice Core Studies</t>
  </si>
  <si>
    <t>climate reanalysis; ERA5; ERA-Interim; Antarctic Peninsula; ice cores; Antarctica; winds</t>
  </si>
  <si>
    <t>SURFACE MASS-BALANCE; CLIMATE; PERFORMANCE; SNOW; STATION; TRENDS</t>
  </si>
  <si>
    <t>Climate reanalyses provide key information to calibrate proxy records in regions with scarce direct observations. The climate reanalysis used to perform a proxy calibration should accurately reproduce the local climate variability. Here we present a regional scale evaluation of meteorological parameters using ERA-Interim and ERA5 reanalyses compared to in-situ observations from 13 automatic weather stations (AWS), located in the southern Antarctic Peninsula and Ellsworth Land, Antarctica. Both reanalyses seem to perform better in the escarpment area (&gt;1000 m a.s.l) than on the coast. A significant improvement is observed in the performance of ERA5 over ERA-Interim. ERA5 is highly accurate, representing the magnitude and variability of near-surface air temperature and wind regimes. The higher spatial and temporal resolution provided by ERA5 reduces significantly the cold coastal biases identified in ERA-Interim and increases the accuracy representing the wind direction and wind speed in the escarpment. The slight underestimation in the wind speed obtained from the reanalyses could be attributed to an interplay of topographic factors and the effect of local wind regimes. Three sites in this region are highlighted for their potential for ice core studies. These sites are likely to provide accurate proxy calibrations for future palaeoclimatic reconstructions.</t>
  </si>
  <si>
    <t>[Tetzner, Dieter; Thomas, Elizabeth; Allen, Claire] British Antarctic Survey, Madingley Rd, Cambridge CB3 0ET, England; [Tetzner, Dieter] Univ Cambridge, Dept Earth Sci, Downing St, Cambridge CB2 3EQ, England</t>
  </si>
  <si>
    <t>UK Research &amp; Innovation (UKRI); Natural Environment Research Council (NERC); NERC British Antarctic Survey; University of Cambridge</t>
  </si>
  <si>
    <t>Tetzner, D (corresponding author), British Antarctic Survey, Madingley Rd, Cambridge CB3 0ET, England.;Tetzner, D (corresponding author), Univ Cambridge, Dept Earth Sci, Downing St, Cambridge CB2 3EQ, England.</t>
  </si>
  <si>
    <t>dietet95@bas.ac.uk</t>
  </si>
  <si>
    <t>Thomas, Elizabeth Ruth/ADF-3660-2022</t>
  </si>
  <si>
    <t>Thomas, Elizabeth Ruth/0000-0002-3010-6493</t>
  </si>
  <si>
    <t>CONICYT-Becas Chile and Cambridge Trust funding program for PhD studies [72180432]; NERC [bas0100030, bas0100034] Funding Source: UKRI</t>
  </si>
  <si>
    <t>CONICYT-Becas Chile and Cambridge Trust funding program for PhD studies; NERC(UK Research &amp; Innovation (UKRI)Natural Environment Research Council (NERC))</t>
  </si>
  <si>
    <t>This research was funded by CONICYT-Becas Chile and Cambridge Trust funding program for PhD studies. Grant number 72180432.</t>
  </si>
  <si>
    <t>10.3390/geosciences9070289</t>
  </si>
  <si>
    <t>WOS:000479005300011</t>
  </si>
  <si>
    <t>Kulhanek, DK; Levy, RH; Clowes, CD; Prebble, JG; Rodelli, D; Jovane, L; Morgans, HEG; Kraus, C; Zwingmann, H; Griffith, EM; Scher, HD; McKay, RM; Naish, TR</t>
  </si>
  <si>
    <t>Kulhanek, Denise K.; Levy, Richard H.; Clowes, Christopher D.; Prebble, Joseph G.; Rodelli, Daniel; Jovane, Luigi; Morgans, Hugh E. G.; Kraus, Christoph; Zwingmann, Horst; Griffith, Elizabeth M.; Scher, Howie D.; McKay, Robert M.; Naish, Timothy R.</t>
  </si>
  <si>
    <t>Revised chronostratigraphy of DSDP Site 270 and late Oligocene to early Miocene paleoecology of the Ross Sea sector of Antarctica</t>
  </si>
  <si>
    <t>Ross Sea; DSDP Site 270; Chronostratigraphy; Magnetostratigraphy; Biostratigraphy; Paleoecology</t>
  </si>
  <si>
    <t>VICTORIA-LAND BASIN; ROCK MAGNETIC COMPONENTS; CAPE-ROBERTS PROJECT; OFFSHORE WILKES LAND; ICE-SHEET; REMANENT MAGNETIZATION; DRILLING-PROJECT; LATE EOCENE; ACQUISITION CURVES; CLIMATE</t>
  </si>
  <si>
    <t>Deep Sea Drilling Project (DSDP) Site 270, located in the central high of the Ross Sea, was cored to 422.5 m below seafloor (mbsf) and recovered a thick Oligocene to lower Miocene sequence of mudstone with varying amounts of ice rafted debris (IRD), overlain by similar to 20 m of Pliocene to Recent diatom silty clay with IRD. This site provides important temporal constraints on regional stratigraphy and insights into late Oligocene to early Miocene ice sheet dynamics; however, previous age models were based on limited data. Here we provide a revised age model using a combination of biostratigraphy (dinoflagellate cysts, pollen, calcareous nannofossils, foraminifers, and diatoms), magnetostratigraphy, Sr-isotope stratigraphy, and K-Ar dating of glauconite. We divide the sequence between 386 and 20 mbsf into four chronostratigraphic intervals (CSIs). CSI 1 (386-352 mbsf) is dated to between -26 and 25 Ma based on glauconite K-Ar dating, the highest occurrence (HO) of the dinoflagellate Lejeunecysta rotunda (24.5 Ma), and a paleomagnetic reversal tied to the C8r/C8n.2r boundary (25.987 Ma). A distinct change in the benthic foraminifer assemblage at 352 mbsf marks an unconformity and the base of CSI 2. CSI 2 (352 to 149-146 mbsf) is dated to between 25.44 Ma and 23.13 Ma based on nannofossil biostratigraphy. Within this 200 m interval we correlate seven magnetic reversals to Chrons C8n.2n to C6Cr (25.3-23.3 Ma) and our line of correlation suggests rapid sedimentation (-80 m/m.y.). Microfossil and lithologic evidence indicate a distal marine setting with a paleo-water depth of similar to 200 m at 345 mbsf, with deepening above. Within CSI 2 is a diamictite overlain by grounding line proximal sandstone and laminated mudstone indicating glaciomarine deposition in a grounding-line proximal setting between 245 and 230 mbsf, followed by ice sheet grounding-line retreat into a more distal setting from 230 to 146 mbsf (similar to 24.5-23.5 Ma), likely due to basin subsidence and incursion of relatively warm deep water onto the shelf. Another unconformity between 149 and 146 mbsf marks the boundary between CSI 2 and CSI 3. The thin CSI 3 (149-146 to 121/112 mbsf) is dated to similar to 23 Ma and we place the Oligocene/Miocene boundary at the base of the sequence, although we cannot rule out that the boundary is represented by an unconformity. Benthic foraminifers indicate continued deepening in the earliest Miocene and finer-grained mudstone with less IRD suggests that the site remained in a grounding line distal setting, although a decrease in abundance of calcareous plankton indicates cooling climatic conditions at that time. The boundary between CSI 3 and CSI 4 is marked by an unconformity spanning at least 2.5 m.y. based on the lowest occurrence of the dinoflagellate Batiacasphaera cooperi ( &lt; 20.7 Ma) at 111 mbsf. Biostratigraphic data constrain CSI 4 to the early Miocene. We tentatively identify three magnetic reversals within CSI 4 (121/112-20 mbsf) that may tie this interval to Chrons C6An.2n to C6r (similar to 20.6-19.7 Ma), A major unconformity at 20 mbsf separates the lower Miocene sediments from the overlying Pliocene and younger sediments. Late Oligocene to early Miocene pollen assemblages from Site 270 suggest a tundra landscape with low-growing Nothofagaceae, Podocarpaceae, and Proteaceae scrub in wanner locations with a relatively stable terrestrial environment during that time.</t>
  </si>
  <si>
    <t>[Kulhanek, Denise K.] Texas A&amp;M Univ, Int Ocean Discovery Program, 1000 Discovery Dr, College Stn, TX 77845 USA; [Levy, Richard H.; Clowes, Christopher D.; Prebble, Joseph G.; Morgans, Hugh E. G.] GNS Sci, POB 30368, Lower Hutt 5040, New Zealand; [Rodelli, Daniel; Jovane, Luigi] Univ Sao Paulo, BR-05508120 Sao Paulo, SP, Brazil; [Kraus, Christoph; McKay, Robert M.; Naish, Timothy R.] Victoria Univ Wellington, Antarctic Res Ctr, Wellington, New Zealand; [Zwingmann, Horst] Kyoto Univ, Dept Geol &amp; Mineral, Sakyo Ku, Kyoto 6068502, Japan; [Griffith, Elizabeth M.] Ohio State Univ, Columbus, OH 43210 USA; [Scher, Howie D.] Univ South Carolina, Columbia, SC 29208 USA</t>
  </si>
  <si>
    <t>Texas A&amp;M University System; Texas A&amp;M University College Station; GNS Science - New Zealand; Universidade de Sao Paulo; Victoria University Wellington; Kyoto University; University System of Ohio; Ohio State University; University of South Carolina System; University of South Carolina Columbia</t>
  </si>
  <si>
    <t>Kulhanek, DK (corresponding author), Texas A&amp;M Univ, Int Ocean Discovery Program, 1000 Discovery Dr, College Stn, TX 77845 USA.</t>
  </si>
  <si>
    <t>kulhanek@iodp.tamu.edu</t>
  </si>
  <si>
    <t>Jovane, Luigi/AAH-5438-2020; Scher, Howie/C-4927-2013; Griffith, Elizabeth/KBB-3072-2024</t>
  </si>
  <si>
    <t>Jovane, Luigi/0000-0003-4348-4714; Kulhanek, Denise/0000-0002-2156-6383; Rodelli, Daniel/0000-0003-1243-6795; Griffith, Elizabeth/0000-0002-7919-4551; McKay, Robert/0000-0002-5602-6985; Kraus, Christoph/0000-0002-0680-8532; Naish, Tim/0000-0002-1185-9932</t>
  </si>
  <si>
    <t>New Zealand Ministry of Business Innovation and Employment [C05X1001]; Rutherford Discovery Fellowship [RDF-13_VUW-003]; New Zealand Ministry of Business, Innovation &amp; Employment (MBIE) [C05X1001] Funding Source: New Zealand Ministry of Business, Innovation &amp; Employment (MBIE)</t>
  </si>
  <si>
    <t>New Zealand Ministry of Business Innovation and Employment(New Zealand Ministry of Business, Innovation and Employment (MBIE)); Rutherford Discovery Fellowship(Royal Society of New Zealand); New Zealand Ministry of Business, Innovation &amp; Employment (MBIE)(New Zealand Ministry of Business, Innovation and Employment (MBIE))</t>
  </si>
  <si>
    <t>This work used archival Deep Sea Drilling Project samples and data provided by the International Ocean Discovery Program. This study was supported by the New Zealand Ministry of Business Innovation and Employment Contract C05X1001 (R.L., T.N., J.P., H.M., and C.C.) and Rutherford Discovery Fellowship (RDF-13_VUW-003) to RM. Comments from Peter Bijl and one anonymous reviewer substantially improved the manuscript. We also thank Gary Acton for providing additional insight on the paleomagnetic interpretations. Many thanks to Randall McDonnell and Roger Tremain for processing samples for foraminifer, nannofossil, and palynomorph analysis. We also thank Dominic Strogen for examining the glauconite in thin section. Sookwan Kim kindly prepared the map figure.</t>
  </si>
  <si>
    <t>10.1016/j.gloplacha.2019.04.002</t>
  </si>
  <si>
    <t>ID5RV</t>
  </si>
  <si>
    <t>WOS:000471734600004</t>
  </si>
  <si>
    <t>McCarthy, AH; Peck, LS; Hughes, KA; Aldridge, DC</t>
  </si>
  <si>
    <t>McCarthy, Arlie H.; Peck, Lloyd S.; Hughes, Kevin A.; Aldridge, David C.</t>
  </si>
  <si>
    <t>Antarctica: The final frontier for marine biological invasions</t>
  </si>
  <si>
    <t>alien species; biofouling; climate change; introduced species; invasion pathways; marine ecosystems; shipping; Southern Ocean</t>
  </si>
  <si>
    <t>GLOBAL CONSERVATION ISSUES; VESSEL SEA-CHESTS; SOUTHERN-OCEAN; CLIMATE-CHANGE; HORIZON SCAN; THERMAL TOLERANCE; DECEPTION ISLAND; EMERGING ISSUES; IMPACTS; ICE</t>
  </si>
  <si>
    <t>Antarctica is experiencing significant ecological and environmental change, which may facilitate the establishment of non-native marine species. Non-native marine species will interact with other anthropogenic stressors affecting Antarctic ecosystems, such as climate change (warming, ocean acidification) and pollution, with irreversible ramifications for biodiversity and ecosystem services. We review current knowledge of non-native marine species in the Antarctic region, the physical and physiological factors that resist establishment of non-native marine species, changes to resistance under climate change, the role of legislation in limiting marine introductions, and the effect of increasing human activity on vectors and pathways of introduction. Evidence of non-native marine species is limited: just four marine non-native and one cryptogenic species that were likely introduced anthropogenically have been reported freely living in Antarctic or sub-Antarctic waters, but no established populations have been reported; an additional six species have been observed in pathways to Antarctica that are potentially at risk of becoming invasive. We present estimates of the intensity of ship activity across fishing, tourism and research sectors: there may be approximately 180 vessels and 500+ voyages in Antarctic waters annually. However, these estimates are necessarily speculative because relevant data are scarce. To facilitate well-informed policy and management, we make recommendations for future research into the likelihood of marine biological invasions in the Antarctic region.</t>
  </si>
  <si>
    <t>[McCarthy, Arlie H.; Aldridge, David C.] Univ Cambridge, Dept Zool, Cambridge, England; [McCarthy, Arlie H.; Peck, Lloyd S.; Hughes, Kevin A.] British Antarctic Survey, NERC, Cambridge, England; [Aldridge, David C.] St Catharines Coll, BioRISC, Cambridge, England</t>
  </si>
  <si>
    <t>University of Cambridge; UK Research &amp; Innovation (UKRI); Natural Environment Research Council (NERC); NERC British Antarctic Survey; University of Cambridge</t>
  </si>
  <si>
    <t>McCarthy, AH (corresponding author), Univ Cambridge, Dept Zool, Cambridge, England.</t>
  </si>
  <si>
    <t>ahm43@cam.ac.uk</t>
  </si>
  <si>
    <t>Hughes, Kevin/JVZ-0793-2024; McCarthy, Arlie/AAG-5028-2021</t>
  </si>
  <si>
    <t>McCarthy, Arlie/0000-0001-7423-4342; Aldridge, David/0000-0001-9067-8592</t>
  </si>
  <si>
    <t>General Sir John Monash Foundation; University of Melbourne; British Antarctic Survey; Zoology Department, University of Cambridge; NERC [bas0100036, NE/J007501/1, bas010011] Funding Source: UKRI</t>
  </si>
  <si>
    <t>General Sir John Monash Foundation; University of Melbourne(University of Melbourne); British Antarctic Survey; Zoology Department, University of Cambridge(University of Cambridge); NERC(UK Research &amp; Innovation (UKRI)Natural Environment Research Council (NERC))</t>
  </si>
  <si>
    <t>The General Sir John Monash Foundation; Zoology Department, University of Cambridge; University of Melbourne; British Antarctic Survey</t>
  </si>
  <si>
    <t>10.1111/gcb.14600</t>
  </si>
  <si>
    <t>IL1UH</t>
  </si>
  <si>
    <t>WOS:000477087100005</t>
  </si>
  <si>
    <t>Morley, SA; Peck, LS; Sunday, JM; Heiser, S; Bates, AE</t>
  </si>
  <si>
    <t>Morley, S. A.; Peck, L. S.; Sunday, J. M.; Heiser, S.; Bates, A. E.</t>
  </si>
  <si>
    <t>Physiological acclimation and persistence of ectothermic species under extreme heat events</t>
  </si>
  <si>
    <t>GLOBAL ECOLOGY AND BIOGEOGRAPHY</t>
  </si>
  <si>
    <t>acclimation; acclimation response ratio; extreme events; generations; geographic range; persistence; physiological plasticity</t>
  </si>
  <si>
    <t>THERMAL TOLERANCE; CLIMATE; EVOLUTIONARY; LIMITS; LATITUDE; SIZE</t>
  </si>
  <si>
    <t>Aim To test if physiological acclimation can buffer species against increasing extreme heat due to climate change. Location Global. Time period 1960 to 2015. Major taxa studied Amphibians, arthropods, brachiopods, cnidarians, echinoderms, fishes, molluscs, reptiles. Methods We draw together new and existing data quantifying the warm acclimation response in 319 species as the acclimation response ratio (ARR): the increase in upper thermal limit per degree increase in experimental temperature. We develop worst-case scenario climate projections to calculate the number of years and generations gained by ARR until loss of thermal safety. We further compute a vulnerability score that integrates across variables estimating exposure to climate change and species-specific tolerance through traits, including physiological plasticity, generation time and latitudinal range extent. Results ARR is highly variable, but with marked differences across taxa, habitats and latitude. Polar terrestrial arthropods show high ARRs [95% upper confidence limit (UCL95%) = 0.68], as do some polar aquatic invertebrates that were acclimated for extended durations (ARR &gt; 0.4). While this physiological plasticity buys 100s of years until thermal safety is lost, combination with long generation times leads to decreased potential for evolutionary adaptation. Additionally, 27% of marine polar invertebrates have no capacity for acclimation and reptiles and amphibians have minimal ARR (UCL95% = 0.16). Low physiological plasticity, long generations times and restricted latitudinal ranges combine to distinguish reptiles, amphibians and polar invertebrates as being highly vulnerable amongst ectotherms. Main conclusions In some taxa the combined effects of acclimation capacity and generation time can provide 100s of years and generations before thermal safety is lost. The accuracy of assessments of vulnerability to climate change will be improved by considering multiple aspects of species' biology that, in combination may increase persistence under extreme heat events, and increase the probability for evolutionary rescue.</t>
  </si>
  <si>
    <t>[Morley, S. A.; Peck, L. S.; Heiser, S.] British Antarctic Survey, Madingley Rd, Cambridge CB3 0ET, Cambs, England; [Sunday, J. M.] McGill Univ, Biol Dept, Montreal, PQ, Canada; [Bates, A. E.] Mem Univ, Ocean Sci Ctr, St John, NF, Canada</t>
  </si>
  <si>
    <t>UK Research &amp; Innovation (UKRI); Natural Environment Research Council (NERC); NERC British Antarctic Survey; McGill University; Memorial University Newfoundland</t>
  </si>
  <si>
    <t>Bates, Amanda E./ABD-6874-2021; Sunday, Jennifer/ABE-7396-2020; Heiser, Sabrina/HJH-9098-2023</t>
  </si>
  <si>
    <t>Bates, Amanda E./0000-0002-0198-4537; Heiser, Sabrina/0000-0003-3307-3233; Morley, Simon/0000-0002-7761-660X</t>
  </si>
  <si>
    <t>British Antarctic Survey; Canada Research Chairs; NERC [dml011000, bas0100035] Funding Source: UKRI</t>
  </si>
  <si>
    <t>British Antarctic Survey; Canada Research Chairs(Canada Research ChairsCGIAR); NERC(UK Research &amp; Innovation (UKRI)Natural Environment Research Council (NERC))</t>
  </si>
  <si>
    <t>British Antarctic Survey; Canada Research Chairs</t>
  </si>
  <si>
    <t>1466-822X</t>
  </si>
  <si>
    <t>1466-8238</t>
  </si>
  <si>
    <t>GLOBAL ECOL BIOGEOGR</t>
  </si>
  <si>
    <t>Glob. Ecol. Biogeogr.</t>
  </si>
  <si>
    <t>10.1111/geb.12911</t>
  </si>
  <si>
    <t>Ecology; Geography, Physical</t>
  </si>
  <si>
    <t>Environmental Sciences &amp; Ecology; Physical Geography</t>
  </si>
  <si>
    <t>ID6WN</t>
  </si>
  <si>
    <t>WOS:000471822300012</t>
  </si>
  <si>
    <t>Finch, T; Branston, C; Clewlow, H; Dunning, J; Franco, AMA; Racinskis, E; Schwartz, T; Butler, SJ</t>
  </si>
  <si>
    <t>Finch, Tom; Branston, Claire; Clewlow, Harriet; Dunning, Jamie; Franco, Aldina M. A.; Racinskis, Edmunds; Schwartz, Timothee; Butler, Simon J.</t>
  </si>
  <si>
    <t>Context-dependent conservation of the cavity-nesting European Roller</t>
  </si>
  <si>
    <t>IBIS</t>
  </si>
  <si>
    <t>foraging resource limitation; France; intraspecific variation; Latvia; nest-site limitation</t>
  </si>
  <si>
    <t>CORACIAS-GARRULUS; SUPPLEMENTARY FOOD; HABITAT; SITE; SELECTION; BIRDS; CONSEQUENCES; LIMITATION; MANAGEMENT; OCCUPANCY</t>
  </si>
  <si>
    <t>To maximize the effectiveness of conservation interventions, it is crucial to have an understanding of how intraspecific variation determines the relative importance of potential limiting factors. For bird populations, limiting factors include nest-site availability and foraging resources, with the former often addressed through the provision of artificial nestboxes. However, the effectiveness of artificial nestboxes depends on the relative importance of nest-site vs. foraging resource limitations. Here, we investigate factors driving variation in breeding density, nestbox occupation and productivity in two contrasting study populations of the European Roller Coracias garrulus, an obligate cavity-nesting insectivorous bird. Breeding density was more than four times higher at the French study site than at the Latvian site, and there was a positive correlation between breeding density (at the 1-km(2) scale) and nest-site availability in France, whereas there was a positive correlation between breeding density and foraging resource availability in Latvia. Similarly, the probability of a nestbox being occupied increased with predicted foraging resource availability in Latvia but not in France. We detected no positive effect of foraging resource availability on productivity at either site, with most variation in breeding success driven by temporal effects: a seasonal decline in France and strong interannual fluctuations in Latvia. Our results indicate that the factors limiting local breeding density can vary across a species' range, resulting in different conservation priorities. Nestbox provisioning is a sufficient short-term conservation solution at our French study site, where foraging resources are typically abundant, but in Latvia the restoration of foraging habitat may be more important.</t>
  </si>
  <si>
    <t>[Finch, Tom; Branston, Claire; Clewlow, Harriet; Butler, Simon J.] Univ East Anglia, Sch Biol Sci, Norwich NR4 7TJ, Norfolk, England; [Dunning, Jamie] Univ Nottingham, Sch Life Sci, Nottingham NG7 2RD, England; [Franco, Aldina M. A.] Univ East Anglia, Sch Environm Sci, Norwich NR4 7TJ, Norfolk, England; [Racinskis, Edmunds] Latvian Ornithol Soc, Skolas Iela 3, LV-1010 Riga, Latvia; [Schwartz, Timothee] A Rocha France, 233 Route Coste Basse, F-13200 Arles, France; [Schwartz, Timothee] Inst Rech Tour Valat, F-13200 Arles, France; [Schwartz, Timothee] Univ Montpellier 3, Univ Montpellier, PSL Res Univ, EPHE,CEFE,CNRS,UMR 5175, 1919 Route Mende, F-34293 Montpellier, France; [Finch, Tom] RSPB Ctr Conservat Sci, Sandy SG19 2DL, Beds, England; [Branston, Claire] Univ Durham, Dept Biosci, Conservat Ecol Grp, Durham DH1 3LE, England; [Clewlow, Harriet] British Antarctic Survey, Madingley Rd, Cambridge CB3 0ET, England</t>
  </si>
  <si>
    <t>University of East Anglia; University of Nottingham; University of East Anglia;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Royal Society for Protection of Birds; Durham University; UK Research &amp; Innovation (UKRI); Natural Environment Research Council (NERC); NERC British Antarctic Survey</t>
  </si>
  <si>
    <t>Finch, T (corresponding author), Univ East Anglia, Sch Biol Sci, Norwich NR4 7TJ, Norfolk, England.;Finch, T (corresponding author), RSPB Ctr Conservat Sci, Sandy SG19 2DL, Beds, England.</t>
  </si>
  <si>
    <t>tom.finch21@gmail.com</t>
  </si>
  <si>
    <t>Branston, Claire/Z-3100-2019; Butler, Simon/H-1703-2011; Franco, Aldina/G-2144-2010</t>
  </si>
  <si>
    <t>Schwartz, Timothee/0000-0001-8338-5601; Finch, Tom/0000-0003-1122-8513; Branston, Claire/0000-0002-4416-0984; Butler, Simon/0000-0002-5111-5639; Franco, Aldina/0000-0001-6055-7378</t>
  </si>
  <si>
    <t>NERC [6109659]</t>
  </si>
  <si>
    <t>Thanks to Lourdes del Horno Sempere, Ieva Mardega and Patrick Mayet for help in the field, and to the Groupe Ornithologique du Roussillon for allowing access to the French nestbox scheme. Thanks to Jenny Gill, Stuart Bearhop and Phil Saunders for useful discussions. T.F. was funded by an NERC studentship (student number 6109659). Two anonymous reviewers provided useful comments which improved an earlier version of this paper.</t>
  </si>
  <si>
    <t>0019-1019</t>
  </si>
  <si>
    <t>1474-919X</t>
  </si>
  <si>
    <t>Ibis</t>
  </si>
  <si>
    <t>10.1111/ibi.12650</t>
  </si>
  <si>
    <t>Ornithology</t>
  </si>
  <si>
    <t>IC7DF</t>
  </si>
  <si>
    <t>WOS:000471132000008</t>
  </si>
  <si>
    <t>Caravaggi, A; Cuthbert, RJ; Ryan, PG; Cooper, J; Bond, AL</t>
  </si>
  <si>
    <t>Caravaggi, Anthony; Cuthbert, Richard J.; Ryan, Peter G.; Cooper, John; Bond, Alexander L.</t>
  </si>
  <si>
    <t>The impacts of introduced House Mice on the breeding success of nesting seabirds on Gough Island</t>
  </si>
  <si>
    <t>invasive species; island restoration; population ecology; rodents; seabird conservation</t>
  </si>
  <si>
    <t>ALBATROSSES DIOMEDEA-EXULANS; GIANT PETRELS MACRONECTES; MANTLED SOOTY ALBATROSS; SEA-SURFACE TEMPERATURE; WHITE-CHINNED PETRELS; POPULATION-DYNAMICS; BIRD-ISLAND; ATLANTIC PETREL; MUS-MUSCULUS; PROCELLARIA-AEQUINOCTIALIS</t>
  </si>
  <si>
    <t>Invasive species are the main threat to island biodiversity; seabirds are particularly vulnerable and are one of the most threatened groups of birds. Gough Island, a UNESCO World Heritage Site in the South Atlantic Ocean, is an Important Bird and Biodiversity Area, and one of the most important seabird colonies globally. Invasive House Mice Mus musculus depredate eggs and chicks of most seabird species on the island, but the extent of their impact has not been quantified. We used field data and bootstrapped normal distributions to estimate breeding success and the number of surviving chicks for 10 seabird species on Gough Island, and compared estimates with those of analogous species from predator-free islands. We examined the effects of season and nest-site location on the breeding success of populations on Gough Island, predicting that the breeding success of Gough birds would be lower than that of analogues, particularly among small burrow-nesting species. We also predicted that winter-breeding species would exhibit lower breeding success than summer-breeding species, because mice have fewer alternative food sources in winter; and below-ground nesters would have lower breeding success than surface nesters, as below-ground species are smaller so their chicks are easier prey for mice. We did indeed find that seabirds on Gough Island had low breeding success compared with analogues, losing an estimated 1 739 000 (1 467 000-2 116 000) eggs/chicks annually. Seven of the 10 focal species on Gough Island had particularly high chick mortality and may have been subject to intense mouse predation. Below-ground and winter breeders had lower breeding success than surface- and summer-breeders. MacGillivray's Prion Pachyptila macgillivrayi, Atlantic Petrel Pterodroma incerta and Tristan Albatross Diomedea dabbenena are endemic or near-endemic to Gough Island and are likely to be driven to extinction if invasive mice are not removed.</t>
  </si>
  <si>
    <t>[Caravaggi, Anthony] Queens Univ Belfast, Sch Biol Sci, Belfast BT9 7BL, Antrim, North Ireland; [Caravaggi, Anthony] Univ Coll Cork, Sch Biol Earth &amp; Environm Sci, Cork, Ireland; [Cuthbert, Richard J.; Bond, Alexander L.] Royal Soc Protect Birds, RSPB Ctr Conservat Sci, Sandy SG19 2DL, Beds, England; [Ryan, Peter G.] Univ Cape Town, DST NRF Ctr Excellence, FitzPatrick Inst African Ornithol, ZA-7701 Rondebosch, South Africa; [Cooper, John] Univ Stellenbosch, Dept Bot &amp; Zool, Private Bag X1, ZA-7602 Matieland, South Africa; [Cuthbert, Richard J.] Conservat Solut, 9 Prospect Dr, Belper DE56 1UY, Derby, England; [Bond, Alexander L.] Nat Hist Museum, Dept Life Sci, Bird Grp, Akeman St, Tring HP23 6AP, Herts, England</t>
  </si>
  <si>
    <t>Queens University Belfast; University College Cork; Royal Society for Protection of Birds; University of Cape Town; National Research Foundation - South Africa; Stellenbosch University; Natural History Museum London</t>
  </si>
  <si>
    <t>Caravaggi, A (corresponding author), Queens Univ Belfast, Sch Biol Sci, Belfast BT9 7BL, Antrim, North Ireland.</t>
  </si>
  <si>
    <t>ar.caravaggi@gmail.com</t>
  </si>
  <si>
    <t>Bond, Alexander L/A-3786-2010; Caravaggi, Anthony/M-6641-2013</t>
  </si>
  <si>
    <t>Bond, Alexander/0000-0003-2125-7238; Caravaggi, Anthony/0000-0002-1763-8970</t>
  </si>
  <si>
    <t>Tristan da Cunha Administrator, Island Council and Conservation Department; Agreement on the Conservation of Albatrosses and Petrels; Darwin Initiative; Overseas Territories Environment Programme; Royal Naval Birdwatching Society; RSPB; South African National Antarctic Programme, through the National Research Foundation</t>
  </si>
  <si>
    <t>We thank the many dedicated field workers on Gough Island over the last 35 years for their perseverance and hard work; without them this study would not have been possible. The Tristan da Cunha Administrator, Island Council and Conservation Department have supported our research on Gough Island. The South African National Antarctic Programme, Ovenstone Agencies Pty. and Tristan da Cunha Conservation Department provided logistical support. The Agreement on the Conservation of Albatrosses and Petrels, Darwin Initiative, Overseas Territories Environment Programme, Royal Naval Birdwatching Society, RSPB and South African National Antarctic Programme, through the National Research Foundation, funded this research. Comments from the Editor and anonymous reviewers helped to improve the manuscript.</t>
  </si>
  <si>
    <t>10.1111/ibi.12664</t>
  </si>
  <si>
    <t>WOS:000471132000013</t>
  </si>
  <si>
    <t>Thompson, AF; Hines, SK; Adkins, JF</t>
  </si>
  <si>
    <t>Thompson, Andrew F.; Hines, Sophia K.; Adkins, Jess F.</t>
  </si>
  <si>
    <t>A Southern Ocean Mechanism for the Interhemispheric Coupling and Phasing of the Bipolar Seesaw</t>
  </si>
  <si>
    <t>Ocean; Sea ice; Southern Ocean; Meridional overturning circulation; Ocean dynamics; Climate variability</t>
  </si>
  <si>
    <t>MERIDIONAL OVERTURNING CIRCULATION; ABRUPT CLIMATE-CHANGE; ATLANTIC DEEP-WATER; ANTARCTIC SEA-ICE; HEMISPHERE CLIMATE; MODEL; DRIVEN; STRATIFICATION; VARIABILITY; STABILITY</t>
  </si>
  <si>
    <t>The last glacial period is punctuated by abrupt changes in Northern Hemisphere temperatures that are known as Dansgaard-Oeschger (DO) events. A striking and largely unexplained feature of DO events is an interhemispheric asymmetry characterized by cooling in Antarctica during periods of warming in Greenland and vice versa-the bipolar seesaw. Methane-synchronized ice core records indicate that the Southern Hemisphere lags the Northern Hemisphere by approximately 200 years. Here, we propose a mechanism that produces observed features of both the bipolar seesaw and the phasing of DO events. The spatial pattern of sea ice formation and melt in the Southern Ocean imposes a rigid constraint on where water masses are modified: waters are made denser near the coast where ice forms and waters are made lighter farther north where ice melts. This pattern, coupled to the tilt of density surfaces across the Southern Ocean and the stratification of the ocean basins, produces two modes of overturning corresponding to different bipolar seesaw states. We present evolution equations for a simplified ocean model that describes the transient adjustment of the basin stratification, the Southern Ocean surface density distribution, and the overturning strength as the ocean moves between these states in response to perturbations in North Atlantic Deep Water formation, which we take as a proxy for Greenland temperatures. Transitions between different overturning states occur over a multicentennial time scale, which is qualitatively consistent with the observed Southern Hemisphere lag. The volume of deep density layers varies inversely with the overturning strength, leading to significant changes in residence times. Evidence of these dynamics in more realistic circulation models is discussed.</t>
  </si>
  <si>
    <t>[Thompson, Andrew F.; Adkins, Jess F.] CALTECH, Pasadena, CA 91125 USA; [Hines, Sophia K.] Lamont Doherty Earth Observ, Palisades, NY USA</t>
  </si>
  <si>
    <t>California Institute of Technology; Columbia University</t>
  </si>
  <si>
    <t>Thompson, AF (corresponding author), CALTECH, Pasadena, CA 91125 USA.</t>
  </si>
  <si>
    <t>andrewt@caltech.edu</t>
  </si>
  <si>
    <t>Adkins, Jess/GYI-8778-2022</t>
  </si>
  <si>
    <t>David and Lucille Packard Foundation; National Science Foundation (NSF) [OCE-1235488]; NSF [P2C2-1503129]; Lamont-Doherty Earth Observatory Postdoctoral Fellowship</t>
  </si>
  <si>
    <t>David and Lucille Packard Foundation(The David &amp; Lucile Packard Foundation); National Science Foundation (NSF)(National Science Foundation (NSF)); NSF(National Science Foundation (NSF)); Lamont-Doherty Earth Observatory Postdoctoral Fellowship</t>
  </si>
  <si>
    <t>We thank Raffaele Ferrari and David Marshall for constructive comments to an earlier draft of this study and three anonymous reviewers for their insightful comments. We acknowledge helpful conversations with Paola Cessi, Malte Jansen, Brad Markle, Emily Newsom, Andrew Stewart, and Laure Zanna. We also thank Feng He for providing the TraCE simulation output. AFT received support from the David and Lucille Packard Foundation and from National Science Foundation (NSF) Grant OCE-1235488; SKH received support from NSF Grant P2C2-1503129 and the Lamont-Doherty Earth Observatory Postdoctoral Fellowship.</t>
  </si>
  <si>
    <t>10.1175/JCLI-D-18-0621.1</t>
  </si>
  <si>
    <t>IE7JK</t>
  </si>
  <si>
    <t>WOS:000472550100003</t>
  </si>
  <si>
    <t>Haro, D; Riccialdelli, L; Blank, O; Matus, R; Sabat, P</t>
  </si>
  <si>
    <t>Haro, Daniela; Riccialdelli, Luciana; Blank, Olivia; Matus, Ricardo; Sabat, Pablo</t>
  </si>
  <si>
    <t>Estimating the isotopic niche of males and females of false killer whales (Pseudorca crassidens) from Magellan Strait, Chile</t>
  </si>
  <si>
    <t>DOLPHINS TURSIOPS-TRUNCATUS; GLOBICEPHALA-MELAS; SOCIAL-STRUCTURE; ORCINUS-ORCA; CARBON; RATIOS; ACIDIFICATION; DELTA-C-13; ISLANDS; ECOLOGY</t>
  </si>
  <si>
    <t>[Haro, Daniela; Sabat, Pablo] Univ Chile, Fac Ciencias, Lab Ecofisiol, Las Palmeras 3425, Santiago, Chile; [Haro, Daniela] Univ Santo Tomas, Ctr Bahia Lomas, Ave Costanera 01834, Punta Arenas, Chile; [Riccialdelli, Luciana] Ctr Austral Invest Cient CADIC, Bernardo Houssay 200, Ushuaia, Tierra Fuego, Argentina; [Blank, Olivia] Clin Vet Timaukel, Punta Arenas 01316, Chile; [Blank, Olivia; Matus, Ricardo] Ctr Rehabil Aves Lenadura, Km 7-5 Sur, Punta Arenas, Chile</t>
  </si>
  <si>
    <t>Universidad de Chile; Universidad Santo Tomas</t>
  </si>
  <si>
    <t>Haro, D (corresponding author), Univ Chile, Fac Ciencias, Lab Ecofisiol, Las Palmeras 3425, Santiago, Chile.;Haro, D (corresponding author), Univ Santo Tomas, Ctr Bahia Lomas, Ave Costanera 01834, Punta Arenas, Chile.</t>
  </si>
  <si>
    <t>danielaharo@ug.uchile.cl</t>
  </si>
  <si>
    <t>Haro, Daniela/AAO-5242-2020</t>
  </si>
  <si>
    <t>Haro, Daniela/0000-0002-9391-1262</t>
  </si>
  <si>
    <t>National Commission for Scientific and Technological Research (CONICYT) [21140216]</t>
  </si>
  <si>
    <t>National Commission for Scientific and Technological Research (CONICYT)(Comision Nacional de Investigacion Cientifica y Tecnologica (CONICYT))</t>
  </si>
  <si>
    <t>We are grateful to the The National Commission for Scientific and Technological Research (CONICYT) for their support during the completion of this work (scholarship number 21140216). Thanks to Mr. Ivelic, administrator of the Estancia 5 de Enero, for providing access to the stranding site, and to the National Fisheries Service for granting permits for the work with animals (Ord. M3267). Thanks to Claudio Zuniga, Ramon Aguilar, Rene Rojas, and Jared Yanez of the Chilean Navy for their help with logistics. To Constanza Cifuentes, Dra. Catherine Dougnac, M.Sc. Cristobal Arredondo, M.Sc. Catalina Pardo, Dra. Iris Caceres, Nathasha Hadow and volunteers for their help with sample collection. The Chilean Antarctic Institute (INACH) for help in sample processing and to Dra. Karin Maldonado for her help with result analysis.</t>
  </si>
  <si>
    <t>10.1111/mms.12564</t>
  </si>
  <si>
    <t>WOS:000511602300013</t>
  </si>
  <si>
    <t>Pitman, RL; Totterdell, J; Wellard, R; Cullen, P; de Boer, M</t>
  </si>
  <si>
    <t>Pitman, Robert L.; Totterdell, John; Wellard, Rebecca; Cullen, Pierce; de Boer, Marijke</t>
  </si>
  <si>
    <t>Long in the tooth: Biological observations from at-sea sightings of strap-toothed beaked whales (Mesoplodon layardii)</t>
  </si>
  <si>
    <t>FUNCTIONAL-MORPHOLOGY; SEXUAL-DIMORPHISM; CETACEA; BIDENS</t>
  </si>
  <si>
    <t>[Pitman, Robert L.] NOAA, Antarctic Ecosyst Res Div, Southwest Fisheries Sci Ctr, Natl Marine Fisheries Serv, 8901 La Jolla Shores Dr, La Jolla, CA 92037 USA; [Totterdell, John] CETREC Cetacean Res, POB 140, Exmouth, WA 6707, Australia; [Wellard, Rebecca] Curtin Univ, Ctr Marine Sci &amp; Technol, GPO Box U1987, Perth, WA 6845, Australia; [Wellard, Rebecca; Cullen, Pierce] Curtin Univ, Project ORCA Orca Res &amp; Conservat Australia, GPO Box U1987, Perth, WA 6845, Australia; [de Boer, Marijke] Seven Seas Marine Consultancy, POB 11422, Amsterdam, Netherlands</t>
  </si>
  <si>
    <t>National Oceanic Atmospheric Admin (NOAA) - USA; Curtin University; Curtin University</t>
  </si>
  <si>
    <t>Pitman, RL (corresponding author), NOAA, Antarctic Ecosyst Res Div, Southwest Fisheries Sci Ctr, Natl Marine Fisheries Serv, 8901 La Jolla Shores Dr, La Jolla, CA 92037 USA.</t>
  </si>
  <si>
    <t>robert.pitman@noaa.gov</t>
  </si>
  <si>
    <t>Wellard, Rebecca/AAW-7310-2020</t>
  </si>
  <si>
    <t>Pitman, Robert/0000-0002-8713-1219</t>
  </si>
  <si>
    <t>Flinders University/Animal Welfare Committee [E460/17]</t>
  </si>
  <si>
    <t>Flinders University/Animal Welfare Committee</t>
  </si>
  <si>
    <t>We thank Legend Charters and Captain Andrew Dundee Johnson and Kyle Simms of the M/V Dhu Force for their cheerful and capable support during our research off Bremer Bay. We also thank Captain A. Nazarov and crew of the M/V Plancius for their efforts and support allowing us to study the whales in the South Atlantic. Research in Australia was conducted under the auspices of Department of Environment/Cetacean Permit: 2014-0007 and Flinders University/Animal Welfare Committee: Project E460/17. A. van Helden provided some thoughtful comments on an earlier draft of this paper; A. van Helden, S. N. G. Howell, and S. Steadman provided photographs for this note.</t>
  </si>
  <si>
    <t>10.1111/mms.12575</t>
  </si>
  <si>
    <t>WOS:000511602300019</t>
  </si>
  <si>
    <t>Daane, JM; Dornburg, A; Smits, P; MacGuigan, DJ; Hawkins, MB; Near, TJ; Detrich, HW; Harris, MP</t>
  </si>
  <si>
    <t>Daane, Jacob M.; Dornburg, Alex; Smits, Patrick; MacGuigan, Daniel J.; Hawkins, M. Brent; Near, Thomas J.; Detrich, H. William, III; Harris, Matthew P.</t>
  </si>
  <si>
    <t>Historical contingency shapes adaptive radiation in Antarctic fishes</t>
  </si>
  <si>
    <t>NATURE ECOLOGY &amp; EVOLUTION</t>
  </si>
  <si>
    <t>EVOLUTION; ALIGNMENT; MODEL; ANTIFREEZE; SELECTION; GENE; TREE</t>
  </si>
  <si>
    <t>Adaptive radiation illustrates links between ecological opportunity, natural selection and the generation of biodiversity. Central to adaptive radiation is the association between a diversifying lineage and the evolution of phenotypic variation that facilitates the use of new environments or resources. However, is not clear whether adaptive evolution or historical contingency is more important for the origin of key phenotypic traits in adaptive radiation. Here we use targeted sequencing of &gt;250,000 loci across 46 species to examine hypotheses concerning the origin and diversification of key traits in the adaptive radiation of Antarctic notothenioid fishes. Contrary to expectations of adaptive evolution, we show that notothenioids experienced a punctuated burst of genomic diversification and evolved key skeletal modifications before the onset of polar conditions in the Southern Ocean. We show that diversifying selection in pathways associated with human skeletal dysplasias facilitates ecologically important variation in buoyancy among Antarctic notothenioid species, and demonstrate the sufficiency of altered trip11, col1a2 and col1a1a function in zebrafish (Danio rerio) to phenocopy skeletal reduction in Antarctic notothenioids. Rather than adaptation being driven by the cooling of the Antarctic, our results highlight the role of historical contingency in shaping the adaptive radiation of notothenioids. Understanding the historical and environmental context for the origin of key traits in adaptive radiations extends beyond reconstructing events that result in evolutionary innovation, as it also provides a context in forecasting the effects of climate change on the stability and evolvability of natural populations.</t>
  </si>
  <si>
    <t>[Daane, Jacob M.; Detrich, H. William, III] Northeastern Univ, Ctr Marine Sci, Dept Marine &amp; Environm Sci, Nahant, MA 01908 USA; [Dornburg, Alex] North Carolina Museum Nat Sci, Raleigh, NC USA; [Smits, Patrick; Hawkins, M. Brent; Harris, Matthew P.] Boston Childrens Hosp, Dept Orthopaed Surg, Orthopaed Res Labs, Boston, MA 02115 USA; [MacGuigan, Daniel J.; Near, Thomas J.] Yale Univ, Dept Ecol &amp; Evolutionary Biol, New Haven, CT USA; [Hawkins, M. Brent] Harvard Univ, Museum Comparat Zool, Cambridge, MA 02138 USA; [Hawkins, M. Brent; Harris, Matthew P.] Harvard Med Sch, Dept Genet, Boston, MA 02115 USA; [Near, Thomas J.] Yale Univ, Peabody Museum Nat Hist, New Haven, CT USA</t>
  </si>
  <si>
    <t>Northeastern University; Harvard University; Boston Children's Hospital; Yale University; Harvard University; Harvard University; Harvard Medical School; Yale University</t>
  </si>
  <si>
    <t>Daane, JM; Detrich, HW (corresponding author), Northeastern Univ, Ctr Marine Sci, Dept Marine &amp; Environm Sci, Nahant, MA 01908 USA.;Harris, MP (corresponding author), Boston Childrens Hosp, Dept Orthopaed Surg, Orthopaed Res Labs, Boston, MA 02115 USA.;Harris, MP (corresponding author), Harvard Med Sch, Dept Genet, Boston, MA 02115 USA.</t>
  </si>
  <si>
    <t>j.daane@northeastern.edu; w.detrich@northeastern.edu; harris@genetics.med.harvard.edu</t>
  </si>
  <si>
    <t>Dornburg, Alex/CAF-1206-2022; Near, Thomas J./K-1204-2012</t>
  </si>
  <si>
    <t>Near, Thomas J./0000-0002-7398-6670; Daane, Jacob/0000-0003-3631-4514; Harris, Matthew/0000-0002-7201-4693; Hawkins, Michael/0000-0002-5164-2893; MacGuigan, Daniel/0000-0001-5930-5931</t>
  </si>
  <si>
    <t>American Heart Association Postdoctoral Fellowship [17POST33660801]; John Simon Guggenheim Fellowship; William F. Milton Fund; National Science Foundation (NSF) [PLR-1444167]; NSF [IOS-1755242]; Bingham Oceanographic Fund from the Peabody Museum of Natural History; Yale University; Children's Orthopaedic Surgery Foundation at Boston Children's Hospital</t>
  </si>
  <si>
    <t>American Heart Association Postdoctoral Fellowship(American Heart Association); John Simon Guggenheim Fellowship; William F. Milton Fund; National Science Foundation (NSF)(National Science Foundation (NSF)National Research Foundation of Korea); NSF(National Science Foundation (NSF)); Bingham Oceanographic Fund from the Peabody Museum of Natural History; Yale University; Children's Orthopaedic Surgery Foundation at Boston Children's Hospital</t>
  </si>
  <si>
    <t>The authors thank E. Snay and L. Oberg in the Department of Nuclear Medicine and Molecular Imaging at Boston Children's Hosptial for assistance in computed tomography of adult specimens. This work was supported in part by American Heart Association Postdoctoral Fellowship (No. 17POST33660801) to J.M.D., the John Simon Guggenheim Fellowship and William F. Milton Fund awarded to M.P.H., the National Science Foundation (NSF) grant (No. PLR-1444167 to H.W.D.), the NSF grant (No. IOS-1755242 to A.D.), the Bingham Oceanographic Fund from the Peabody Museum of Natural History, and Yale University, as well as the Children's Orthopaedic Surgery Foundation at Boston Children's Hospital. This is contribution No. 389 from the Marine Science Center at Northeastern University.</t>
  </si>
  <si>
    <t>2397-334X</t>
  </si>
  <si>
    <t>NAT ECOL EVOL</t>
  </si>
  <si>
    <t>Nat. Ecol. Evol.</t>
  </si>
  <si>
    <t>10.1038/s41559-019-0914-2</t>
  </si>
  <si>
    <t>IG1KM</t>
  </si>
  <si>
    <t>WOS:000473550400022</t>
  </si>
  <si>
    <t>Bode, M; Leis, JM; Mason, LB; Williamson, DH; Harrison, HB; Choukroun, S; Jones, GP</t>
  </si>
  <si>
    <t>Bode, Michael; Leis, Jeffrey M.; Mason, Luciano B.; Williamson, David H.; Harrison, Hugo B.; Choukroun, Severine; Jones, Geoffrey P.</t>
  </si>
  <si>
    <t>Successful validation of a larval dispersal model using genetic parentage data</t>
  </si>
  <si>
    <t>PLOS BIOLOGY</t>
  </si>
  <si>
    <t>MARINE RESERVES; CONNECTIVITY; FISH; POPULATIONS; FLOW; METAPOPULATIONS; RECRUITMENT; CIRCULATION; PERSISTENCE</t>
  </si>
  <si>
    <t>Larval dispersal is a critically important yet enigmatic process in marine ecology, evolution, and conservation. Determining the distance and direction that tiny larvae travel in the open ocean continues to be a challenge. Our current understanding of larval dispersal patterns at management-relevant scales is principally and separately informed by genetic parentage data and biological-oceanographic (biophysical) models. Parentage datasets provide clear evidence of individual larval dispersal events, but their findings are spatially and temporally limited. Biophysical models offer a more complete picture of dispersal patterns at regional scales but are of uncertain accuracy. Here, we develop statistical techniques that integrate these two important sources of information on larval dispersal. We then apply these methods to an extensive genetic parentage dataset to successfully validate a high-resolution biophysical model for the economically important reef fish species Plectropomus maculatus in the southern Great Barrier Reef. Our results demonstrate that biophysical models can provide accurate descriptions of larval dispersal at spatial and temporal scales that are relevant to management. They also show that genetic parentage datasets provide enough statistical power to exclude poor biophysical models. Biophysical models that included species-specific larval behaviour provided markedly better fits to the parentage data than assuming passive behaviour, but incorrect behavioural assumptions led to worse predictions than ignoring behaviour altogether. Our approach capitalises on the complementary strengths of genetic parentage datasets and high-resolution biophysical models to produce an accurate picture of larval dispersal patterns at regional scales. The results provide essential empirical support for the use of accurately parameterised biophysical larval dispersal models in marine spatial planning and management.</t>
  </si>
  <si>
    <t>[Bode, Michael; Mason, Luciano B.] Queensland Univ Technol, Sch Math Sci, Brisbane, Qld, Australia; [Leis, Jeffrey M.] Australian Museum Res Inst, Sydney, NSW, Australia; [Leis, Jeffrey M.] Univ Tasmania, Inst Marine &amp; Antarctic Studies, Hobart, Tas, Australia; [Williamson, David H.; Harrison, Hugo B.; Choukroun, Severine; Jones, Geoffrey P.] James Cook Univ, Arc Ctr Excellence Coral Reef Studies, Townsville, Qld, Australia; [Jones, Geoffrey P.] James Cook Univ, Coll Sci &amp; Engn, Townsville, Qld, Australia</t>
  </si>
  <si>
    <t>Queensland University of Technology (QUT); Australian Museum; University of Tasmania; James Cook University; James Cook University</t>
  </si>
  <si>
    <t>Bode, M (corresponding author), Queensland Univ Technol, Sch Math Sci, Brisbane, Qld, Australia.</t>
  </si>
  <si>
    <t>michael.bode@qut.edu.au</t>
  </si>
  <si>
    <t>Leis, Jeffrey M/JCE-0397-2023; Jones, Geoffrey P./E-9306-2010; Harrison, Hugo/F-6830-2012; Leis, Jeffrey M/E-7502-2012; Bode, Michael/P-1333-2019; Harrison, Hugo B/JJF-5109-2023</t>
  </si>
  <si>
    <t>Leis, Jeffrey M/0000-0003-0603-3447; Jones, Geoffrey P./0000-0002-6244-1245; Harrison, Hugo/0000-0001-8831-0086; Leis, Jeffrey M/0000-0003-0603-3447; Bode, Michael/0000-0002-5886-4421; Harrison, Hugo B/0000-0001-8831-0086; Williamson, David/0000-0001-8447-039X</t>
  </si>
  <si>
    <t>Australian Research Council (ARC) [FT170100274, LP100200561]; Australian Research Council (ARC) DECRA [DE160101141]; Australian Research Council (ARC) Centre of Excellence for Coral Reef Studies; Australian Department of Environment and Energy, through the Marine and Tropical Science Research Facility, National Environmental Research Program, and National Environmental Science Program; Australian Research Council [LP100200561, DE160101141, FT170100274] Funding Source: Australian Research Council</t>
  </si>
  <si>
    <t>Australian Research Council (ARC)(Australian Research Council); Australian Research Council (ARC) DECRA(Australian Research Council); Australian Research Council (ARC) Centre of Excellence for Coral Reef Studies(Australian Research Council); Australian Department of Environment and Energy, through the Marine and Tropical Science Research Facility, National Environmental Research Program, and National Environmental Science Program; Australian Research Council(Australian Research Council)</t>
  </si>
  <si>
    <t>DHW, GPJ, and HBH received funding from Australian Research Council (ARC) Linkage Grant LP100200561 (https://www.arc.gov.au/). MB received funding from Australian Research Council (ARC) Future Fellowship FT170100274 (https://www.arc.gov.au/). HBH was funded by Australian Research Council (ARC) DECRA DE160101141 (https://www.arc.gov.au/). DHW, MB, GPJ, HBH, and SC received funding from the Australian Research Council (ARC) Centre of Excellence for Coral Reef Studies (https://www.arc.gov.au/). GPJ, DHW, HBH, JML, LBM, and SC received funding from the Australian Department of Environment and Energy, through the Marine and Tropical Science Research Facility, National Environmental Research Program, and National Environmental Science Program (https://www.environment.gov.au/). The funders had no role in study design, data collection and analysis, decision to publish, or preparation of the manuscript.</t>
  </si>
  <si>
    <t>1544-9173</t>
  </si>
  <si>
    <t>1545-7885</t>
  </si>
  <si>
    <t>PLOS BIOL</t>
  </si>
  <si>
    <t>PLoS. Biol.</t>
  </si>
  <si>
    <t>e3000380</t>
  </si>
  <si>
    <t>10.1371/journal.pbio.3000380</t>
  </si>
  <si>
    <t>Biochemistry &amp; Molecular Biology; Biology</t>
  </si>
  <si>
    <t>Biochemistry &amp; Molecular Biology; Life Sciences &amp; Biomedicine - Other Topics</t>
  </si>
  <si>
    <t>IN8HV</t>
  </si>
  <si>
    <t>WOS:000478922100026</t>
  </si>
  <si>
    <t>Olmastroni, S; Pompeo, G; Jha, AN; Mori, E; Vannuccini, ML; Fattorini, N; Ademollo, N; Corsi, I</t>
  </si>
  <si>
    <t>Olmastroni, Silvia; Pompeo, Giulia; Jha, Awadhesh N.; Mori, Emiliano; Vannuccini, Maria Luisa; Fattorini, Niccolo; Ademollo, Nicoletta; Corsi, Ilaria</t>
  </si>
  <si>
    <t>Erythrocytes nuclear abnormalities and leukocyte profile of the immune system of Adelie penguins (Pygoscelis adeliae) breeding at Edmonson Point, Ross Sea, Antarctica</t>
  </si>
  <si>
    <t>Adelie penguin; Antarctica; genotoxic damage; immune response; Ross Sea</t>
  </si>
  <si>
    <t>PERSISTENT ORGANIC POLLUTANTS; SPONTANEOUS MICRONUCLEI; BLOOD PARASITES; KING-GEORGE; ICE; INDICATORS; PENINSULA; ROOKERIES; ECOSYSTEM; COLONIES</t>
  </si>
  <si>
    <t>Antarctic seabirds well adapted to extreme environments often deal during their life cycle with sub-optimal conditions and occasionally with severe environmental stress. Climate changes, pollution, habitat loss, increasing human presence can all significantly affect organism's health status from molecular to individual up to population level. In the present study, erythrocyte nuclear abnormalities (ENAs) and white blood cells (WBCs) differential were investigated in 19 adults of Adelie penguin (Pygoscelisadeliae) breeding at Edmonson Point, Antarctic Specially Protected Area (ASPA n. 165) in the Ross Sea. Micronuclei (MN) accounted for 10.50% of observed abnormalities in penguin erythrocytes while kidney-shaped nucleus (KSN) was the most abundant (20.88%). Heterophils (HE) were the most common WBC (36.93%) in agreement with the generic avian leukocytes profile while eosinophils (EO) were the lowest (7.45%). A low number of lymphocytes were detected resulting in a higher heterophils to lymphocytes ratio. ENAs and H:L ratio are confirmed as reliable indexes of penguin's health status since they reflect their individual adaptation during breeding season. These baseline data will be useful for future studies as indicators of penguin's health status mainly as response to environmental changes.</t>
  </si>
  <si>
    <t>[Olmastroni, Silvia; Pompeo, Giulia; Vannuccini, Maria Luisa; Corsi, Ilaria] Univ Siena, Dipartimento Sci Fis Terra &amp; Ambiente, Via Mattioli 4, I-53100 Siena, Italy; [Olmastroni, Silvia] Museo Nazl Antartide Felice Ippolito, Via Laterino 8, I-53100 Siena, Italy; [Jha, Awadhesh N.] Univ Plymouth, Sch Biol &amp; Marine Sci, Plymouth PL4 8AA, Devon, England; [Mori, Emiliano; Fattorini, Niccolo] Univ Siena, Dipartimento Sci Vita, Via Mattioli 4, I-53100 Siena, Italy; [Ademollo, Nicoletta] CNR, Ist Ric Acque, Via Salaria Km 29,300 CP10, I-00015 Rome, Italy</t>
  </si>
  <si>
    <t>University of Siena; University of Plymouth; University of Siena; Consiglio Nazionale delle Ricerche (CNR)</t>
  </si>
  <si>
    <t>Olmastroni, S (corresponding author), Univ Siena, Dipartimento Sci Fis Terra &amp; Ambiente, Via Mattioli 4, I-53100 Siena, Italy.;Olmastroni, S (corresponding author), Museo Nazl Antartide Felice Ippolito, Via Laterino 8, I-53100 Siena, Italy.</t>
  </si>
  <si>
    <t>silvia.olmastroni@unisi.it</t>
  </si>
  <si>
    <t>Fattorini, Niccolò/AAJ-9976-2020; ademollo, nicoletta/AAY-4811-2020; Mori, Emiliano/AAA-8803-2022; Corsi, Ilaria/D-3795-2012; OLMASTRONI, Silvia/G-6267-2018</t>
  </si>
  <si>
    <t>Fattorini, Niccolò/0000-0001-8022-7464; Mori, Emiliano/0000-0001-8108-7950; Corsi, Ilaria/0000-0002-1811-3041; OLMASTRONI, Silvia/0000-0002-9319-9914; Jha, Awadhesh/0000-0001-9660-4308; Vannuccini, Maria Luisa/0000-0002-1465-1926</t>
  </si>
  <si>
    <t>[PNRA2013 AZ1.22]</t>
  </si>
  <si>
    <t>This research was funded and carried out in the framework of Project PNRA2013 AZ1.22. Conservation of a mesopredator sensitive to environmental changes.</t>
  </si>
  <si>
    <t>10.1007/s00300-019-02522-3</t>
  </si>
  <si>
    <t>WOS:000475570000009</t>
  </si>
  <si>
    <t>Warburton, J; Hademenos, G; Eilers-Guttensohn, A; Garay, L; Worssam, JB</t>
  </si>
  <si>
    <t>Warburton, Janet; Hademenos, George; Eilers-Guttensohn, Alice (Alex); Garay, Lollie; Worssam, Jillian Beth</t>
  </si>
  <si>
    <t>Inspiring the next generation of polar scientists: Classroom extensions from teachers with research experiences</t>
  </si>
  <si>
    <t>PolarTREC-Teachers and Researchers Exploring and Collaborating (PolarTREC) has provided the opportunity for over 160 K-12 teachers and informal science educators from the USA to work directly with scientists in the Arctic and the Antarctic. As a Teacher Research Experience (TRE), PolarTREC has engaged teachers with a unique professional development opportunity to increase their teacher content knowledge and learn about the polar regions by partnering with academic polar scientists who are conducting scientific research in the field. Stimulated by the IPY 2007-2008, PolarTREC has sent teachers on field expeditions for over a decade, and during that time has witnessed teachers not only experiencing the polar regions and bringing that experience back into their classrooms but also seeing their students learn more about the polar regions and become more interested in polar science. It is this secondary effect that is truly inspiring. This article profiles the journey to the polar regions of four PolarTREC teachers through their own perspectives and how they translated that experience into educational outreach opportunities.</t>
  </si>
  <si>
    <t>[Warburton, Janet] Arctic Res Consortium US, PolarTREC, 3535 Coll Rd,Suite 101, Fairbanks, AK 99709 USA; [Hademenos, George] Richardson High Sch, 1250 West Belt Line Rd, Richardson, TX 75080 USA; [Eilers-Guttensohn, Alice (Alex)] Pink Palace Museum, 3050 Cent Ave, Memphis, TN 38111 USA; [Garay, Lollie] Baylor Coll Med, Ctr Educ Outreach, One Baylor Plaza, Houston, TX 77030 USA; [Worssam, Jillian Beth] Sinagua Middle Sch, 3950 E Butler Ave, Flagstaff, AZ 86004 USA</t>
  </si>
  <si>
    <t>Baylor College of Medicine</t>
  </si>
  <si>
    <t>Hademenos, G (corresponding author), Richardson High Sch, 1250 West Belt Line Rd, Richardson, TX 75080 USA.</t>
  </si>
  <si>
    <t>george.hademenos@risd.org</t>
  </si>
  <si>
    <t>National Science Foundation [0632401, 0956825, 1525880, 1630463]; Division Of Research On Learning; Direct For Education and Human Resources [0632401] Funding Source: National Science Foundation</t>
  </si>
  <si>
    <t>National Science Foundation(National Science Foundation (NSF)); Division Of Research On Learning; Direct For Education and Human Resources(National Science Foundation (NSF)NSF - Directorate for STEM Education (EDU))</t>
  </si>
  <si>
    <t>This work was supported by the National Science Foundation (Awards 0632401, 0956825, 1525880, and 1630463). Any opinions, findings, and conclusions or recommendations expressed in this article are those of the Principal Investigator and coordinating team and do not necessarily reflect the views of the National Science Foundation.</t>
  </si>
  <si>
    <t>10.1017/S0032247419000317</t>
  </si>
  <si>
    <t>WOS:000501820000003</t>
  </si>
  <si>
    <t>Meduna, V</t>
  </si>
  <si>
    <t>Meduna, Veronika</t>
  </si>
  <si>
    <t>The changing views of Antarctica</t>
  </si>
  <si>
    <t>Antarctica; Science Journalism; ANDRILL; Climate change; Global change processes</t>
  </si>
  <si>
    <t>Reporting on scientific research from Antarctica faces familiar tensions between journalism and science. Among the particular obstacles are the mainstream media's focus on novelty and the constant need for new angles and new voices. While science journalism has been gaining recognition, many media organisations continue to view it as secondary to more traditional areas of reporting such as politics, business and sports. At a time when we face several environmental crises, that is arguably no longer representative of reality. Coverage of Antarctic issues, including science, could improve if editorial teams were more cross-disciplinary to extend beyond each individual's boundaries of expertise.</t>
  </si>
  <si>
    <t>[Meduna, Veronika] Victoria Univ Wellington, Wellington, New Zealand</t>
  </si>
  <si>
    <t>Victoria University Wellington</t>
  </si>
  <si>
    <t>Meduna, V (corresponding author), Victoria Univ Wellington, Wellington, New Zealand.</t>
  </si>
  <si>
    <t>veronika.meduna@vuw.ac.nz</t>
  </si>
  <si>
    <t>Meduna, Veronika/0000-0002-5172-4303</t>
  </si>
  <si>
    <t>10.1017/S0032247419000342</t>
  </si>
  <si>
    <t>WOS:000501820000004</t>
  </si>
  <si>
    <t>Zhang, TT; Xu, J; Wang, YM; Xue, CH</t>
  </si>
  <si>
    <t>Zhang, Tian-Tian; Xu, Jie; Wang, Yu-Ming; Xue, Chang-Hu</t>
  </si>
  <si>
    <t>Health benefits of dietary marine DHA/EPA-enriched glycerophospholipids</t>
  </si>
  <si>
    <t>PROGRESS IN LIPID RESEARCH</t>
  </si>
  <si>
    <t>DHA/EPA-enriched glycerophospholipids; Health benefits; Structure-activity relationship; Mechanism</t>
  </si>
  <si>
    <t>POLYUNSATURATED FATTY-ACIDS; INDUCED COGNITIVE DEFICIENCY; IMPROVES MEMORY IMPAIRMENT; ALPHA-LINOLENIC ACID; ANTARCTIC KRILL OIL; CANCER-CELL-LINES; DOCOSAHEXAENOIC ACID; ALZHEIMERS-DISEASE; OXIDATIVE STRESS; LIPID-METABOLISM</t>
  </si>
  <si>
    <t>A typical feature of marine foods is that they are rich in docosahexaenoic acid (DHA) and eicosapentaenoic acid (EPA), which have formed a large-scale global industry. DHA/EPA phospholipids (PLs) are ubiquitous in marine foods and are the main DHA/EPA molecular forms in fish roe, shrimp and shellfish. Much attention has been focused on the bioavailability and health benefits that are influenced by the type and esterified form of dietary fatty acids. Recently, numerous findings have suggested that dietary DHA/EPA-PLs are superior to the triacylglycerol (TAG) or ethyl ester forms in exerting their functional properties through specific mechanisms of action. However, there is no comprehensive review covering the health benefits of dietary marine DHA/EPA-enriched PLs. In this paper, we review publications on the nutritional functions of DHA/EPA-enriched glycerophospholipids, including the effects on brain function, antitumor activity, lipid metabolism, and glucose metabolism. The current research status regarding the active ingredients, sources, models, treatment, duration, and mechanisms are presented. In addition, the way in which the structure-activity relationship of DHA/EPA-PLs is affected by ester-bond structure at the sn-1 position, fatty acid at the sn-2 position and polar head group at the sn-3 position is also reviewed. DHA/EPA-PLs are one of the major n-3 long-chain polyunsaturated fatty acid dietary forms in our diet, and we should maximize the ability to fully exploit the nutritional properties of DHA/EPA.</t>
  </si>
  <si>
    <t>[Zhang, Tian-Tian; Xu, Jie; Wang, Yu-Ming; Xue, Chang-Hu] Ocean Univ China, Coll Food Sci &amp; Engn, Qingdao 266003, Shandong, Peoples R China; [Wang, Yu-Ming; Xue, Chang-Hu] Qingdao Natl Lab Marine Sci &amp; Technol, Lab Marine Drugs &amp; Biol Prod, Qingdao 266237, Shandong, Peoples R China</t>
  </si>
  <si>
    <t>Ocean University of China; Laoshan Laboratory</t>
  </si>
  <si>
    <t>Wang, YM; Xue, CH (corresponding author), Ocean Univ China, Coll Food Sci &amp; Engn, Qingdao 266003, Shandong, Peoples R China.;Wang, YM; Xue, CH (corresponding author), Qingdao Natl Lab Marine Sci &amp; Technol, Lab Marine Drugs &amp; Biol Prod, Qingdao 266237, Shandong, Peoples R China.</t>
  </si>
  <si>
    <t>wangyuming@ouc.edu.cn; xuech@ouc.edu.cn</t>
  </si>
  <si>
    <t>zhang, tian/GZK-6001-2022; yuming, wang/K-8179-2012</t>
  </si>
  <si>
    <t>National Key R&amp;D Program of China [2018YFD0901103]; National Natural Science Foundation of China [31901688]; Natural Science Youth Foundation of Shandong Province [ZR2019QC004]; China Postdoctoral Science Foundation [2017M620294]; National Natural Science Foundation of China Shandong Joint Fund for Marine Science Research Centers [U1606403]; Fundamental Research Funds for the Central Universities [201762028, 201812017]; Laboratory for Marine Drugs and Bioproducts of Pilot National Laboratory for Marine Science and Technology (Qingdao) [LMDBKF201807]; Qingdao Postdoctoral Application Foundation</t>
  </si>
  <si>
    <t>National Key R&amp;D Program of China; National Natural Science Foundation of China(National Natural Science Foundation of China (NSFC)); Natural Science Youth Foundation of Shandong Province(Natural Science Foundation of Shandong Province); China Postdoctoral Science Foundation(China Postdoctoral Science Foundation); National Natural Science Foundation of China Shandong Joint Fund for Marine Science Research Centers; Fundamental Research Funds for the Central Universities(Fundamental Research Funds for the Central Universities); Laboratory for Marine Drugs and Bioproducts of Pilot National Laboratory for Marine Science and Technology (Qingdao); Qingdao Postdoctoral Application Foundation</t>
  </si>
  <si>
    <t>This work was supported by National Key R&amp;D Program of China (2018YFD0901103), National Natural Science Foundation of China (31901688), Natural Science Youth Foundation of Shandong Province (ZR2019QC004), China Postdoctoral Science Foundation funded project (2017M620294), National Natural Science Foundation of China Shandong Joint Fund for Marine Science Research Centers (U1606403), the Fundamental Research Funds for the Central Universities (No. 201762028 and 201812017), Laboratory for Marine Drugs and Bioproducts of Pilot National Laboratory for Marine Science and Technology (Qingdao, LMDBKF201807), and Qingdao Postdoctoral Application Foundation funded project.</t>
  </si>
  <si>
    <t>0163-7827</t>
  </si>
  <si>
    <t>1873-2194</t>
  </si>
  <si>
    <t>PROG LIPID RES</t>
  </si>
  <si>
    <t>Prog. Lipid Res.</t>
  </si>
  <si>
    <t>10.1016/j.plipres.2019.100997</t>
  </si>
  <si>
    <t>Biochemistry &amp; Molecular Biology; Nutrition &amp; Dietetics</t>
  </si>
  <si>
    <t>IZ6CP</t>
  </si>
  <si>
    <t>WOS:000487169700004</t>
  </si>
  <si>
    <t>Liu, HW; Yu, B; Fu, JJ; Li, YM; Yang, RQ; Zhang, QH; Liang, Y; Yin, YG; Hu, LG; Shi, JB; Jiang, GB</t>
  </si>
  <si>
    <t>Liu, Hongwei; Yu, Ben; Fu, Jianjie; Li, Yingming; Yang, Ruiqiang; Zhang, Qinghua; Liang, Yong; Yin, Yongguang; Hu, Ligang; Shi, Jianbo; Jiang, Guibin</t>
  </si>
  <si>
    <t>Different circulation history of mercury in aquatic biota from King George Island of the Antarctic</t>
  </si>
  <si>
    <t>ENVIRONMENTAL POLLUTION</t>
  </si>
  <si>
    <t>Mercury isotope; Antarctic; Methylmercury source; Photo-degradation</t>
  </si>
  <si>
    <t>ESTUARINE FOOD WEBS; ISOTOPE FRACTIONATION; FILDES PENINSULA; TROPHIC TRANSFER; HG ISOTOPES; METHYLMERCURY; FISH; BIOACCUMULATION; DEPLETION; CONTAMINATION</t>
  </si>
  <si>
    <t>To trace the circulation history of aquatic bioavailable Hg in the Antarctic, the species and isotopic compositions of Hg in sediment, Archaeogastropoda (Agas), Neogastropoda (Ngas), and fish collected from King George Island were studied in detail. Positive mass independent fractionation (MIF) was observed and positively correlated with the percentages of methylmercury (MeHg%) in Agas and Ngas, suggesting an effect of MeHg accumulation during trophic transfer on MIF signatures. However, both the ratios of Delta Hg-199/delta Hg-202 and Delta Hg-199/Delta Hg-201 indicated different circulation histories of Hg in Agas, Ngas, and fish. The microbial methylation in sediment was the primary source of MeHg in Agas and Ngas (Delta Hg-199/delta Hg-202 similar to 0, Delta Hg-199/Delta Hg-201 similar to 1.00). In contrast, the MeHg in fish (Delta Hg-199/delta Hg-202 = 0.55 +/- 0.06, Delta Hg-199/Delta Hg-201 1.19 +/- 0.17) came from the combined sources of residual MeHg which had sunk from the surface water and microbial-methylated MeHg in sediments, and the bioavailable Hg in the sediments contributed to approximately 44% of the total Hg in fish. Subsequently, the Delta Hg-199 values of bioavailable MeHg and IHg in sediments were quantitatively calculated, which provided key end-member information for future source apportionment in the Antarctic and other pelagic regions. It was also found that the Hg accumulated in Agas and Ngas had no history of MeHg photo-degradation, indicating that the methylated Hg in benthic zones suffered little photo-degradation and thus presented high bioavailability and environmental risk. (C) 2019 Elsevier Ltd. All rights reserved.</t>
  </si>
  <si>
    <t>[Liu, Hongwei; Yu, Ben; Fu, Jianjie; Li, Yingming; Yang, Ruiqiang; Zhang, Qinghua; Yin, Yongguang; Hu, Ligang; Shi, Jianbo; Jiang, Guibin] Chinese Acad Sci, State Key Lab Environm Chem &amp; Ecotoxicol, Res Ctr Ecoenvironm Sci, Beijing 100085, Peoples R China; [Liu, Hongwei; Shi, Jianbo; Jiang, Guibin] Univ Chinese Acad Sci, Coll Resources &amp; Environm, Beijing 100049, Peoples R China; [Liang, Yong; Shi, Jianbo] Jianghan Univ, Inst Environm &amp; Hlth, Wuhan 430056, Hubei, Peoples R China</t>
  </si>
  <si>
    <t>Chinese Academy of Sciences; Research Center for Eco-Environmental Sciences (RCEES); Chinese Academy of Sciences; University of Chinese Academy of Sciences, CAS; Jianghan University</t>
  </si>
  <si>
    <t>Shi, JB (corresponding author), Chinese Acad Sci, State Key Lab Environm Chem &amp; Ecotoxicol, Res Ctr Ecoenvironm Sci, Beijing 100085, Peoples R China.</t>
  </si>
  <si>
    <t>jbshi@rcees.ac.cn</t>
  </si>
  <si>
    <t>Fu, Jianjie/ABI-2640-2020; zhang, qinghua/HMP-3611-2023; Yin, Yongguang/D-1695-2010; wang, hui/GRS-4730-2022; liu, yuchen/GYQ-6286-2022; Shi, Jianbo/B-1785-2012; ZHANG, XUCHEN/KBB-7989-2024; Hu, Ligang/A-6991-2008; Liang, Yong/AAB-3942-2021</t>
  </si>
  <si>
    <t>zhang, qinghua/0000-0002-9707-4051; Shi, Jianbo/0000-0003-2637-1929; Hu, Ligang/0000-0002-6213-4720; Yin, Yongguang/0000-0002-7287-8598</t>
  </si>
  <si>
    <t>CAS Interdisciplinary Innovation Team [JCTD-2018-04]; National Basic Research Program of China [2015CB453101]; National Natural Science Foundation of China [41673118, 41877367, 41676183]</t>
  </si>
  <si>
    <t>CAS Interdisciplinary Innovation Team; National Basic Research Program of China(National Basic Research Program of China); National Natural Science Foundation of China(National Natural Science Foundation of China (NSFC))</t>
  </si>
  <si>
    <t>The authors would thank Chinese Arctic and Antarctic Ministration for the arrangement during 26th, 29th, and 34th Chinese Antarctic Expedition. This work was supported by the CAS Interdisciplinary Innovation Team (JCTD-2018-04), the National Basic Research Program of China (2015CB453101), and the National Natural Science Foundation of China (41673118, 41877367, and 41676183).</t>
  </si>
  <si>
    <t>0269-7491</t>
  </si>
  <si>
    <t>1873-6424</t>
  </si>
  <si>
    <t>ENVIRON POLLUT</t>
  </si>
  <si>
    <t>Environ. Pollut.</t>
  </si>
  <si>
    <t>10.1016/j.envpol.2019.04.113</t>
  </si>
  <si>
    <t>IC6NG</t>
  </si>
  <si>
    <t>WOS:000471088200095</t>
  </si>
  <si>
    <t>Casà, MV; van Mourik, LM; Weijs, L; Mueller, J; Nash, SB</t>
  </si>
  <si>
    <t>Casa, Maria Valeria; van Mourik, Louise M.; Weijs, Liesbeth; Mueller, Jochen; Nash, Susan Bengtson</t>
  </si>
  <si>
    <t>First detection of short-chain chlorinated paraffins (SCCPs) in humpback whales (Megaptera novaeangliae) foraging in Antarctic waters</t>
  </si>
  <si>
    <t>Short chain chlorinated paraffins; Humpback whales; Antarctica; Persistent organic pollutants; Long range atmospheric transport</t>
  </si>
  <si>
    <t>PERSISTENT ORGANIC POLLUTANTS; ST-LAWRENCE-RIVER; N-ALKANES; PARTITION-COEFFICIENTS; FILDES PENINSULA; MARINE MAMMALS; CHINA; C-10-C-13; BURDENS; BLUBBER</t>
  </si>
  <si>
    <t>Short-chain chlorinated paraffins (SCCPs) are particularly prone to environmental dispersal through long range atmospheric transport. Consequently, they have been detected in biota and environmental matrices at both the North Pole and South Pole. This study shows the first detection of SCCPs in southern hemisphere humpback whales feeding in Antarctic waters. Blubber of specimens stranded along the Australian coastline was analysed and SCCPs were detected in 7 out of 9 individuals. Levels of SCCPs detected in this study were generally low with concentrations up to only 46 ng/g lw. These results were significantly lower than those detected in Northern Hemisphere odontocetes from previous studies, although no reported burdens in northern hemisphere baleen whales are available for comparison. Both the highest level and lowest ( C-13. Further investigation is needed in order to evaluate the presence and distribution of SCCPs in the remote Antarctica ecosystem, and delineate longer term environmental consequences of recent inclusion of SCCPs under Annex A of the Stockholm Convention, securing their phase out in ratifying nations. (C) 2019 Elsevier Ltd. All rights reserved.</t>
  </si>
  <si>
    <t>[Casa, Maria Valeria; Nash, Susan Bengtson] Griffith Univ, Sch Environm &amp; Sci, EFRI, 170 Kessels Rd, Nathan, Qld 4111, Australia; [van Mourik, Louise M.] Vrije Univ, Fac Sci, Dept Environm &amp; Hlth E&amp;H, Boelelaan 1087, NL-1081 HV Amsterdam, Netherlands; [van Mourik, Louise M.; Mueller, Jochen] Univ Queensland, Fac Hlth &amp; Behav Sci, QAEHS, 20 Cornwall St, Woolloongabba, Qld 4102, Australia; [Weijs, Liesbeth] Griffith Univ, Sch Environm &amp; Sci, Australian Rivers Inst, Southport, Qld 4222, Australia</t>
  </si>
  <si>
    <t>Griffith University; Vrije Universiteit Amsterdam; University of Queensland; Griffith University; Griffith University - Gold Coast Campus</t>
  </si>
  <si>
    <t>Casà, MV (corresponding author), Griffith Univ, Sch Environm &amp; Sci, EFRI, 170 Kessels Rd, Nathan, Qld 4111, Australia.</t>
  </si>
  <si>
    <t>valeria.casa@griffithuni.edu.au</t>
  </si>
  <si>
    <t>Bengtson Nash, Susan/GMX-4611-2022; Bengtson Nash, Susan/I-3942-2015; Mueller, Jochen F/C-6241-2008; van Mourik, Louise/P-4909-2016; Weijs, Liesbeth/B-6731-2016</t>
  </si>
  <si>
    <t>Bengtson Nash, Susan/0000-0001-5928-0850; Bengtson Nash, Susan/0000-0001-5928-0850; van Mourik, Louise/0000-0003-3536-8895; Weijs, Liesbeth/0000-0002-2399-1711; Mueller, Jochen/0000-0002-0000-1973</t>
  </si>
  <si>
    <t>Griffith University</t>
  </si>
  <si>
    <t>Griffith University(Griffith University - Gold Coast Campus)</t>
  </si>
  <si>
    <t>This research did not receive any specific grant from funding agencies in the public, commercial, or not-for-profit sectors. M. V. Casa acknowledges two PhD scholarships from Griffith University.</t>
  </si>
  <si>
    <t>10.1016/j.envpol.2019.04.103</t>
  </si>
  <si>
    <t>WOS:000471088200102</t>
  </si>
  <si>
    <t>Hrushikesh, H; Prabhakar, N; Bhattacharya, A</t>
  </si>
  <si>
    <t>Hrushikesh, H.; Prabhakar, N.; Bhattacharya, A.</t>
  </si>
  <si>
    <t>Mesoproterozoic P-T-t-d history in the Vinjamuru domain, Nellore schist belt (SE India), and implications for SE India-East Antarctica correlation</t>
  </si>
  <si>
    <t>PRECAMBRIAN RESEARCH</t>
  </si>
  <si>
    <t>Nellore schist belt; SE India; Garnet-staurolite-kyanite schist; P-T-t-d path; Monazite dating; East Antarctica</t>
  </si>
  <si>
    <t>HIGH-TEMPERATURE METAMORPHISM; ZIRCON U-PB; 2-STAGE GRANULITE FORMATION; ARC ONGOLE DOMAIN; A-TYPE GRANITE; ELECTRON-MICROPROBE; GHATS BELT; NAPIER COMPLEX; ANDHRA-PRADESH; SOUTHERN INDIA</t>
  </si>
  <si>
    <t>The Vinjamuru Domain is an important crustal segment in the Nellore schist belt (NSB) and the tectono-metamorphic evolution of the belt provides insights into Proterozoic orogenesis in southeastern India, and is also relevant to an Indo-Antarctic correlation in the Late Paleoproterozoic and Middle Mesoproterozoic. Garnet-staurolite-kyanite bearing metapelites in this domain exhibit three metamorphic stages, e.g. M-1S, M-2S and M-3S in the Saidapuram-Sangam area (sector-S) and M-1N, M-2N and M-3N in the Vinjamuru-Malakonda area (sector-N). In both sectors, the metapelites exhibit shallow foliation (S-2) axial planar to recumbent folds (F-2) of an earlier schistosity (S-1), and overprinted by gently-plunging upright F-3 folds, with axial planar fabric (S-3) trending north in sector-S, and NNE in sector-N. Syn-D-3S garnet + staurolite + kyanite + muscovite + biotite + quartz + ilmenite plagioclase and garnet (late-D-2N to early-D-3N) + kyanite + muscovite + biotite + quartz + ilmenite +/- plagioclase +/- staurolite assemblages characterize the peak metamorphic episodes in the sector-S (M-3S, P = 8.8-9.2 kbar, T = 630-650 degrees C) and sector-N (M-3N, P = 6.5-7.5 kbar, T = 620-640 degrees C) respectively. The peak P-T conditions in the metapelites (M-3S/M-3N) are broadly contemporaneous with the steep-dipping S-3S in sector-S and shallow-dipping S-2N in sector-N. Total-Pb monazite dating in the chemically distinct monazite domains yields age populations at 1.65-1.55 Ga, 1.50-1.40 Ga, 1.38-1.25 Ga and 0.84-0.76 Ga. The oldest age population (1.65-1.55 Ga) possibly corresponds to large-scale reworking of the pre-existing crust in the Vinjamuru domain. Subsequently, the domain experienced prograde metamorphism (M-1S/M-1N-M-2S/M-2N) between 1.50 and 1.40 Ga, which may be attributed to a mid-crustal shortening within the NSB. The 1.38-1.25 Ga ages correspond to upper amphibolite facies metamorphism (M-3S/M-3N) and coincides with widespread felsic plutonism in the NSB. The Neoproterozoic ages (0.84-0.76 Ga) arguably represent an alteration event that affected the NSB during Rodinia supercontinent breakup. The Mesoproterozoic metamorphism and the long-lived orogenic events (1.65-0.76 Ga) in the Vinjamuru domain are similar to those recorded in the basement rocks of East Antarctica, suggesting a possible tectonic linkage along accretionary margins.</t>
  </si>
  <si>
    <t>[Hrushikesh, H.; Prabhakar, N.] Indian Inst Technol, Dept Earth Sci, Mumbai 400076, Maharashtra, India; [Bhattacharya, A.] Indian Inst Technol, Dept Geol &amp; Geophys, Kharagpur 721302, W Bengal, India</t>
  </si>
  <si>
    <t>Indian Institute of Technology System (IIT System); Indian Institute of Technology (IIT) - Bombay; Indian Institute of Technology System (IIT System); Indian Institute of Technology (IIT) - Kharagpur</t>
  </si>
  <si>
    <t>Prabhakar, N (corresponding author), Indian Inst Technol, Dept Earth Sci, Mumbai 400076, Maharashtra, India.</t>
  </si>
  <si>
    <t>prabhakarnaraga@iitb.ac.in</t>
  </si>
  <si>
    <t>Bhattacharya, Avik/AAJ-4404-2020</t>
  </si>
  <si>
    <t>University Grants Commission (UGC), New Delhi (India); Department of Science and Technology (DST, India) fast track project [SR/FTP/ES-5/2014]; Indian Institute of Technology (IIT) Bombay seed-grant project [13IRCCSG025]; DST [IR/S4/ESF-16/2009]</t>
  </si>
  <si>
    <t>University Grants Commission (UGC), New Delhi (India)(University Grants Commission, India); Department of Science and Technology (DST, India) fast track project; Indian Institute of Technology (IIT) Bombay seed-grant project; DST(Department of Science &amp; Technology (India))</t>
  </si>
  <si>
    <t>The current research work is a part of HH's doctoral thesis. University Grants Commission (UGC), New Delhi (India) provided research fellowship to HH. PN acknowledges the financial support provided by the Department of Science and Technology (DST, India) fast track project (SR/FTP/ES-5/2014) and the Indian Institute of Technology (IIT) Bombay seed-grant project (13IRCCSG025). HH and PN are grateful to J. K. Aravind for introducing the critical locations in Nellore schist belt. We thank Tanzil Deshmukh and S. Surya for help during the various field sessions. All mineral analyses were performed using the DST funded (IRPHA scheme grant no. IR/S4/ESF-16/2009) electron microprobe analyzer in the Department of Earth Sciences at IIT Bombay, India. We thank S. C. Patel for extending the EPMA laboratory facility. The authors thank Javed M Shaikh, Anil Champathi and Prem Kumar Verma for their assistance with the EPMA and ICP-AES analyses. We thank Prof. Dave Waters and two anonymous journal reviewers for their detailed comments on this manuscript; the comments helped to greatly improve the quality and styling of the manuscript. We profoundly thank Natasha Wodicka for her very careful review of the manuscript; the authors acknowledge R. Parrish and G. Zhao for their editorial handling of the manuscript.</t>
  </si>
  <si>
    <t>0301-9268</t>
  </si>
  <si>
    <t>1872-7433</t>
  </si>
  <si>
    <t>PRECAMBRIAN RES</t>
  </si>
  <si>
    <t>Precambrian Res.</t>
  </si>
  <si>
    <t>10.1016/j.precamres.2019.04.002</t>
  </si>
  <si>
    <t>ID0FC</t>
  </si>
  <si>
    <t>WOS:000471358100015</t>
  </si>
  <si>
    <t>Dalluge, JJ; Brown, EC; Connell, LB</t>
  </si>
  <si>
    <t>Dalluge, Joseph J.; Brown, Elizabeth C.; Connell, Laurie B.</t>
  </si>
  <si>
    <t>Toward a rapid method for the study of biodiversity in cold environments: the characterization of psychrophilic yeasts by MALDI-TOF mass spectrometry</t>
  </si>
  <si>
    <t>Biodiversity; Fungi; Arctic; Antarctic; Yeasts; Phylogeny; Systematics</t>
  </si>
  <si>
    <t>DESORPTION IONIZATION-TIME; MICROORGANISMS; IDENTIFICATION; DIVERSITY; FROZEN; SOIL</t>
  </si>
  <si>
    <t>To investigate the potential of matrix-assisted laser desorption ionization mass spectrometry (MALDI-TOF/MS) as a platform to support biodiversity and phylogenetic studies of psychrophilic yeasts in cold environments, the technique was employed to rapidly characterize and distinguish three psychrophilic yeasts (Rhodotorula mucilaginosa, Naganishia vishniacii, and Dioszegia cryoxerica) from three mesophilic counterparts (Saccharomyces cerevisiae Cry Havoc, S. cerevisiae California V Ale, and S. pastorianus). A detailed workflow for providing reproducible mass spectral fingerprints of low molecular weight protein/peptide features specific to the organisms studied is presented. The potential of this approach as a tool in the study of biodiversity, systematics, and phylogeny of psychrophilic microorganisms is highlighted.</t>
  </si>
  <si>
    <t>[Dalluge, Joseph J.; Brown, Elizabeth C.] Univ Minnesota, Dept Chem, 207 Pleasant St SE, Minneapolis, MN 55455 USA; [Connell, Laurie B.] Univ Maine, Sch Marine Sci, Orono, ME 04469 USA</t>
  </si>
  <si>
    <t>University of Minnesota System; University of Minnesota Twin Cities; University of Maine System; University of Maine Orono</t>
  </si>
  <si>
    <t>Dalluge, JJ (corresponding author), Univ Minnesota, Dept Chem, 207 Pleasant St SE, Minneapolis, MN 55455 USA.</t>
  </si>
  <si>
    <t>jdalluge@umn.edu</t>
  </si>
  <si>
    <t>Connell, Laurie/0009-0001-3892-8643</t>
  </si>
  <si>
    <t>CHIYODA FIRST BLDG EAST, 3-8-1 NISHI-KANDA, CHIYODA-KU, TOKYO, 101-0065, JAPAN</t>
  </si>
  <si>
    <t>10.1007/s00792-019-01097-5</t>
  </si>
  <si>
    <t>IC5OX</t>
  </si>
  <si>
    <t>WOS:000471018700009</t>
  </si>
  <si>
    <t>Swanger, KM; Babcock, E; Winsor, K; Valletta, RD</t>
  </si>
  <si>
    <t>Swanger, Kate M.; Babcock, Esther; Winsor, Kelsey; Valletta, Rachel D.</t>
  </si>
  <si>
    <t>Rock glaciers in Pearse Valley, Antarctica record outlet and alpine glacier advance from MIS 5 through the Holocene</t>
  </si>
  <si>
    <t>McMurdo Dry Valleys; Stable isotopes; Ground-penetrating radar; Permafrost</t>
  </si>
  <si>
    <t>MCMURDO DRY VALLEYS; SOUTHERN VICTORIA LAND; GROUNDED ICE-SHEET; TAYLOR VALLEY; BEACON VALLEY; ROSS SEA; DRIFT; SUBLIMATION; CHRONOLOGY; REMNANT</t>
  </si>
  <si>
    <t>Rock glaciers and buried ice are common in the McMurdo Dry Valleys, Antarctica. In central Taylor and Pearse valleys rock glaciers cover at least 10% of the valley walls and occur at elevations of 300-800 m above sea level. We investigate the origin and geomorphology of a similar to 1.5 km(2) rock glacier in northern Pearse Valley, the westernmost extension of Taylor Valley. The rock glacier is cored by sporadic deposits of clean ice that are covered by sand-rich, stratified sediments and dissected by five glacial meltwater streams. Ground-penetrating radar data indicate that the clean buried ice ranges from 1 to 14 m thick and contains dipping sediment-rich bands. Water stable isotopes from five cores extracted from the buried ice support multiple ice sources: (1) recent ice from alpine glaciers and (2) ancient, stagnant ice from East Antarctic outlet Taylor Glacier. The eastern half of the rock glacier lies directly downslope from alpine Fountain Glacier, which is actively feeding ice, sediments and water to the rock glacier via-1 km-long ice falls. The buried ice in this section of the rock glacier is relatively heavy isotopically and similar to Fountain Glacier (delta O-18 of -36 parts per thousand to -32 parts per thousand). The ice that cores the western half of the rock glacier is isotopically light and similar to Taylor Glacier (delta O-18 of -43 parts per thousand to -40 parts per thousand. The last documented advance of Taylor Glacier that was sufficient to reach the rock glacier position occurred during Marine Isotope Stage 5 (70-125 ka), implying long-term preservation of the ice. The age and origin of buried ice in Pearse Valley has implications for rock glaciers throughout the Antarctic. Rock glaciers (1) are potentially long-term archives of glacial ice with complex depositional histories and (2) could be used to map previous advances of both outlet and alpine glaciers. (C) 2019 Published by Elsevier B.V.</t>
  </si>
  <si>
    <t>[Swanger, Kate M.; Winsor, Kelsey] Univ Massachusetts, Dept Environm Earth &amp; Atmospher Sci, Lowell, MA 01854 USA; [Babcock, Esther] Log Geophys &amp; Analyt LLG, Anchorage, AK USA; [Winsor, Kelsey] No Arizona Univ, Sch Earth Sci &amp; Environm Sustainabil, Flagstaff, AZ 86011 USA; [Valletta, Rachel D.] Univ Penn, Dept Earth &amp; Environm Sci, Philadelphia, PA 19104 USA</t>
  </si>
  <si>
    <t>University of Massachusetts System; University of Massachusetts Lowell; Northern Arizona University; University of Pennsylvania</t>
  </si>
  <si>
    <t>Swanger, KM (corresponding author), Univ Massachusetts, Dept Environm Earth &amp; Atmospher Sci, Lowell, MA 01854 USA.</t>
  </si>
  <si>
    <t>Kate_Swanger@uml.edu</t>
  </si>
  <si>
    <t>National Science Foundation Office of Polar Programs Antarctic Earth Sciences award [1341284]; Office of Polar Programs (OPP); Directorate For Geosciences [1341284] Funding Source: National Science Foundation</t>
  </si>
  <si>
    <t>National Science Foundation Office of Polar Programs Antarctic Earth Sciences award; Office of Polar Programs (OPP); Directorate For Geosciences(National Science Foundation (NSF)NSF - Directorate for Geosciences (GEO))</t>
  </si>
  <si>
    <t>This work was funded by the National Science Foundation Office of Polar Programs Antarctic Earth Sciences award #1341284. The authors would like to thank the McMurdo Station support staff, especially those at the Berg Field Center, Petroleum Helicopters International, and the Crary Laboratory, for assistance during the field season. Also thank you to James Dickson and Myles Danforth for field assistance. Geoff Hargreaves was of great assistance in subsampling ice cores at the National Ice Core Laboratory, as was Robert Michener (Boston University) with stable isotopic analyses of water. Thank you to two anonymous reviewers who added clarity and depth to the manuscript with their helpful comments.</t>
  </si>
  <si>
    <t>10.1016/j.geomorph.2019.03.019</t>
  </si>
  <si>
    <t>IC6KT</t>
  </si>
  <si>
    <t>WOS:000471081700004</t>
  </si>
  <si>
    <t>Graversen, RG; Langen, PL</t>
  </si>
  <si>
    <t>Graversen, Rune G.; Langen, Peter L.</t>
  </si>
  <si>
    <t>On the Role of the Atmospheric Energy Transport in 2 x CO2-Induced Polar Amplification in CESM1</t>
  </si>
  <si>
    <t>Advection; Energy transport; Climate change; Climate models</t>
  </si>
  <si>
    <t>ARCTIC CLIMATE; HEAT-TRANSPORT; SYSTEM MODEL; WATER-VAPOR; FEEDBACKS; IMPACT; CIRCULATION; AQUAPLANET; BALANCE</t>
  </si>
  <si>
    <t>A doubling of the atmospheric CO2 content leads to global warming that is amplified in the polar regions. The CO2 forcing also leads to a change of the atmospheric energy transport. This transport change affects the local warming induced by the CO2 forcing. Using the Community Earth System Model (CESM), the direct response to the transport change is investigated. Divergences of the transport change associated with a CO2 doubling are implemented as a forcing in the 1 x CO2 preindustrial control climate. This forcing is zero in the global mean. In response to a CO2 increase in CESM, the northward atmospheric energy transport decreases at the Arctic boundary. However, the transport change still leads to a warming of the Arctic. This is due to a shift between dry static and latent transport components, so that although the dry static transport decreases, the latent transport increases at the Arctic boundary, which is consistent with other model studies. Because of a greenhouse effect associated with the latent transport, the cooling caused by a change of the dry static component is more than compensated for by the warming induced by the change of the latent transport. Similar results are found for the Antarctic region, but the transport change is larger in the Southern Hemisphere than in its northern counterpart. As a consequence, the Antarctic region warms to the extent that this warming leads to global warming that is likely enhanced by the surface albedo feedback associated with considerable ice retreat in the Southern Hemisphere.</t>
  </si>
  <si>
    <t>[Graversen, Rune G.] Univ Tromso, Dept Phys &amp; Technol, Tromso, Norway; [Langen, Peter L.] Danish Meteorol Inst, Copenhagen, Denmark</t>
  </si>
  <si>
    <t>UiT The Arctic University of Tromso; Danish Meteorological Institute DMI</t>
  </si>
  <si>
    <t>Graversen, RG (corresponding author), Univ Tromso, Dept Phys &amp; Technol, Tromso, Norway.</t>
  </si>
  <si>
    <t>rune.graversen@uit.no</t>
  </si>
  <si>
    <t>Graversen, Rune G/C-3956-2016; Langen, Peter L/AAR-1120-2021</t>
  </si>
  <si>
    <t>Langen, Peter L/0000-0003-2185-012X; Graversen, Rune/0000-0003-4899-553X</t>
  </si>
  <si>
    <t>Research Council of Norway (NFR) [280727]; Norwegian Meta-center for Computational Science (NOTUR) [NN9348K, NS9063]</t>
  </si>
  <si>
    <t>Research Council of Norway (NFR)(Research Council of Norway); Norwegian Meta-center for Computational Science (NOTUR)</t>
  </si>
  <si>
    <t>The work is funded by The Research Council of Norway (NFR) as part of the project The role of the atmospheric energy transport in recent Arctic climate change'' with project number 280727. The CESM experiments were performed at the supercomputer Vilje at The Norwegian University of Science and Technology (NTNU) under the Norwegian Meta-center for Computational Science (NOTUR) project NN9348K and NS9063. CESM was obtained from NCAR, Boulder, Colorado, United States. We thank three anonymous reviewers for constructive and useful suggestions.</t>
  </si>
  <si>
    <t>10.1175/JCLI-D-18-0546.1</t>
  </si>
  <si>
    <t>IC6XH</t>
  </si>
  <si>
    <t>WOS:000471115300003</t>
  </si>
  <si>
    <t>Shamsi, S; Dang, M; Zhu, XC; Nowak, B</t>
  </si>
  <si>
    <t>Shamsi, Shokoofeh; Dang, Mai; Zhu, Xiaocheng; Nowak, Barbara</t>
  </si>
  <si>
    <t>Genetic and morphological characterization of Mawsonascaris vulvolacinata n. sp. (Nematoda: Anisakidae) and associated histopathology in a wild caught cowtail stingray, Pastinachus ater</t>
  </si>
  <si>
    <t>JOURNAL OF FISH DISEASES</t>
  </si>
  <si>
    <t>elasmobranch; histopathology; nematodes</t>
  </si>
  <si>
    <t>GENUS; FISH; CESTODA; ONCHOBOTHRIIDAE; TETRAPHYLLIDEA; QUEENSLAND; INFECTION; SHARK</t>
  </si>
  <si>
    <t>There are limited reports of infectious agents affecting Australian cowtail stingrays. In the present study, a new species of ascaridoid nematode belonging to the genus Mawsonascaris is described. The most distinct characteristic features were observed in females (the presence of a polar spine in the eggs and a flap-like projection in the vulval area). An identification key for Mawsonascaris spp. is provided. Additionally, internal transcribed spacers (ITS) sequences were obtained for the new species. Alignment of the ITS sequence of the specimens in the present study with those deposited in GenBank showed that there exists no other highly similar sequence. Phylogenetic analyses resulted in a distinct grouping of our specimens supporting morphological distinction from previously described Mawsonascaris spp. Histology was used to investigate the pathology caused by the infection. Necrosis, inflammation and fibrosis were evident at the border of the nodules formed by parasite. A large number of parasites were present in muscularis mucosae and submucosa but not in the muscularis of the stomach. The parasites were associated with an increased inflammatory response, which was also found in the muscularis mucosae and submucosa. Similar pathology has been described in elasmobranchs infected by cestodes, although with more severe lesions.</t>
  </si>
  <si>
    <t>[Shamsi, Shokoofeh] Charles Sturt Univ, Graham Ctr Agr Innovat, Sch Anim &amp; Vet Sci, Bathurst, NSW, Australia; [Dang, Mai; Nowak, Barbara] Univ Tasmania, Inst Marine &amp; Antarctic Studies, Launceston, Tas, Australia; [Zhu, Xiaocheng] Charles Sturt Univ, Graham Ctr Agr Innovat, Wagga Wagga, NSW, Australia; [Zhu, Xiaocheng] Charles Sturt Univ, NSW Dept Primary Ind, Wagga Wagga, NSW, Australia</t>
  </si>
  <si>
    <t>Charles Sturt University; University of Tasmania; Charles Sturt University; NSW Department of Primary Industries; Charles Sturt University</t>
  </si>
  <si>
    <t>Shamsi, S (corresponding author), Charles Sturt Univ, Graham Ctr Agr Innovat, Sch Anim &amp; Vet Sci, Bathurst, NSW, Australia.</t>
  </si>
  <si>
    <t>sshamsi@csu.edu.au</t>
  </si>
  <si>
    <t>Shamsi, Shokoofeh/C-8159-2009; Zhu, Xiaocheng/B-6963-2015; Nowak, Barbara/J-7261-2014</t>
  </si>
  <si>
    <t>Shamsi, Shokoofeh/0000-0002-8606-6400; Zhu, Xiaocheng/0000-0003-4468-1090; Nowak, Barbara/0000-0002-0347-643X</t>
  </si>
  <si>
    <t>ABRS National Taxonomy Research Grant [RF215-40]</t>
  </si>
  <si>
    <t>ABRS National Taxonomy Research Grant</t>
  </si>
  <si>
    <t>This study was funded by the ABRS National Taxonomy Research Grant RF215-40 led by THC.</t>
  </si>
  <si>
    <t>0140-7775</t>
  </si>
  <si>
    <t>1365-2761</t>
  </si>
  <si>
    <t>J FISH DIS</t>
  </si>
  <si>
    <t>J. Fish Dis.</t>
  </si>
  <si>
    <t>10.1111/jfd.13016</t>
  </si>
  <si>
    <t>Fisheries; Marine &amp; Freshwater Biology; Veterinary Sciences</t>
  </si>
  <si>
    <t>IC5BI</t>
  </si>
  <si>
    <t>WOS:000470981700010</t>
  </si>
  <si>
    <t>Kauhala, K; Korpinen, S; Lehtiniemi, M; Raitaniemi, J</t>
  </si>
  <si>
    <t>Kauhala, Kaarina; Korpinen, Samuli; Lehtiniemi, Maiju; Raitaniemi, Jari</t>
  </si>
  <si>
    <t>Reproductive rate of a top predator, the grey seal, as an indicator of the changes in the Baltic food web</t>
  </si>
  <si>
    <t>Birth rate; Clupeids; Halichoerus grypus; Threshold value; Zooplankton</t>
  </si>
  <si>
    <t>ANTARCTIC FUR SEALS; HALICHOERUS-GRYPUS; TROPHIC CASCADES; CLUPEA-HARENGUS; BODY CONDITION; AGE; POPULATION; PERFORMANCE; IMPROVEMENT; REGRESSION</t>
  </si>
  <si>
    <t>Reproductive rate of grey seal (Halichoerus grypus) females has fluctuated during the 2000s, although reproductive disturbances, which occurred earlier, are rare at present. Here we aimed to study especially the food web factors possibly affecting the birth rate of Baltic grey seals and whether birth rate can be used as an indicator of the changes in the Baltic food web. Our results showed that the birth rate of grey seals was significantly related to herring (Clupea harengus membras) and sprat (Sprattus sprattus) quality (weight) which, in turn were influenced by sprat and cod (Gadus morhua) abundance, as well as zooplankton biomass and plankter size. This suggests strong trophic coupling over three trophic levels. We thus conclude that the birth rate of grey seals can be used as an indicator of the status of the Baltic food web. Based on this, we suggest a threshold value for good food web status for a stable, non-growing seal population.</t>
  </si>
  <si>
    <t>[Kauhala, Kaarina; Raitaniemi, Jari] Luke, Nat Resources Inst Finland, Itainen Pitkakatu 4 A, FI-20520 Turku, Finland; [Korpinen, Samuli; Lehtiniemi, Maiju] Finnish Environm Inst, Marine Res Ctr, Latokartanonkaari 11, FI-00790 Helsinki, Finland</t>
  </si>
  <si>
    <t>Natural Resources Institute Finland (Luke); Finnish Environment Institute</t>
  </si>
  <si>
    <t>Kauhala, K (corresponding author), Luke, Nat Resources Inst Finland, Itainen Pitkakatu 4 A, FI-20520 Turku, Finland.</t>
  </si>
  <si>
    <t>kaarina.kauhala@luke.fi; samuli.korpinen@ymparisto.fi; maiju.lehtiniemi@ymparisto.fi; jari.raitaniemi@luke.fi</t>
  </si>
  <si>
    <t>Lehtiniemi, Maiju/AAN-6012-2020</t>
  </si>
  <si>
    <t>Korpinen, Samuli/0000-0001-6024-1250</t>
  </si>
  <si>
    <t>BONUS BaltHealth; BONUS [185]; EU; Innovation Fund Denmark [6180-00001B, 6180-00002B]; Forschungszentrum Julich GmbH; German Federal Ministry of Education and Research [FKZ 03F0767A]; Academy of Finland [311966]; Swedish Foundation for Strategic Environmental Research</t>
  </si>
  <si>
    <t>BONUS BaltHealth; BONUS; EU(European Union (EU)); Innovation Fund Denmark; Forschungszentrum Julich GmbH; German Federal Ministry of Education and Research(Federal Ministry of Education &amp; Research (BMBF)); Academy of Finland(Research Council of Finland); Swedish Foundation for Strategic Environmental Research(Swedish Foundation for Strategic Research)</t>
  </si>
  <si>
    <t>We are very grateful to M. Isomursu, M. Kunnasranta, and P. Timonen who helped to examine seal samples. Hunters sent us samples of hunted seals. KK was financed by BONUS BaltHealth. The BaltHealth project has received funding from BONUS (Art. 185), funded jointly by the EU, Innovation Fund Denmark (grants 6180-00001B and 6180-00002B), Forschungszentrum Julich GmbH, German Federal Ministry of Education and Research (grant number FKZ 03F0767A), Academy of Finland (decision #311966) and Swedish Foundation for Strategic Environmental Research.</t>
  </si>
  <si>
    <t>10.1016/j.ecolind.2019.03.022</t>
  </si>
  <si>
    <t>WOS:000470964500069</t>
  </si>
  <si>
    <t>Antonelli, MA; Schiller, M; Schauble, EA; Mittal, T; DePaolo, DJ; Chacko, T; Grew, ES; Tripoli, B</t>
  </si>
  <si>
    <t>Antonelli, Michael A.; Schiller, Martin; Schauble, Edwin A.; Mittal, Tushar; DePaolo, Donald J.; Chacko, Thomas; Grew, Edward S.; Tripoli, Barbara</t>
  </si>
  <si>
    <t>Kinetic and equilibrium Ca isotope effects in high-T rocks and minerals</t>
  </si>
  <si>
    <t>calcium isotopes; granulites-facies; lower crust; density-functional theory; diffusion; disequilibrium</t>
  </si>
  <si>
    <t>CALCIUM ISOTOPES; ORTHO-PYROXENE; FRACTIONATION; DIFFUSION; MANTLE; RATES; GEOCHEMISTRY; FE; DELTA-CA-44/40; CLINOPYROXENE</t>
  </si>
  <si>
    <t>Calcium isotope data (delta(44)ca, mu Ca-42/44, and mu Ca-448/44) are reported for high-temperature metamorphic rocks and minerals, and compared with density-functional theory (DFT) estimates of equilibrium Ca isotope fractionation factors for plagioclase, garnet, clinopyroxene, orthopyroxene, olivine, and apatite. The data and calculations are used to evaluate equilibrium and kinetic fractionation effects that apply to high-temperature metamorphism, where extended residence at high temperature should promote equilibration, but where centimeter-to-meter scale Ca transport could produce diffusive kinetic effects. At upper-granulite facies conditions (T &gt;= similar to 900 degrees C), DFT-predicted equilibrium fractionations between minerals are &lt;= 0.8 parts per thousand, decreasing to ca. 0.6 parts per thousand at 1100 degrees C. We find much larger delta Ca-44 variations in both whole-rock samples (range of 4700) and individual minerals (range of similar to 8 parts per thousand), and large variations in the Ca isotope fractionation between mineral pairs (e.g. Delta Ca-44(grt-plag) from -1.5 to +1.5 parts per thousand). Deviations from equilibrium tend to be larger in concert with indications of higher temperature, such as increasing whole-rock Mg#, plagioclase anorthite content, orthopyroxene Ca/Mg, and garnet Mg#. These large variations are inferred to be due to intragranular or grain-boundary diffusion during metamorphism, as this is the only mechanism that can produce such large isotopic variations. We can confirm the kinetic origin of the variations using measurements of mu Ca-48/44 by MC-ICP-MS to distinguish kinetic from equilibrium fractionation processes using a triple-isotope approach. A new variable(Delta Ca-48') quantifies deviations from the Ca-isotope equilibrium slope on a plot of Ca-48/Ca-44 vs. Ca-42/Ca-44. Available geochronological constraints and numerical modeling indicate that observed kinetic isotope fractionations between adjacent high and low Ca rock layers require effective Ca diffusivities of 10(-10) to 10(-7) m(2)/yr, and a ratio of Ca isotope diffusivities of D-44/D-40 approximate to 0.99. The diffusivities are consistent with Ca transport by volume- and grain-boundary diffusion. The apparent contrast in isotopic diffusivities is large and more consistent with silicate liquids than aqueous fluids. This study confirms that kinetic Ca isotope effects are abundant in nature and can overwrite small equilibrium effects, even at high temperatures and even when other techniques (such as Fe-Mg exchange and Ca-in-Opx thermometry) suggest the establishment of chemical equilibrium. Our results imply that kinetic fractionation effects may complicate the use of delta Ca-44 measurements for geothermometry or as a tracer of carbonate recycling into the mantle. (C) 2019 Elsevier B.V. All rights reserved.</t>
  </si>
  <si>
    <t>[Antonelli, Michael A.; Mittal, Tushar; DePaolo, Donald J.; Tripoli, Barbara] Univ Calif Berkeley, Dept Earth &amp; Planetary Sci, Berkeley, CA 94720 USA; [Schiller, Martin] Nat Hist Museum Denmark, Oster Voldgade 5-7, DK-1350 Copenhagen K, Denmark; [Schauble, Edwin A.] Univ Calif Los Angeles, Dept Earth &amp; Space Sci, Los Angeles, CA 90024 USA; [DePaolo, Donald J.] Lawrence Berkeley Natl Lab, Berkeley, CA 94720 USA; [Chacko, Thomas] Univ Alberta, Dept Earth &amp; Atmospher Sci, Edmonton, AB, Canada; [Grew, Edward S.] Univ Maine, Sch Earth &amp; Climate Sci, Orono, ME 04469 USA; [Antonelli, Michael A.] Univ Paris, IPGP, 1 Rue Jussieu, F-75005 Paris, France</t>
  </si>
  <si>
    <t>University of California System; University of California Berkeley; University of California System; University of California Los Angeles; United States Department of Energy (DOE); Lawrence Berkeley National Laboratory; University of Alberta; University of Maine System; University of Maine Orono; Universite Paris Cite</t>
  </si>
  <si>
    <t>Antonelli, MA (corresponding author), Univ Calif Berkeley, Dept Earth &amp; Planetary Sci, Berkeley, CA 94720 USA.;Antonelli, MA (corresponding author), Univ Paris, IPGP, 1 Rue Jussieu, F-75005 Paris, France.</t>
  </si>
  <si>
    <t>antonelli@ipgp.fr</t>
  </si>
  <si>
    <t>Schauble, Edwin A/E-7812-2012; Schiller, Martin/E-8054-2010; DePaolo, Donald James/ISU-7105-2023; Antonelli, Michael/JZE-5242-2024</t>
  </si>
  <si>
    <t>Schiller, Martin/0000-0003-4149-0627; Antonelli, Michael/0000-0001-9587-7937; Mittal, Tushar/0000-0002-8026-0018</t>
  </si>
  <si>
    <t>U.S. National Science Foundation [EAR100500]; Natural Sciences and Engineering Research Council of Canada (NSERC); NSERC post-graduate funding [PGS-D3-438843-2013]; NSF [DPP 76-80957, EAR1530306]</t>
  </si>
  <si>
    <t>U.S. National Science Foundation(National Science Foundation (NSF)); Natural Sciences and Engineering Research Council of Canada (NSERC)(Natural Sciences and Engineering Research Council of Canada (NSERC)); NSERC post-graduate funding; NSF(National Science Foundation (NSF))</t>
  </si>
  <si>
    <t>We thank N. Botto, S. Matveev, A. Locock, W. Yang, T. Teague, and S.T. Brown for their technical expertise, and Daniela Rubatto for Ivrea samples. This research was primarily supported by a U.S. National Science Foundation (EAR100500) grant to D.J.D. T.C. acknowledges funding from a Natural Sciences and Engineering Research Council of Canada (NSERC) discovery grant, and M.A.A. acknowledges NSERC post-graduate funding (PGS-D3-438843-2013) that aided in supporting this work. E.A.S. acknowledges support from NSF grant EAR1530306. E.S.G. thanks the Australian Antarctic Division for the opportunity to participate in the 1977-1978 Australian National Antarctic Research Expedition and for logistic support, and acknowledges NSF grant DPP 76-80957 to UCLA.</t>
  </si>
  <si>
    <t>10.1016/j.epsl.2019.04.013</t>
  </si>
  <si>
    <t>IB1VO</t>
  </si>
  <si>
    <t>WOS:000470053300007</t>
  </si>
  <si>
    <t>Zhao, YQ; Zhang, L; Tao, J; Chi, CF; Wang, B</t>
  </si>
  <si>
    <t>Zhao, Yu-Qin; Zhang, Lun; Tao, Jing; Chi, Chang-Feng; Wang, Bin</t>
  </si>
  <si>
    <t>Eight antihypertensive peptides from the protein hydrolysate of Antarctic krill (Euphausia superba): Isolation, identification, and activity evaluation on human umbilical vein endothelial cells (HUVECs)</t>
  </si>
  <si>
    <t>FOOD RESEARCH INTERNATIONAL</t>
  </si>
  <si>
    <t>Antarctic krill (Euphausia superba); Peptides; Antihypertensive activity; Angiotensin converting enzyme (ACE); Nitric oxide (NO); Endothelin-1 (ET-1)</t>
  </si>
  <si>
    <t>ANGIOTENSIN-CONVERTING ENZYME; ACE INHIBITORY PEPTIDES; BIOACTIVE PEPTIDES; ANTIOXIDANT PEPTIDES; NITRIC-OXIDE; AMINO-ACID; PURIFICATION; DISEASE; MILK</t>
  </si>
  <si>
    <t>In this report, eight antihypertensive peptides were isolated from protein hydrolysate of Antarctic krill (Euphausia superba) using ultrafiltration and chromatography consecutively, and their sequences were identified as Trp-Phe, Tyr-Arg-Lys-Glu-Arg, Tyr-Arg-Lys, Val-Asp, Tyr-Lys-Asp, Phe-Gln-Lys, Phe-Ala-Ser, and Phe-Arg-Lys-Glu. The IC50 values of Trp-Phe (0.32 +/- 0.05 mg/mL) and Phe-Ala-Ser (0.15 +/- 0.02 mg/mL) on ACE inhibitory activity were significantly (p &lt;= .05) lower than those of the other six peptides. Furthermore, Trp-Phe, Tyr-Arg-Lys, Phe-Gln-Lys, and Phe-Ala-Ser did not only increase the nitric oxide (NO) concentration and decreased the content of endothelin-1 (ET-1) in the medium of human umbilical vein endothelial cells (HUVECs) in a dose dependent manner after 24 h, but also significantly reversed the decreased production of NO in the presence of 0.5 mu M norepinephrine and the effect of NE on ET-1 production. These results indicate that the isolated anti hypertensive peptides can correct the endothelial cell dysfunction induced by norepinephrine.</t>
  </si>
  <si>
    <t>[Zhao, Yu-Qin; Zhang, Lun; Tao, Jing; Wang, Bin] Zhejiang Ocean Univ, Zhejiang Prov Engn Technol Res Ctr Marine Biomed, Sch Food &amp; Pharm, Zhoushan 316022, Peoples R China; [Chi, Chang-Feng] Zhejiang Ocean Univ, Natl &amp; Prov Joint Lab Explorat &amp; Utilizat Marine, Natl Engn Res Ctr Marine Facil Aquaculture, Sch Marine Sci &amp; Technol, Zhoushan 316022, Peoples R China</t>
  </si>
  <si>
    <t>Zhejiang Ocean University; Chinese Academy of Sciences; Zhejiang Ocean University</t>
  </si>
  <si>
    <t>Wang, B (corresponding author), Zhejiang Ocean Univ, Zhejiang Prov Engn Technol Res Ctr Marine Biomed, Sch Food &amp; Pharm, Zhoushan 316022, Peoples R China.;Chi, CF (corresponding author), Zhejiang Ocean Univ, Natl &amp; Prov Joint Lab Explorat &amp; Utilizat Marine, Natl Engn Res Ctr Marine Facil Aquaculture, Sch Marine Sci &amp; Technol, Zhoushan 316022, Peoples R China.</t>
  </si>
  <si>
    <t>chichangfeng@hotmail.com; wangbin4159@hotmail.com</t>
  </si>
  <si>
    <t>Wang, Bin/ADF-0628-2022</t>
  </si>
  <si>
    <t>Wang, Bin/0000-0002-2712-9045</t>
  </si>
  <si>
    <t>Public Service Technology Application Research Project of Science and Technology Department of Zhejiang Province [LGN18D060002]; National Natural Science Foundation of China [81673349]</t>
  </si>
  <si>
    <t>Public Service Technology Application Research Project of Science and Technology Department of Zhejiang Province; National Natural Science Foundation of China(National Natural Science Foundation of China (NSFC))</t>
  </si>
  <si>
    <t>This research was supported by Public Service Technology Application Research Project of Science and Technology Department of Zhejiang Province (No. LGN18D060002) and National Natural Science Foundation of China (No. 81673349).</t>
  </si>
  <si>
    <t>0963-9969</t>
  </si>
  <si>
    <t>1873-7145</t>
  </si>
  <si>
    <t>FOOD RES INT</t>
  </si>
  <si>
    <t>Food Res. Int.</t>
  </si>
  <si>
    <t>10.1016/j.foodres.2019.03.035</t>
  </si>
  <si>
    <t>IB1TQ</t>
  </si>
  <si>
    <t>WOS:000470048200021</t>
  </si>
  <si>
    <t>Chisenga, C; Yan, JG; Yan, P</t>
  </si>
  <si>
    <t>Chisenga, Chikondi; Yan, Jianguo; Yan, Peng</t>
  </si>
  <si>
    <t>A crustal thickness model of Antarctica calculated in spherical approximation from satellite gravimetric data</t>
  </si>
  <si>
    <t>GEOPHYSICAL JOURNAL INTERNATIONAL</t>
  </si>
  <si>
    <t>Gravity anomalies and Earth structure; Antarctica; Gravity inversion; Crustal structure</t>
  </si>
  <si>
    <t>GRAVITY-FIELD; TRANSANTARCTIC MOUNTAINS; EAST ANTARCTICA; BENEATH; MOHO; TOPOGRAPHY; AFRICA; INVERSION; BEDROCK; ORIGIN</t>
  </si>
  <si>
    <t>The ice cap covering Antarctica has long limited our understanding of the continental-scale crustal model due to its inaccessibility and the resulting logistical difficulties when executing geophysical field work, such as seismograph deployment. Resolving a high spatial resolution crustal model for Antarctica where seismographs are sparsely distributed stimulates scientific interest in this relatively less studied continent. In this study, we utilize satellite gravity observations from the global gravity model EIGEN-6C4 to create an alternative crustal thickness model of Antarctica. The gravity data were corrected for sediments, topography and ice cover. Furthermore, we considered the gravity effect due to vertical deformation of the lithosphere caused by ice load besides the earth's curvature in the modelling. We inverted the corrected gravity data using the regularized Bott's inversion method in spherical approximation and constrained the results by seismic observations. This crustal thickness model shows a thicker average crust in East Antarctica and a thinner one in West Antarctica. The thickest crust is in the Gamburtsev Subglacial Mountains with a Moho depth of over 40km. The thicker crust is particularly evident along the Transantarctic Mountains and the Dronning Maud lands. Comparisons with existing models show a good correlation in gravity-constrained areas. Differences appear in the sedimentary basins and crust with thickness closer to seismic point observations. Overall, our crustal model is relatively improved than the existing gravity derived models.</t>
  </si>
  <si>
    <t>[Chisenga, Chikondi; Yan, Jianguo] Wuhan Univ, State Key Lab Informat Engn Surveying Mapping &amp; R, Box 129,Luoyu Rd, Wuhan 430079, Hubei, Peoples R China; [Chisenga, Chikondi] Malawi Univ Sci &amp; Technol, Dept Earth Sci, Ndata Sch Climate &amp; Earth Sci, POB 5196, Limbe, Malawi; [Yan, Jianguo] Univ Atacama, Inst Astron &amp; Ciencias Planetarias Atacama, Copayapu 485, Chile; [Yan, Peng] Wuhan Univ, Chinese Antarctic Ctr Surveying &amp; Mapping, Box 129,Luoyu Rd, Wuhan 430079, Hubei, Peoples R China</t>
  </si>
  <si>
    <t>Wuhan University; Universidad de Atacama; Wuhan University</t>
  </si>
  <si>
    <t>Yan, JG (corresponding author), Wuhan Univ, State Key Lab Informat Engn Surveying Mapping &amp; R, Box 129,Luoyu Rd, Wuhan 430079, Hubei, Peoples R China.;Yan, JG (corresponding author), Univ Atacama, Inst Astron &amp; Ciencias Planetarias Atacama, Copayapu 485, Chile.</t>
  </si>
  <si>
    <t>jgyan_511@163.com</t>
  </si>
  <si>
    <t>Chisenga, Chikondi/V-9195-2019</t>
  </si>
  <si>
    <t>Yan, Peng/0000-0003-4210-533X</t>
  </si>
  <si>
    <t>National Key Research and Development Project [2017YFA0603104]; National Scientific Foundation of China [U1831132, 41374024]; Innovation Group of Natural Fund of Hubei province [2018CFA087]</t>
  </si>
  <si>
    <t>National Key Research and Development Project; National Scientific Foundation of China(National Natural Science Foundation of China (NSFC)); Innovation Group of Natural Fund of Hubei province</t>
  </si>
  <si>
    <t>We thank Dr Leonardo Uieda for providing the inversion algorithm. We thank two anonymous reviewers for their constructive comments that helped to improve the manuscript. This research is supported by the National Key Research and Development Project (Grant No. 2017YFA0603104), the National Scientific Foundation of China (Grant No. U1831132 and 41374024) and the Innovation Group of Natural Fund of Hubei province (Grant No. 2018CFA087).</t>
  </si>
  <si>
    <t>0956-540X</t>
  </si>
  <si>
    <t>1365-246X</t>
  </si>
  <si>
    <t>GEOPHYS J INT</t>
  </si>
  <si>
    <t>Geophys. J. Int.</t>
  </si>
  <si>
    <t>10.1093/gji/ggz154</t>
  </si>
  <si>
    <t>IB5OF</t>
  </si>
  <si>
    <t>WOS:000470320500022</t>
  </si>
  <si>
    <t>Xavier, JC; Cherel, Y; Allcock, L; Rosa, R; Sabirov, RM; Blicher, ME; Golikov, AV</t>
  </si>
  <si>
    <t>Xavier, Jose C.; Cherel, Yves; Allcock, Louise; Rosa, Rui; Sabirov, Rushan M.; Blicher, Martin E.; Golikov, Alexey V.</t>
  </si>
  <si>
    <t>A review on the biodiversity, distribution and trophic role of cephalopods in the Arctic and Antarctic marine ecosystems under a changing ocean (vol 165, 93, 2018)</t>
  </si>
  <si>
    <t>The original version of this article unfortunately contained a mistake.</t>
  </si>
  <si>
    <t>[Xavier, Jose C.] Univ Coimbra, MARE Marine &amp; Environm Sci Ctr, Dept Ciencias Vida, P-3001401 Coimbra, Portugal; [Xavier, Jose C.] British Antarctic Survey, NERC, High Cross,Madingley Rd, Cambridge CB3 0ET, England; [Cherel, Yves] Univ La Rochelle, CNRS, UPR 7372, Ctr Etud Biol Chize, F-79360 Villiers En Bois, France; [Allcock, Louise] Natl Univ Ireland Galway, Ryan Inst, Galway, Ireland; [Allcock, Louise] Natl Univ Ireland Galway, Sch Nat Sci, Galway, Ireland; [Rosa, Rui] Univ Lisbon, Fac Ciencias, Marine &amp; Environm Sci Ctr, Lab Maritimo Guia, Av Nossa Senhora Cabo 939, P-2750374 Cascais, Portugal; [Sabirov, Rushan M.; Golikov, Alexey V.] Kazan Fed Univ, Dept Zool, Kazan 420008, Russia; [Blicher, Martin E.] Greenland Inst Nat Resources, Greenland Climate Res Ctr, Nuuk 3900, Greenland</t>
  </si>
  <si>
    <t>Universidade de Coimbra; UK Research &amp; Innovation (UKRI); Natural Environment Research Council (NERC); NERC British Antarctic Survey; Centre National de la Recherche Scientifique (CNRS); La Rochelle Universite; Ollscoil na Gaillimhe-University of Galway; Ollscoil na Gaillimhe-University of Galway; Universidade de Lisboa; Kazan Federal University; Greenland Institute of Natural Resources</t>
  </si>
  <si>
    <t>Xavier, JC (corresponding author), Univ Coimbra, MARE Marine &amp; Environm Sci Ctr, Dept Ciencias Vida, P-3001401 Coimbra, Portugal.;Xavier, JC (corresponding author), British Antarctic Survey, NERC, High Cross,Madingley Rd, Cambridge CB3 0ET, England.</t>
  </si>
  <si>
    <t>Golikov, Alexey/T-3504-2019; Allcock, Louise/A-7359-2012; Xavier, José/KFB-6739-2024; Sabirov, Rushan Mirzovich/N-6605-2013; Rosa, Rui/A-4580-2009</t>
  </si>
  <si>
    <t>Golikov, Alexey/0000-0002-1596-2857; Allcock, Louise/0000-0002-4806-0040; Rosa, Rui/0000-0003-2801-5178; /0000-0002-9621-6660</t>
  </si>
  <si>
    <t>10.1007/s00227-019-3531-3</t>
  </si>
  <si>
    <t>IB3SE</t>
  </si>
  <si>
    <t>WOS:000470186500002</t>
  </si>
  <si>
    <t>Wang, ZM; Chen, DK</t>
  </si>
  <si>
    <t>Wang, Zhaomin; Chen, Dake</t>
  </si>
  <si>
    <t>Polar climate system modeling in China: Recent progress and future challenges</t>
  </si>
  <si>
    <t>SCIENCE CHINA-EARTH SCIENCES</t>
  </si>
  <si>
    <t>Polar climate system; Modeling; Progress; Challenges</t>
  </si>
  <si>
    <t>ANTARCTIC SEA-ICE; LABRADOR SEA; THERMOHALINE CIRCULATION; SOUTHERN-OCEAN; PRYDZ BAY; DEEP CONVECTION; WATER FORMATION; DATA ASSIMILATION; THICKNESS DATA; COUPLED MODEL</t>
  </si>
  <si>
    <t>The first fully coupled atmosphere-ocean-sea ice model developed in China was released in the mid-1990s. Since then, significant advances in climate system model developments have been achieved by improving the representations of major physical processes, increasing resolutions, and including an ice-shelf component. There have also been many modeling studies in China on the polar climate system, including weather and sea-ice numerical forecasts to meet the national needs of polar scientific expeditions, assessments of the state-of-the-art coupled model performance, and process-oriented studies. Future model developments and modeling activities will need to address several big scientific questions originating from the polar climate system: i) How will polar ice mass balance evolve and affect global sea level? ii) How can we properly simulate open-ocean deep convection and quantify its role in driving the lower branch of the global overturning circulation? iii) How are Arctic and Antarctic connected and what caused the contrasting sea ice trends in the two polar regions over the last decades? To address these questions, polar climate system modelers will need to analyze extended observational datasets on a global scale and work together with other polar researchers to develop a more comprehensive and sustainable observation system in the polar regions.</t>
  </si>
  <si>
    <t>[Wang, Zhaomin] Hohai Univ, Coll Oceanog, Nanjing 210098, Jiangsu, Peoples R China; [Wang, Zhaomin] Hohai Univ, Int Polar Environm Res Lab, Nanjing 210098, Jiangsu, Peoples R China; [Chen, Dake] MNR, Inst Oceanog 2, State Key Lab Satellite Ocean Environm Dynam, Hangzhou 310012, Zhejiang, Peoples R China</t>
  </si>
  <si>
    <t>Hohai University; Hohai University</t>
  </si>
  <si>
    <t>Wang, ZM (corresponding author), Hohai Univ, Coll Oceanog, Nanjing 210098, Jiangsu, Peoples R China.;Wang, ZM (corresponding author), Hohai Univ, Int Polar Environm Res Lab, Nanjing 210098, Jiangsu, Peoples R China.</t>
  </si>
  <si>
    <t>Global Change Research Program of China [2015CB953900]; Major State Basic Research Development Program of China [2016YFA0601804]; National Natural Science Foundation of China [41876220]; Fundamental Research Funds for the Central Universities [2017B04814 2017B20714]</t>
  </si>
  <si>
    <t>Global Change Research Program of China; Major State Basic Research Development Program of China(National Basic Research Program of China); National Natural Science Foundation of China(National Natural Science Foundation of China (NSFC)); Fundamental Research Funds for the Central Universities(Fundamental Research Funds for the Central Universities)</t>
  </si>
  <si>
    <t>We would like to thank Dr Chengyan Liu, Dr Yang Wu, Mr Rui Bian, Ms Mingyi Gu, Ms Qing Qin and Ms Jiangchao Qian for their assistance during the preparation of this manuscript. This work was supported by the Global Change Research Program of China (Grant No. 2015CB953900), the Major State Basic Research Development Program of China (Grant No. 2016YFA0601804), the National Natural Science Foundation of China (Grant No. 41876220), and the Fundamental Research Funds for the Central Universities (Grant Nos. 2017B04814 &amp; 2017B20714).</t>
  </si>
  <si>
    <t>1674-7313</t>
  </si>
  <si>
    <t>1869-1897</t>
  </si>
  <si>
    <t>SCI CHINA EARTH SCI</t>
  </si>
  <si>
    <t>Sci. China-Earth Sci.</t>
  </si>
  <si>
    <t>10.1007/s11430-018-9355-2</t>
  </si>
  <si>
    <t>IA8JF</t>
  </si>
  <si>
    <t>WOS:000469804300003</t>
  </si>
  <si>
    <t>Carrizo, D; Sánchez-García, L; Menes, RJ; García-Rodríguez, F</t>
  </si>
  <si>
    <t>Carrizo, Daniel; Sanchez-Garcia, Laura; Menes, Rodrigo Javier; Garcia-Rodriguez, Felipe</t>
  </si>
  <si>
    <t>Discriminating sources and preservation of organic matter in surface sediments from five Antarctic lakes in the Fildes Peninsula (King George Island) by lipid biomarkers and compound-specific isotopic analysis</t>
  </si>
  <si>
    <t>Lipids biomarkers; Lakes; Organic matter; Maritime Antarctica; Isotopes</t>
  </si>
  <si>
    <t>SOUTH SHETLAND-ISLANDS; MARINE; CARBON; SEA; GEOCHEMISTRY; PALEOCLIMATE; HYDROCARBONS; TERRESTRIAL; DELTA-C-13; BIOGEOCHEMISTRY</t>
  </si>
  <si>
    <t>Lakes are important paleoenvironmental archives retaining abundant information due to their typical high sedimentation rates and susceptibility to environmental changes. Here, we scrutinize the organic matter (OM) composition, origin and preservation state in surface sediments from five lakes in a remote, warming-sensitive, and poorly explored region partially covered by the retreating Collins Glacier in King George Island (Antarctica), the Fildes Peninsula. Lipid biomarkers of terrestrial origin (i.e. high-molecular weight n-alkanes, n-alkanoic acids, and n-alkanols; beta-sitosteroL campesterol, and stigmasterol) were detected in the five Fildes Lakes, with the smallest basin (i.e., Meltwater) showing a particularly strong moss imprint. Aquatic source indicators such as low C/N and terrestrial over aquatic ratios (TAR), or less negative delta C-13 values were preferentially found in the mid-sized lakes (i.e., Drake and Ionospheric). Sedimentary carbon in the larger lakes (i.e., Uruguay and Kitezh) displayed a largely biogenic origin (i.e., values of carbon preference index, CPI, &gt;&gt; 1), whereas the three lakes close to Collins Glacier (i.e., Drake, Meltwater, and Ionospheric) showed certain contribution from petrogenic sources (CPI similar to 1). The results suggest that the geochemical signature of the surface sediments in the five Fildes lakes is determined by factors such as the distance to the retreating Collins Glacier, the proximity to the coast, or the lake depth. This study illustrates the forensic interest of combining lipid biomarkers, compound-specific isotopic analysis, and bulk geochemistry to reconstruct paleoenvironments and study climate-sensitive regions. (C)2019 The Authors. Published by Elsevier B.V.</t>
  </si>
  <si>
    <t>[Carrizo, Daniel; Sanchez-Garcia, Laura] Ctr Astrobiol CSIC INTA, Madrid, Spain; [Menes, Rodrigo Javier] Univ Republica, Fac Quim, Lab Ecol Microbiana Medioambiental, Microbiol, Montevideo, Uruguay; [Menes, Rodrigo Javier] Univ Republica, Fac Ciencias, Montevideo, Uruguay; [Garcia-Rodriguez, Felipe] Univ Republica, CURE Rocha, Ctr Univ Reg Este, Ruta 9 &amp; Ruta 15 S-N, Montevideo, Uruguay; [Garcia-Rodriguez, Felipe] Univ Fed Rio Grande, Inst Oceanog, Programa Posgrad Oceanog Fis Quim &amp; Geol, Av Italia,Km 8,CxP 474, BR-96201900 Rio Grande, RS, Brazil</t>
  </si>
  <si>
    <t>Consejo Superior de Investigaciones Cientificas (CSIC); CSIC - Centro de Astrobiologia (INTA); Universidad de la Republica, Uruguay; Universidad de la Republica, Uruguay; Universidad de la Republica, Uruguay; Universidade Federal do Rio Grande</t>
  </si>
  <si>
    <t>Carrizo, D (corresponding author), Ctr Astrobiol CSIC INTA, Madrid, Spain.</t>
  </si>
  <si>
    <t>dcarrizo@cab.inta-csic.es</t>
  </si>
  <si>
    <t>Sanchez-Garcia, Laura/N-1172-2013; /K-3705-2014</t>
  </si>
  <si>
    <t>Sanchez-Garcia, Laura/0000-0002-7444-1242; /0000-0003-1568-4591; Menes, Rodolfo/0000-0001-8968-6149</t>
  </si>
  <si>
    <t>Instituto Antartico Uruguayo (IAU); Spanish Ministry of Science, Innovation and Universities (MICINN/FEDER) [RYC-2014-19446, CGL2015-74254JIN]</t>
  </si>
  <si>
    <t>Instituto Antartico Uruguayo (IAU); Spanish Ministry of Science, Innovation and Universities (MICINN/FEDER)</t>
  </si>
  <si>
    <t>This study was partially founded by the Instituto Antartico Uruguayo (IAU). Scuba Divers (Rodrigo Toledo and Oscar Correa) are acknowledged for their field assistance during sampling. All authors thank the crew members from the Artigas Base (BCAA). P. M. Sarmiento is acknowledged for the stable isotopes analysis. The authors D. Carrizo and L. Sanchez-Garcia acknowledge the Spanish Ministry of Science, Innovation and Universities (MICINN/FEDER) for funding their projects (RYC-2014-19446 and CGL2015-74254JIN, respectively).</t>
  </si>
  <si>
    <t>10.1016/j.scitotenv.2019.03.459</t>
  </si>
  <si>
    <t>HW8ZC</t>
  </si>
  <si>
    <t>WOS:000466979400062</t>
  </si>
  <si>
    <t>Dietz, L; Dömel, JS; Leese, F; Mahon, AR; Mayer, C</t>
  </si>
  <si>
    <t>Dietz, Lars; Doemel, Jana S.; Leese, Florian; Mahon, Andrew R.; Mayer, Christoph</t>
  </si>
  <si>
    <t>Phylogenomics of the longitarsal Colossendeidae: The evolutionary history of an Antarctic sea spider radiation</t>
  </si>
  <si>
    <t>MOLECULAR PHYLOGENETICS AND EVOLUTION</t>
  </si>
  <si>
    <t>Pycnogonida; Colossendeidae; Southern Ocean; Hybrid enrichment; Biogeography</t>
  </si>
  <si>
    <t>MEGALONYX HOEK; CLIMATE-CHANGE; PYCNOGONIDA; CRUSTACEA; ALIGNMENT; BIOGEOGRAPHY; ARTHROPODA; PLATFORM; ORIGIN; TREE</t>
  </si>
  <si>
    <t>Sea spiders (Pycnogonida) constitute a group of marine benthic arthropods that has a particularly high species diversity in the Southern Ocean. The longitarsal group of the sea spider family Colossendeidae is especially abundant in this region. However, this group also includes some representatives from other oceans, which raises the question where the group originates from. Therefore, we here investigated the phylogeny of the group with a hybrid enrichment approach that yielded a dataset of 1607 genes and over one million base pairs. We obtained a well-resolved phylogeny of the group, which is mostly consistent with morphological data. The data support an Antarctic origin of the longitarsal Colossendeidae and multiple dispersal events to other regions, which occurred at different timescales. This scenario is consistent with evidence found in other groups of marine invertebrates and highlights the role of the Southern Ocean as a source for non-Antarctic biota, especially of the deep sea. Our results suggest an initially slow rate of diversification followed by a more rapid radiation possibly correlated with the mid-Miocene cooling of Antarctica, similar to what is found in other taxa.</t>
  </si>
  <si>
    <t>[Dietz, Lars; Mayer, Christoph] Zool Res Museum Alexander Koenig, Stat Phylogenet &amp; Phylogen, Adenauerallee 160, D-53113 Bonn, Germany; [Dietz, Lars; Mayer, Christoph] Univ Bonn, Fac Math &amp; Nat Sci, D-53012 Bonn, Germany; [Doemel, Jana S.; Leese, Florian] Univ Duisburg Essen, Fac Biol, Aquat Ecosyst Res, Univ Str 5, D-45141 Essen, Germany; [Leese, Florian] Univ Duisburg Essen, Ctr Water &amp; Environm Res ZWU, Univ Str 2, D-45141 Essen, Germany; [Mahon, Andrew R.] Cent Michigan Univ, Coll Sci &amp; Technol, Dept Biol, 200 Lib Dr, Mt Pleasant, MI 48859 USA</t>
  </si>
  <si>
    <t>Zoologisches Forschungsmuseum Alexander Koenig (ZFMK); University of Bonn; University of Duisburg Essen; University of Duisburg Essen; Central Michigan University</t>
  </si>
  <si>
    <t>Dietz, L (corresponding author), Zool Res Museum Alexander Koenig, Stat Phylogenet &amp; Phylogen, Adenauerallee 160, D-53113 Bonn, Germany.;Dietz, L (corresponding author), Univ Bonn, Fac Math &amp; Nat Sci, D-53012 Bonn, Germany.</t>
  </si>
  <si>
    <t>ldietz@uni-bonn.de</t>
  </si>
  <si>
    <t>Leese, Florian/D-4277-2012</t>
  </si>
  <si>
    <t>Leese, Florian/0000-0002-5465-913X; Mayer, Christoph/0000-0001-5104-6621; Mahon, Andrew/0000-0002-5074-8725</t>
  </si>
  <si>
    <t>Deutsche Forschungsgemeinschaft (DFG) [DI 2228/1-1, LE 2323/3-1, LE 2323/4-1, SPP 1158]; National Science Foundation (NSF) [ANT-1043670, ANT-1043745]; French Polar institute [IPEV 1124 REVOLTA]</t>
  </si>
  <si>
    <t>Deutsche Forschungsgemeinschaft (DFG)(German Research Foundation (DFG)); National Science Foundation (NSF)(National Science Foundation (NSF)National Research Foundation of Korea); French Polar institute</t>
  </si>
  <si>
    <t>This work was supported by Deutsche Forschungsgemeinschaft (DFG) grants to LD (DI 2228/1-1) and FL (LE 2323/3-1 and LE 2323/4-1) in the framework of the priority programme Antarctic Research with comparative investigations in Arctic ice areas (SPP 1158). Sequencing of the transcriptome was supported by the National Science Foundation (NSF) grants ANT-1043670 and ANT-1043745 to AM and Kenneth M. Halanych. We thank the program of the French Polar institute IPEV 1124 REVOLTA (led by G. Lecointre) and the program POKER (led by G. Duhamel), for the field sampling, and the Museum National d'Histoire Naturelle staff, Marine Invertebrates Collection for providing access to samples from these expeditions to LD. We thank Roland R. Melzer for providing samples from the Zoologische Staatssammlung Munchen. We also thank Kenneth M. Halanych for contributing to the sequencing of the transcriptome. We further thank Sandra Kukowka for help during the laboratory work and Andrey Rozenberg (Technion Haifa) and Till-Hendrik Macher (University of Duisburg-Essen) for help in assembling the transcriptome.</t>
  </si>
  <si>
    <t>1055-7903</t>
  </si>
  <si>
    <t>1095-9513</t>
  </si>
  <si>
    <t>MOL PHYLOGENET EVOL</t>
  </si>
  <si>
    <t>Mol. Phylogenet. Evol.</t>
  </si>
  <si>
    <t>10.1016/j.ympev.2019.04.017</t>
  </si>
  <si>
    <t>HZ4DC</t>
  </si>
  <si>
    <t>WOS:000468796300019</t>
  </si>
  <si>
    <t>Buonocore, F; Picchietti, S; Porcelli, F; Della Pelle, G; Olivieri, C; Poerio, E; Bugli, F; Menchinelli, G; Sanguinetti, M; Bresciani, A; Gennari, N; Taddei, AR; Fausto, AM; Scapigliati, G</t>
  </si>
  <si>
    <t>Buonocore, Francesco; Picchietti, Simona; Porcelli, Fernando; Della Pelle, Giulia; Olivieri, Cristina; Poerio, Elia; Bugli, Francesca; Menchinelli, Giulia; Sanguinetti, Maurizio; Bresciani, Alberto; Gennari, Nadia; Taddei, Anna Rita; Fausto, Anna Maria; Scapigliati, Giuseppe</t>
  </si>
  <si>
    <t>Fish-derived antimicrobial peptides: Activity of a chionodracine mutant against bacterial models and human bacterial pathogens</t>
  </si>
  <si>
    <t>DEVELOPMENTAL AND COMPARATIVE IMMUNOLOGY</t>
  </si>
  <si>
    <t>Antimicrobial peptides; Chionodracine mutant; Antibody production; Interaction with bacterial membranes; Antibacterial activity</t>
  </si>
  <si>
    <t>CATIONIC PEPTIDES; PISCIDIN 1; LOCALIZATION; DESIGN; FLUORESCENCE; MEMBRANES; AMPS</t>
  </si>
  <si>
    <t>The increasing resistance to conventional antibiotics is an urgent problem that can be addressed by the discovery of new antimicrobial drugs such as antimicrobial peptides (AMPs). AMPs are components of innate immune system of eukaryotes and are not prone to the conventional mechanisms that are responsible of drug resistance. Fish are an important source of AMPs and, recently, we have isolated and characterized a new 22 amino acid residues peptide, the chionodracine (Cnd), from the Antarctic icefish Chionodraco hamatus. In this paper we focused on a new Cnd-derived mutant peptide, namely Cnd-m3a, designed to improve the selectivity against prokaryotic cells and the antimicrobial activity against human pathogens of the initial Cnd template. Cnd-m3a was used for immunization of rabbits, which gave rise to a polyclonal antibody able to detect the peptide. The interaction kinetic of Cnd-m3a with the Antarctic bacterium Psychrobacter sp. (TAD1) was imaged using a transmission electron microscopy (TEM) immunogold method. Initially the peptide was associated with the plasma membrane, but after 180 min of incubation, it was found in the cytoplasm interacting with a DNA target inside the bacterial cells. Using fluorescent probes we showed that the newly designed mutant can create pores in the outer membrane of the bacteria E. colt and Psychrobacter sp. (TAD1), confirming the results of TEM analysis. Moreover, in vitro assays demonstrated that Cnd-m3a is able to bind lipid vesicles of different compositions with a preference toward negatively charged ones, which mimics the prokaryotic cell. The Cnd-m3a peptide showed quite low hemolytic activity and weak cytotoxic effect against human primary and tumor cell lines, but high antimicrobial activity against selected Gram - human pathogens. These results highlighted the high potential of the Cnd-m3a peptide as a starting point for developing a new human therapeutic agent.</t>
  </si>
  <si>
    <t>[Buonocore, Francesco; Picchietti, Simona; Porcelli, Fernando; Della Pelle, Giulia; Olivieri, Cristina; Poerio, Elia; Fausto, Anna Maria; Scapigliati, Giuseppe] Univ Tuscia, Dept Innovat Biol Agrofood &amp; Forest Syst, I-05100 Viterbo, VT, Italy; [Olivieri, Cristina] Univ Minnesota, Dept Biochem Mol Biol &amp; Biophys, Minneapolis, MN 55455 USA; [Bugli, Francesca; Menchinelli, Giulia; Sanguinetti, Maurizio] Fdn Policlin Univ A Gemelli IRCCS, Dipartimento Sci Lab &amp; Infettivol, Rome, Italy; [Bugli, Francesca; Menchinelli, Giulia; Sanguinetti, Maurizio] Univ Cattolica Sacro Cuore, Ist Microbiol, Rome, Italy; [Bresciani, Alberto; Gennari, Nadia] IRBM Sci Pk SpA, Dept Biol, Rome, Italy; [Taddei, Anna Rita] Univ Tuscia, Ctr Large Equipments, Sect Electron Microscopy, Viterbo, Italy</t>
  </si>
  <si>
    <t>Tuscia University; University of Minnesota System; University of Minnesota Twin Cities; Catholic University of the Sacred Heart; IRCCS Policlinico Gemelli; Catholic University of the Sacred Heart; IRCCS Policlinico Gemelli; Tuscia University</t>
  </si>
  <si>
    <t>Buonocore, F (corresponding author), Univ Tuscia, Dept Innovat Biol Agrofood &amp; Forest Syst, I-05100 Viterbo, VT, Italy.</t>
  </si>
  <si>
    <t>fbuono@unitus.it; picchietti@unitus.it; porcelli@unitus.it; giulia.dellapelle@studenti.unitus.it; colivier@umn.edu; poerio@unitus.it; fra.bugli@gmail.com; giulia.menchinelli@hotmail.it; maurizio.sanguinetti@unicatt.it; A.Bresciani@irbm.it; n.gennari@irbm.it; artaddei@unitus.it; fausto@unitus.it; scapigg@unitus.it</t>
  </si>
  <si>
    <t>Menchinelli, Giulia/AAB-3426-2022; Sanguinetti, Maurizio/A-1453-2019; Porcelli, Fernando/AAA-5242-2020; Della Pelle, Giulia/AAM-1023-2020; Picchietti, Simona/AAB-8019-2020; Buonocore, Francesco/AAA-5236-2020; Olivieri, Cristina/HNJ-5505-2023; Poerio, Elia/AAA-8674-2020; Bugli, Francesca/AAA-7664-2019; Fausto, Anna Maria/AAB-6778-2020; Porcelli, Fernando/GSN-6338-2022</t>
  </si>
  <si>
    <t>Sanguinetti, Maurizio/0000-0002-9780-7059; Porcelli, Fernando/0000-0003-3209-0074; Della Pelle, Giulia/0000-0002-8110-1932; Olivieri, Cristina/0000-0001-6957-6743; Bugli, Francesca/0000-0001-9038-3233; Porcelli, Fernando/0000-0003-3209-0074; Buonocore, Francesco/0000-0001-8045-5651; Bresciani, Alberto/0000-0003-4491-603X; Menchinelli, Giulia/0000-0003-2953-4084; PICCHIETTI, Simona/0000-0002-6116-213X</t>
  </si>
  <si>
    <t>PRONAT project - CNCCS s.c.s.r.l.</t>
  </si>
  <si>
    <t>This work was partially funded by the PRONAT project supported by CNCCS s.c.s.r.l..</t>
  </si>
  <si>
    <t>0145-305X</t>
  </si>
  <si>
    <t>1879-0089</t>
  </si>
  <si>
    <t>DEV COMP IMMUNOL</t>
  </si>
  <si>
    <t>Dev. Comp. Immunol.</t>
  </si>
  <si>
    <t>10.1016/j.dci.2019.02.012</t>
  </si>
  <si>
    <t>Fisheries; Immunology; Veterinary Sciences; Zoology</t>
  </si>
  <si>
    <t>HT1BM</t>
  </si>
  <si>
    <t>WOS:000464299000002</t>
  </si>
  <si>
    <t>Alekseev, G; Kuzmina, S; Bobylev, L; Urazgildeeva, A; Gnatiuk, N</t>
  </si>
  <si>
    <t>Alekseev, Genrikh; Kuzmina, Svetlana; Bobylev, Leonid; Urazgildeeva, Alexandra; Gnatiuk, Natalia</t>
  </si>
  <si>
    <t>Impact of atmospheric heat and moisture transport on the Arctic warming</t>
  </si>
  <si>
    <t>air temperature; Arctic warming; heat and moisture transport; sea ice</t>
  </si>
  <si>
    <t>SEA-ICE; CLIMATE-CHANGE; AMPLIFICATION; FEEDBACKS; DECLINE</t>
  </si>
  <si>
    <t>The effect of the meridional atmospheric heat and moisture transport on the Arctic warming is estimated using the ERA-Interim reanalysis over 1979-2015. Major influx of sensible and latent heat into the Arctic occurs through the Atlantic sector 0 degrees-80 degrees E between the surface and the 750 hPa level. This influx explains more than 50% of the average temperature variability in the area 70 degrees-90 degrees N in winter with almost equal contribution of both fluxes. Calculations using MPI-ESM-MR Earth System model from the Coupled Model Intercomparison Project Phase 5 (CMIP5) ensemble showed the similar effect of the meridional atmospheric heat and moisture transport and its increase by the end of the century. Mean summer transport in the low troposphere is directed from the Arctic and transfers out the moisture produced by summer melting of sea ice. The major drivers of summer warming are the radiation processes especially downwards longwave radiation.</t>
  </si>
  <si>
    <t>[Alekseev, Genrikh; Urazgildeeva, Alexandra] Arctic &amp; Antarctic Res Inst, Ocean &amp; Atmosphere Interact Dept, St Petersburg, Russia; [Kuzmina, Svetlana; Bobylev, Leonid; Gnatiuk, Natalia] Nansen Int Environm &amp; Remote Sensing Ctr, Climate Grp, St Petersburg, Russia</t>
  </si>
  <si>
    <t>Arctic &amp; Antarctic Research Institute; Nansen Environmental &amp; Remote Sensing Center (NERSC)</t>
  </si>
  <si>
    <t>Alekseev, G (corresponding author), Arctic &amp; Antarctic Res Inst, Ocean &amp; Atmosphere Interact Dept, St Petersburg, Russia.</t>
  </si>
  <si>
    <t>alexgv@aari.ru</t>
  </si>
  <si>
    <t>Bobylev, Leonid/L-4816-2017; Gnatiuk, Natalia/Y-3774-2019</t>
  </si>
  <si>
    <t>Gnatiuk, Natalia/0000-0002-6792-9709</t>
  </si>
  <si>
    <t>Russian Fund for Basic Research [18-05-60107, 18-05-00334]</t>
  </si>
  <si>
    <t>Russian Fund for Basic Research(Russian Foundation for Basic Research (RFBR))</t>
  </si>
  <si>
    <t>Russian Fund for Basic Research, Grant/Award Numbers: 18-05-60107, 18-05-00334</t>
  </si>
  <si>
    <t>JUN 30</t>
  </si>
  <si>
    <t>10.1002/joc.6040</t>
  </si>
  <si>
    <t>IH0DC</t>
  </si>
  <si>
    <t>WOS:000474160800012</t>
  </si>
  <si>
    <t>Krüger, L</t>
  </si>
  <si>
    <t>Kruger, Lucas</t>
  </si>
  <si>
    <t>Spatio-temporal trends of the Krill fisheries in the Western Antarctic Peninsula and Southern Scotia Arc</t>
  </si>
  <si>
    <t>FISHERIES MANAGEMENT AND ECOLOGY</t>
  </si>
  <si>
    <t>catch; distribution; Euphausia superba; fishing effort; habitat use; management</t>
  </si>
  <si>
    <t>CLIMATE; ECOSYSTEM; MANAGEMENT; LINKS</t>
  </si>
  <si>
    <t>Krill fisheries in Antarctica have concentrated their effort on the Western Antarctic Peninsula and Scotia Arc (WAP) in the last decades, following a steady increase in annual catch. Short-term shifts in habitat exploration may have occurred and may be the cause for the increasing catch. Habitat use and effort in krill fisheries in the WAP during summer between 2012/2013 and 2016/2017, inclusive, were tested to determine how habitat use and effort reflected in the catch. Increasing trends in fishing tow duration and depth of fishing in deeper and colder waters were found. No association of the catch with the habitat explored was found, but catch was higher in years when the variability of explored habitat was lower. The relevance of these findings for fisheries management and conservation of Antarctic marine ecosystems is discussed.</t>
  </si>
  <si>
    <t>[Kruger, Lucas] Chilean Antarctic Inst, Dept Sci, Plaza Munoz Gamero 1055, Punta Arenas, Chile</t>
  </si>
  <si>
    <t>Krüger, L (corresponding author), Chilean Antarctic Inst, Dept Sci, Plaza Munoz Gamero 1055, Punta Arenas, Chile.</t>
  </si>
  <si>
    <t>lkruger@inach.cl</t>
  </si>
  <si>
    <t>Krüger, Lucas/O-8912-2015</t>
  </si>
  <si>
    <t>Krüger, Lucas/0000-0003-4637-5302</t>
  </si>
  <si>
    <t>0969-997X</t>
  </si>
  <si>
    <t>1365-2400</t>
  </si>
  <si>
    <t>FISHERIES MANAG ECOL</t>
  </si>
  <si>
    <t>Fisheries Manag. Ecol.</t>
  </si>
  <si>
    <t>10.1111/fme.12363</t>
  </si>
  <si>
    <t>JUN 2019</t>
  </si>
  <si>
    <t>IL0SO</t>
  </si>
  <si>
    <t>WOS:000473957000001</t>
  </si>
  <si>
    <t>Wang, ZX; Huang, CJ; Licht, A; Zhang, R; Kemp, DB</t>
  </si>
  <si>
    <t>Wang, Zhixiang; Huang, Chunju; Licht, Alexis; Zhang, Rui; Kemp, David B.</t>
  </si>
  <si>
    <t>Middle to Late Miocene Eccentricity Forcing on Lake Expansion in NE Tibet</t>
  </si>
  <si>
    <t>NE Tibet; Tianshui basin; lake level variations; Miocene; magnetic susceptibility</t>
  </si>
  <si>
    <t>DIFFERENT ORBITAL RHYTHMS; ASIAN MONSOON; PALEOCLIMATIC IMPLICATION; ASTRONOMICAL TIMESCALE; RANGE GROWTH; SOUTH CHINA; TARIM BASIN; CLIMATE; SEA; MAGNETOSTRATIGRAPHY</t>
  </si>
  <si>
    <t>The East Asian summer monsoon (EASM) variability on orbital time scale has been extensively investigated in Quaternary loess and speleothems. However, EASM variability during pre-Quaternary time remains poorly understood. Here we report a continuous upper Miocene cyclostratigraphic record from lake deposits of the Tianshui basin, Northeast Tibet, to reconstruct past variations of the regional hydrological cycle. Our results, combined with previously published cyclostratigraphic records from Northeast Tibet, show that regional lake expansion cycles have been consistently dominated by similar to 100-kyr eccentricity forcing over most of the middle to late Miocene. These similar to 100 kyr cycles corroborate a significant forcing of the East Asian hydrological cycle by Antarctic ice sheet variations at that time. It is, however, unclear if this forcing affected EASM intensity or westerly derived moisture supply to the far east. Regardless of the nature of the main source of precipitation in Northeast Tibet during the Miocene, these results emphasize the existence of a strong teleconnection between Antarctic ice sheet modulations and the continental climate of Asia.</t>
  </si>
  <si>
    <t>[Wang, Zhixiang; Huang, Chunju; Zhang, Rui; Kemp, David B.] China Univ Geosci, Sch Earth Sci, State Key Lab Biogeol &amp; Environm Geol, Wuhan, Hubei, Peoples R China; [Huang, Chunju] China Univ Geosci, Sch Earth Sci, Hubei Key Lab Crit Zone Evolut, Wuhan, Hubei, Peoples R China; [Licht, Alexis] Univ Washington, Dept Earth &amp; Space Sci, Seattle, WA 98195 USA</t>
  </si>
  <si>
    <t>China University of Geosciences; China University of Geosciences; University of Washington; University of Washington Seattle</t>
  </si>
  <si>
    <t>Huang, CJ (corresponding author), China Univ Geosci, Sch Earth Sci, State Key Lab Biogeol &amp; Environm Geol, Wuhan, Hubei, Peoples R China.;Huang, CJ (corresponding author), China Univ Geosci, Sch Earth Sci, Hubei Key Lab Crit Zone Evolut, Wuhan, Hubei, Peoples R China.</t>
  </si>
  <si>
    <t>huangcj@cug.edu.cn</t>
  </si>
  <si>
    <t>Kemp, David B/D-7288-2012; Licht, Alexis/P-4284-2018</t>
  </si>
  <si>
    <t>Licht, Alexis/0000-0002-5267-7545</t>
  </si>
  <si>
    <t>National Natural Science Foundation of China [41772029]; Natural Science Foundation for Distinguished Young Scholars of Hubei Province of China [2016CFA051]; Program of Introducing Talents of Discipline to Universities [B14031, B08030]; Fundamental Research Funds for the Central Universities, China University of Geosciences [CUGCJ1703, CUGQYZX1705]</t>
  </si>
  <si>
    <t>National Natural Science Foundation of China(National Natural Science Foundation of China (NSFC)); Natural Science Foundation for Distinguished Young Scholars of Hubei Province of China; Program of Introducing Talents of Discipline to Universities(Ministry of Education, China - 111 Project); Fundamental Research Funds for the Central Universities, China University of Geosciences(Fundamental Research Funds for the Central Universities)</t>
  </si>
  <si>
    <t>We thank Mengyang Hou for his assistance with field sampling. We also thank Jiangming Shen for his help in experiment. This work was supported by the National Natural Science Foundation of China (41772029), Natural Science Foundation for Distinguished Young Scholars of Hubei Province of China (2016CFA051), the Program of Introducing Talents of Discipline to Universities (B14031 and B08030), and the Fundamental Research Funds for the Central Universities, China University of Geosciences (CUGCJ1703 and CUGQYZX1705). Cyclostratigraphic data (MS and Rb/Sr series) are available in the supporting information (https://doi.org/10.1029/2019GL082283).</t>
  </si>
  <si>
    <t>JUN 28</t>
  </si>
  <si>
    <t>10.1029/2019GL082283</t>
  </si>
  <si>
    <t>IL9PJ</t>
  </si>
  <si>
    <t>WOS:000477616300085</t>
  </si>
  <si>
    <t>Clem, KR; Lintner, BR; Broccoli, AJ; Miller, JR</t>
  </si>
  <si>
    <t>Clem, Kyle R.; Lintner, Benjamin R.; Broccoli, Anthony J.; Miller, James R.</t>
  </si>
  <si>
    <t>Role of the South Pacific Convergence Zone in West Antarctic Decadal Climate Variability</t>
  </si>
  <si>
    <t>SPCZ; Amundsen Sea Low; IPO; West Antarctica; climate; teleconnection</t>
  </si>
  <si>
    <t>AMUNDSEN SEA EMBAYMENT; ICE SHELVES; PENINSULA; OCEAN; MELT; DRIVERS; IMPACTS; GLACIER; MODEL</t>
  </si>
  <si>
    <t>Regional atmospheric circulation along coastal West Antarctica associated with the Amundsen Sea Low (ASL) mediates ice shelf melt that governs Antarctica's contribution to global sea level rise. In this study, the South Pacific Convergence Zone (SPCZ) is identified as a significant driver of ASL variability on decadal time scales. Using the Community Earth System Model, we impose a positive sea surface temperature anomaly in the SPCZ that reproduces an increase in convective rainfall in the southwest SPCZ that has been observed in recent decades, consistent with the negative phase of the Interdecadal Pacific Oscillation (IPO). Many of the major climate shifts across West Antarctica during the 2000-2014 period when the IPO was negative can be explained via a teleconnection over the ASL emanating from the SPCZ. Knowledge of these relationships significantly enhances our understanding and interpretation of past and future West Antarctic climate variability.</t>
  </si>
  <si>
    <t>[Clem, Kyle R.; Lintner, Benjamin R.; Broccoli, Anthony J.; Miller, James R.] Rutgers State Univ, Inst Earth Ocean &amp; Atmospher Sci, New Brunswick, NJ USA; [Lintner, Benjamin R.; Broccoli, Anthony J.] Rutgers State Univ, Dept Environm Sci, New Brunswick, NJ USA; [Miller, James R.] Rutgers State Univ, Dept Marine &amp; Coastal Sci, New Brunswick, NJ USA</t>
  </si>
  <si>
    <t>Rutgers University System; Rutgers University New Brunswick; Rutgers University System; Rutgers University New Brunswick; Rutgers University System; Rutgers University New Brunswick</t>
  </si>
  <si>
    <t>Clem, KR (corresponding author), Rutgers State Univ, Inst Earth Ocean &amp; Atmospher Sci, New Brunswick, NJ USA.</t>
  </si>
  <si>
    <t>kyle.clem@rutgers.edu</t>
  </si>
  <si>
    <t>Broccoli, Anthony J/D-9186-2014; Clem, Kyle/AAG-6626-2021</t>
  </si>
  <si>
    <t>Broccoli, Anthony J/0000-0003-2619-1434; Clem, Kyle/0000-0002-1419-2758</t>
  </si>
  <si>
    <t>NSF EAGER grant [AGS-1842543]; Institute of Earth, Ocean, and Atmospheric Sciences at Rutgers, The State University of New Jersey</t>
  </si>
  <si>
    <t>NSF EAGER grant(National Science Foundation (NSF)); Institute of Earth, Ocean, and Atmospheric Sciences at Rutgers, The State University of New Jersey</t>
  </si>
  <si>
    <t>K. R. C acknowledges support from a postdoctoral associate award from the Institute of Earth, Ocean, and Atmospheric Sciences at Rutgers, The State University of New Jersey. K. R. C. and B. R. L acknowledge support from NSF EAGER grant AGS-1842543. We thank Galen Collier of Rutgers's Office of Advanced Research Computing for his help porting CESM to the Rutgers Amarel Cluster. Antarctic weather station data can be accessed from the SCAR READER Project at https://legacy.bas.ac.uk/met/READER/.Reanalysis data from ERA-Interim can be accessed at https://apps.ecmwf.int/datasets/data/interim-full-daily/levtype= sfc/.</t>
  </si>
  <si>
    <t>10.1029/2019GL082108</t>
  </si>
  <si>
    <t>WOS:000477616300082</t>
  </si>
  <si>
    <t>Olinger, SD; Lipovsky, BP; Wiens, DA; Aster, RC; Bromirski, PD; Chen, Z; Gerstoft, P; Nyblade, AA; Stephen, RA</t>
  </si>
  <si>
    <t>Olinger, S. D.; Lipovsky, B. P.; Wiens, D. A.; Aster, R. C.; Bromirski, P. D.; Chen, Z.; Gerstoft, P.; Nyblade, A. A.; Stephen, R. A.</t>
  </si>
  <si>
    <t>Tidal and Thermal Stresses Drive Seismicity Along a Major Ross Ice Shelf Rift</t>
  </si>
  <si>
    <t>Ross Ice Shelf; glacial seismology; glaciology; ice shelf rifting; Antarctica</t>
  </si>
  <si>
    <t>EAST ANTARCTICA; PROPAGATION; DYNAMICS; GLACIER; FRONT; STABILITY; TSUNAMI; CRACKS; MODEL; FIRN</t>
  </si>
  <si>
    <t>Understanding deformation in ice shelves is necessary to evaluate the response of ice shelves to thinning. We study microseismicity associated with ice shelf deformation using nine broadband seismographs deployed near a rift on the Ross Ice Shelf. From December 2014 to November 2016, we detect 5,948 icequakes generated by rift deformation. Locations were determined for 2,515 events using a least squares grid-search and double-difference algorithms. Ocean swell, infragravity waves, and a significant tsunami arrival do not affect seismicity. Instead, seismicity correlates with tidal phase on diurnal time scales and inversely correlates with air temperature on multiday and seasonal time scales. Spatial variability in tidal elevation tilts the ice shelf, and seismicity is concentrated while the shelf slopes downward toward the ice front. During especially cold periods, thermal stress and embrittlement enhance fracture along the rift. We propose that thermal stress and tidally driven gravitational stress produce rift seismicity with peak activity in the winter. Plain Language Summary In Antarctica, large bodies of floating ice called ice shelves help prevent ice on land from sliding into the ocean. To predict how Antarctica might respond to climate change, we need to understand how ice shelves interact with the environment, including the atmosphere and the ocean. The largest ice shelf, the Ross Ice Shelf, is over 500,000 km(2) in area, making it the largest body of floating ice in the world. In this study, we deployed nine seismographs, the same instruments used to study earthquakes, to monitor vibrations and cracking within the Ross Ice Shelf over a 2-year period. During that time, the instruments detected nearly 6,000 fracture events along a 120-km-long crack in the ice shelf. We compared the timing of the cracking to air temperature data, ocean wave activity, and tides to see whether these factors influenced the crack's behavior. We found that fracture occurs most frequently just after high tide during winter and when the air is very cold. We also found that fracture at the rift is not triggered by ocean waves. This work demonstrates that Antarctic ice shelves are very sensitive to the environment and highlights the need to continue studying them.</t>
  </si>
  <si>
    <t>[Olinger, S. D.; Wiens, D. A.] Washington Univ, Dept Earth &amp; Planetary Sci, St Louis, MO 63130 USA; [Olinger, S. D.; Lipovsky, B. P.] Harvard Univ, Dept Earth &amp; Planetary Sci, 20 Oxford St, Cambridge, MA 02138 USA; [Aster, R. C.] Colorado State Univ, Dept Geosci, Ft Collins, CO 80523 USA; [Bromirski, P. D.; Chen, Z.; Gerstoft, P.] Univ Calif San Diego, Scripps Inst Oceanog, La Jolla, CA 92093 USA; [Nyblade, A. A.] Penn State Univ, Dept Geosci, University Pk, PA 16802 USA; [Stephen, R. A.] Woods Hole Oceanog Inst, Woods Hole, MA 02543 USA</t>
  </si>
  <si>
    <t>Washington University (WUSTL); Harvard University; Colorado State University; University of California System; University of California San Diego; Scripps Institution of Oceanography; Pennsylvania Commonwealth System of Higher Education (PCSHE); Pennsylvania State University; Pennsylvania State University - University Park; Woods Hole Oceanographic Institution</t>
  </si>
  <si>
    <t>Olinger, SD (corresponding author), Washington Univ, Dept Earth &amp; Planetary Sci, St Louis, MO 63130 USA.;Olinger, SD (corresponding author), Harvard Univ, Dept Earth &amp; Planetary Sci, 20 Oxford St, Cambridge, MA 02138 USA.</t>
  </si>
  <si>
    <t>setholinger@fas.harvard.edu</t>
  </si>
  <si>
    <t>Gerstoft, Peter/B-2842-2009; Aster, Richard/E-5067-2013; Wiens, Douglas/J-9259-2016; Stephen, Ralph/P-4057-2014</t>
  </si>
  <si>
    <t>Gerstoft, Peter/0000-0002-0471-062X; Aster, Richard/0000-0002-0821-4906; Wiens, Douglas/0000-0002-5169-4386; Lipovsky, Bradley/0000-0003-4940-0745; Stephen, Ralph/0000-0003-0937-2049; Olinger, Stephanie/0000-0001-9061-3019; Chen, Zhao/0000-0002-2769-2735</t>
  </si>
  <si>
    <t>NSF [PLR-1142518, 1141916, 1142126, PLR-1246416, OPP-1744856, CAL-DPR-C1670002, PLR-1246151]</t>
  </si>
  <si>
    <t>NSF grants PLR-1142518, 1141916, and 1142126 supported S. D. Olinger and D. A. Wiens, R. C. Aster, and A. A. Nyblade respectively. NSF grant PLR-1246151 supported P. D. Bromirski, P. Gerstoft, and Z. Chen. NSF grant OPP-1744856 and CAL-DPR-C1670002 also supported P. D. Bromirski. NSF grant PLR-1246416 supported R. A. Stephen. The Incorporated Research Institutions for Seismology (IRIS) and the PASSCAL Instrument Center at New Mexico Tech provided seismic instruments and deployment support. The RIS seismic data (network code XH) are archived at the IRIS Data Management Center (http://ds.iris.edu/ds/nodes/dmc/).S.D.Olinger catalogued and located icequakes, analyzed seismicity and environmental forcing, and drafted the manuscript. D. A. Wiens and B. P. Lipovsky provided significant contributions to the analysis and interpretation of results and to the manuscript text. D. A. Wiens, R. C. Aster, A. A. Nyblade, R. A. Stephen, P. Gerstoft, and P. D. Bromirski collaborated to design and obtain funding for the deployment. D. A. Wiens, R. C. Aster, R. A. Stephen, P. Gerstoft, P. D. Bromirski, and Z. Chen deployed and serviced seismographs in Antarctica. All authors provided valuable feedback, comments, and edits to the manuscript text. Special thanks to Patrick Shore for guidance throughout the research process.</t>
  </si>
  <si>
    <t>10.1029/2019GL082842</t>
  </si>
  <si>
    <t>WOS:000477616300054</t>
  </si>
  <si>
    <t>Valla, D; Piola, AR; Meinen, CS; Campos, E</t>
  </si>
  <si>
    <t>Valla, Daniel; Piola, Alberto R.; Meinen, Christopher S.; Campos, Edmo</t>
  </si>
  <si>
    <t>Abyssal Transport Variations in the Southwest South Atlantic: First Insights From a Long-Term Observation Array at 34.5°S</t>
  </si>
  <si>
    <t>Atlantic Meridional Overturning Circulation; Deep Western Boundary Current; abyssal; Antarctic Bottom Water; Lower Circumpolar Deep Water; SAMOC</t>
  </si>
  <si>
    <t>ANTARCTIC BOTTOM WATER; MERIDIONAL OVERTURNING CIRCULATION; VARIABILITY</t>
  </si>
  <si>
    <t>The zonal structure and time variability of the abyssal flow (below 3,000 dbar) in the South Atlantic western boundary is investigated using a combination of moored observations and simultaneous hydrographic/velocity sections at 34.5 degrees S during 2009-2018. Moored direct velocity measurements near the bottom show strong variability with a peak-to-peak range exceeding 80 cm/s and dominant signals at times scales of 1-2 months. Daily time series of the meridional absolute geostrophic volume transport computed from the moorings reveals a highly energetic record with a temporal standard deviation of 8.3 Sv and peak-to-peak variations of 49 Sv, suggesting a significant contribution of the abyssal layer flows to the Deep Western Boundary Current time variability. The absolute transport is mostly driven by barotropic changes that are dominated by variations in the bottom pressure similar to 650 km away from the continental slope. Plain Language Summary The coldest, densest waters of the world's oceans sink near Antarctica to depths greater than 3,000 m and flow into other basins along the complex seafloor of the abyss. These waters play a key role in redistributing heat and carbon throughout the globe on time scales of centuries to millennia and therefore have a profound impact on the Earth's climate. The gateway northward into the Atlantic Ocean is along the western edge of the South Atlantic. This study presents 9 years of unprecedented, continuous observations of the abyssal flow across 34.5 degrees S off the South American coast together with deep current velocity measurements collected during eight oceanographic cruises in the region since 2009. By combining these observations, we provide a general picture of the abyssal circulation in the region and show that, rather than being slowly changing, it rapidly and strongly varies on time scales as short as 1-2 months.</t>
  </si>
  <si>
    <t>[Valla, Daniel; Piola, Alberto R.] Serv Hidrog Naval, Dept Oceanog, Buenos Aires, DF, Argentina; [Valla, Daniel; Piola, Alberto R.] Univ Buenos Aires, Fac Ciencias Exactas &amp; Nat, Dept Ciencias Atmosfera &amp; Oceanos, Buenos Aires, DF, Argentina; [Valla, Daniel; Piola, Alberto R.] Consejo Nacl Invest Cient &amp; Tecn, UMI IFAECI, Buenos Aires, DF, Argentina; [Meinen, Christopher S.] Atlantic Oceanog &amp; Meteorol Lab, Miami, FL USA; [Campos, Edmo] Univ Sao Paulo, Inst Oceanog, Sao Paulo, Brazil; [Campos, Edmo] Amer Univ Sharjah, Gulf Environm Res Inst, Sharjah, U Arab Emirates</t>
  </si>
  <si>
    <t>Servicio de Hidrografia Naval; University of Buenos Aires; Consejo Nacional de Investigaciones Cientificas y Tecnicas (CONICET); National Oceanic Atmospheric Admin (NOAA) - USA; Atlantic Oceanographic &amp; Meteorological Laboratory (AOML); Universidade de Sao Paulo; American University of Sharjah</t>
  </si>
  <si>
    <t>Valla, D (corresponding author), Serv Hidrog Naval, Dept Oceanog, Buenos Aires, DF, Argentina.;Valla, D (corresponding author), Univ Buenos Aires, Fac Ciencias Exactas &amp; Nat, Dept Ciencias Atmosfera &amp; Oceanos, Buenos Aires, DF, Argentina.;Valla, D (corresponding author), Consejo Nacl Invest Cient &amp; Tecn, UMI IFAECI, Buenos Aires, DF, Argentina.</t>
  </si>
  <si>
    <t>dvalla@hidro.gov.ar</t>
  </si>
  <si>
    <t>Piola, Alberto/HZI-5475-2023; Campos, edmo/G-6995-2012; Meinen, Christopher/G-1902-2012; Piola, Alberto/O-2280-2013</t>
  </si>
  <si>
    <t>Campos, edmo/0000-0001-6399-5496; Valla, Daniel/0000-0003-3303-9641; Meinen, Christopher/0000-0002-8846-6002; Piola, Alberto/0000-0002-5003-8926</t>
  </si>
  <si>
    <t>Inter-American Institute for Global Change Research (IAI) [SGP2076, CRN3070]; Inter-American Institute for Global Change Research (IAI) (U.S. National Science Foundation) [GEO-0452325, GEO-1128040]; NOAA Climate Program Office's Ocean Observing and Monitoring Division under the Southwest Atlantic Meridional Overturning Circulation (SAM) project [100007298]; Sao Paulo State Funding Agency (FAPESP) [2011/50552-4, 2017/09659-6]; CONICET, Argentina; NOAA Atlantic Oceanographic and Meteorological Laboratory; Fundacao de Amparo a Pesquisa do Estado de Sao Paulo (FAPESP) [17/09659-6] Funding Source: FAPESP</t>
  </si>
  <si>
    <t>Inter-American Institute for Global Change Research (IAI); Inter-American Institute for Global Change Research (IAI) (U.S. National Science Foundation); NOAA Climate Program Office's Ocean Observing and Monitoring Division under the Southwest Atlantic Meridional Overturning Circulation (SAM) project; Sao Paulo State Funding Agency (FAPESP)(Fundacao de Amparo a Pesquisa do Estado de Sao Paulo (FAPESP)); CONICET, Argentina(Consejo Nacional de Investigaciones Cientificas y Tecnicas (CONICET)); NOAA Atlantic Oceanographic and Meteorological Laboratory(National Oceanic Atmospheric Admin (NOAA) - USA); Fundacao de Amparo a Pesquisa do Estado de Sao Paulo (FAPESP)(Fundacao de Amparo a Pesquisa do Estado de Sao Paulo (FAPESP))</t>
  </si>
  <si>
    <t>Information about obtaining the PIES/CPIES and LADCP data can be found at . We thank the captains and crews of R/V Puerto Deseado and R/V Alpha-Crucis who ably supported our work at sea. This work was financed by the Inter-American Institute for Global Change Research (IAI) grants SGP2076 and CRN3070 (U.S. National Science Foundation grants GEO-0452325 and GEO-1128040) and NOAA Climate Program Office's Ocean Observing and Monitoring Division (FundRef 100007298) under the Southwest Atlantic Meridional Overturning Circulation (SAM) project, with additional support from the NOAA Atlantic Oceanographic and Meteorological Laboratory. The Brazilian component of the research was funded by the SAo Paulo State Funding Agency (FAPESP, grants 2011/50552-4 and 2017/09659-6). D. Valla was partially supported by a fellowship from CONICET, Argentina. We thank the anonymous reviewers, whose comments on an earlier draft of this manuscript helped improve the final presentation of the results.</t>
  </si>
  <si>
    <t>10.1029/2019GL082740</t>
  </si>
  <si>
    <t>WOS:000477616300060</t>
  </si>
  <si>
    <t>Purich, A; England, MH</t>
  </si>
  <si>
    <t>Purich, Ariaan; England, Matthew H.</t>
  </si>
  <si>
    <t>Tropical Teleconnections to Antarctic Sea Ice During Austral Spring 2016 in Coupled Pacemaker Experiments</t>
  </si>
  <si>
    <t>sea ice; Antarctica; climate variability; Southern Ocean; tropical teleconnection</t>
  </si>
  <si>
    <t>NINO-SOUTHERN-OSCILLATION; OCEAN; CLIMATE; VARIABILITY; TRENDS; ATMOSPHERE; IMPACTS; DRIVEN</t>
  </si>
  <si>
    <t>Following a multidecade increase, Antarctic sea ice declined drastically during austral spring 2016. Suggested causes of the sea ice decline include lingering effects of the 2015/2016 extreme El Nino and a tropical Indian Ocean teleconnection to high-latitude atmospheric circulation. Here, we conduct pacemaker experiments using a full coupled climate model forced with observed tropical sea surface temperature to examine the impact of the Indian and Pacific Oceans on southern high latitudes during spring 2016. Our experiments suggest that a Rossby wave teleconnection from the tropical Indian Ocean contributed to the sea ice decline during spring 2016, with less influence from the Pacific Ocean. However, we find considerable spread in the magnitude of sea ice anomalies across ensemble members, suggesting that while an Indian Ocean teleconnection likely played a role, intrinsic atmospheric variability and high-latitude ocean conditions may also have been important in driving the observed 2016 spring sea ice decline.</t>
  </si>
  <si>
    <t>[Purich, Ariaan; England, Matthew H.] ARC Ctr Excellence Climate Extremes, Sydney, NSW, Australia; [Purich, Ariaan; England, Matthew H.] Univ New South Wales, Climate Change Res Ctr, Sydney, NSW, Australia</t>
  </si>
  <si>
    <t>Purich, A (corresponding author), ARC Ctr Excellence Climate Extremes, Sydney, NSW, Australia.;Purich, A (corresponding author), Univ New South Wales, Climate Change Res Ctr, Sydney, NSW, Australia.</t>
  </si>
  <si>
    <t>a.purich@unsw.edu.au</t>
  </si>
  <si>
    <t>England, Matthew/0000-0001-9696-2930; Purich, Ariaan/0000-0003-2248-5937</t>
  </si>
  <si>
    <t>Australian Research Council (ARC) [CE17010023]; National Computational Infrastructure (NCI); Australian Government</t>
  </si>
  <si>
    <t>Australian Research Council (ARC)(Australian Research Council); National Computational Infrastructure (NCI)(United States Department of Health &amp; Human ServicesNational Institutes of Health (NIH) - USANIH National Cancer Institute (NCI)); Australian Government(Australian Government)</t>
  </si>
  <si>
    <t>This work was supported by the Australian Research Council (ARC) including the ARC Centre of Excellence for Climate Extremes (CE17010023). This research was undertaken with the assistance of resources and services from the National Computational Infrastructure (NCI), which is supported by the Australian Government. Figures were produced using the NCAR Command Language (https://doi.org/10.5065/D6WD3XH). We thank the providers of the following data sets: HadISST (https://www.metoffice.gov.uk/hadobs/hadisst/), NSIDC SIC (https://nsidc.org/data/G02202), NSIDC SIE index (https://nsidc.org/data/seaice_index), and ERA-Interim (https://apps.ecmwf.int/datasets/data/interim-full-moda/levtype=sfc/). We also thank the two anonymous reviewers for their helpful comments.</t>
  </si>
  <si>
    <t>10.1029/2019GL082671</t>
  </si>
  <si>
    <t>WOS:000477616300076</t>
  </si>
  <si>
    <t>Loomis, BD; Rachlin, KE; Luthcke, SB</t>
  </si>
  <si>
    <t>Loomis, B. D.; Rachlin, K. E.; Luthcke, S. B.</t>
  </si>
  <si>
    <t>Improved Earth Oblateness Rate Reveals Increased Ice Sheet Losses and Mass-Driven Sea Level Rise</t>
  </si>
  <si>
    <t>Earth oblateness; satellite laser ranging; time variable gravity; GRACE; Antarctic Ice Sheet; global mean sea level</t>
  </si>
  <si>
    <t>LENGTH-OF-DAY; SATELLITE GRAVITY; GRACE; ANTARCTICA; GREENLAND; GRAVIMETRY; SIGNAL</t>
  </si>
  <si>
    <t>Satellite laser ranging (SLR) observations are routinely applied toward the estimation of dynamic oblateness, C-20, which is the largest globally integrated component of Earth's time-variable gravity field. Since 2002, GRACE and GRACE Follow-On have revolutionized the recovery of higher spatial resolution features of global time-variable gravity, with SLR continuing to provide the most reliable estimates of C-20. We quantify the effect of various SLR processing strategies on estimating C-20 and demonstrate better signal recovery with the inclusion of GRACE-derived low-degree gravity information in the forward model. This improved SLR product modifies the Antarctic and Greenland Ice Sheet mass trends by -15.4 and -3.5 Gt/year, respectively, as compared to CSR TN11, and improves global mean sea level budget closure by modifying sea level rise by +0.08 mm/year. We recommend that this new C-20 product be applied to RL06 GRACE data products for enhanced accuracy and scientific interpretation.</t>
  </si>
  <si>
    <t>[Loomis, B. D.; Luthcke, S. B.] NASA, Goddard Space Flight Ctr, Greenbelt, MD 20771 USA; [Rachlin, K. E.] KBRwyle, Greenbelt, MD USA</t>
  </si>
  <si>
    <t>Loomis, BD (corresponding author), NASA, Goddard Space Flight Ctr, Greenbelt, MD 20771 USA.</t>
  </si>
  <si>
    <t>bryant.d.loomis@nasa.gov</t>
  </si>
  <si>
    <t>Loomis, Bryant/AIC-7436-2022; Luthcke, Scott B/D-6283-2012</t>
  </si>
  <si>
    <t>Loomis, Bryant/0000-0002-9370-9160</t>
  </si>
  <si>
    <t>NASA GRACE and GRACE Follow-On Science Team Grant [NNH15ZDA001N]</t>
  </si>
  <si>
    <t>NASA GRACE and GRACE Follow-On Science Team Grant</t>
  </si>
  <si>
    <t>Support for this work was provided by the NASA GRACE and GRACE Follow-On Science Team Grant NNH15ZDA001N. SLR normal point data are from CDDIS, a global data center for the International Laser Ranging Service (ILRS; https://cddis.nasa.gov).Atmospheric loading corrections are provided by the EOST Loading Service (http://loading.u-strasbg.fr/).Length-of-day data are provided by the International Earth Rotation and Reference Systems Service (IERS; https://www.iers.org).Atmospheric and ocean angular momentum products are provided by Helmholtz-Zentrum Potsdam - Deutches GeoForschungsZentrum (GFZ; ftp://esmdata. gfz-potsdam. de/EAM). We acknowledge the expertise of our colleagues F. G. Lemoine, N. P Zelensky, and D. S. Chinn, whose prior work was foundational to this study. The recommended GSFC C20 solution is available for download at https://neptune.gsfc.nasa.gov/slr_tvg/.</t>
  </si>
  <si>
    <t>10.1029/2019GL082929</t>
  </si>
  <si>
    <t>WOS:000477616300083</t>
  </si>
  <si>
    <t>Hermes, JC; Masumoto, Y; Beal, LM; Roxy, MK; Vialard, J; Andres, M; Annamalai, H; Behera, S; D'Adamo, N; Doi, T; Peng, M; Han, W; Hardman-Mountford, N; Hendon, H; Hood, R; Kido, S; Lee, C; Lees, T; Lengaigne, M; Li, J; Lumpkin, R; Navaneeth, KN; Milligan, B; McPhaden, MJ; Ravichandran, M; Shinoda, T; Singh, A; Sloyan, B; Strutton, PG; Subramanian, AC; Thurston, S; Tozuka, T; Ummenhofer, CC; Unnikrishnan, AS; Venkatesan, R; Wang, D; Wiggert, J; Yu, L; Yu, W</t>
  </si>
  <si>
    <t>Hermes, J. C.; Masumoto, Y.; Beal, L. M.; Roxy, M. K.; Vialard, J.; Andres, M.; Annamalai, H.; Behera, S.; D'Adamo, N.; Doi, T.; Peng, M.; Han, W.; Hardman-Mountford, N.; Hendon, H.; Hood, R.; Kido, S.; Lee, C.; Lees, T.; Lengaigne, M.; Li, J.; Lumpkin, R.; Navaneeth, K. N.; Milligan, B.; McPhaden, M. J.; Ravichandran, M.; Shinoda, T.; Singh, A.; Sloyan, B.; Strutton, P. G.; Subramanian, A. C.; Thurston, S.; Tozuka, T.; Ummenhofer, C. C.; Unnikrishnan, A. S.; Venkatesan, R.; Wang, D.; Wiggert, J.; Yu, L.; Yu, W.</t>
  </si>
  <si>
    <t>A Sustained Ocean Observing System in the Indian Ocean for Climate Related Scientific Knowledge and Societal Needs</t>
  </si>
  <si>
    <t>Indian Ocean; sustained observing system; IndOOS; data; end-user connections and application; regional observing system; interdisciplinary; integration</t>
  </si>
  <si>
    <t>SEA-LEVEL RISE; ARABIAN SEA; SURFACE TEMPERATURE; PACIFIC CLIMATE; AGULHAS CURRENT; SUMMER MONSOON; DIPOLE MODE; EL-NINO; INTRASEASONAL VARIABILITY; INDONESIAN THROUGHFLOW</t>
  </si>
  <si>
    <t>The Indian Ocean is warming faster than any of the global oceans and its climate is uniquely driven by the presence of a landmass at low latitudes, which causes monsoonal winds and reversing currents. The food, water, and energy security in the Indian Ocean rim countries and islands are intrinsically tied to its climate, with marine environmental goods and services, as well as trade within the basin, underpinning their economies. Hence, there are a range of societal needs for Indian Ocean observation arising from the influence of regional phenomena and climate change on, for instance, marine ecosystems, monsoon rains, and sea-level. The Indian Ocean Observing System (IndOOS), is a sustained observing system that monitors basin-scale ocean-atmosphere conditions, while providing flexibility in terms of emerging technologies and scientific and societal needs, and a framework for more regional and coastal monitoring. This paper reviews the societal and scientific motivations, current status, and future directions of IndOOS, while also discussing the need for enhanced coastal, shelf, and regional observations. The challenges of sustainability and implementation are also addressed, including capacity building, best practices, and integration of resources. The utility of IndOOS ultimately depends on the identification of, and engagement with, end-users and decision-makers and on the practical accessibility and transparency of data for a range of products and for decision-making processes. Therefore we highlight current progress, issues and challenges related to end user engagement with IndOOS, as well as the needs of the data assimilation and modeling communities. Knowledge of the status of the Indian Ocean climate and ecosystems and predictability of its future, depends on a wide range of socio-economic and environmental data, a significant part of which is provided by IndOOS.</t>
  </si>
  <si>
    <t>[Hermes, J. C.] South African Environm Observat Network, Egagasini Node, Cape Town, South Africa; [Hermes, J. C.] Univ Cape Town, Dept Oceanog, Cape Town, South Africa; [Masumoto, Y.; Kido, S.; Tozuka, T.] Univ Tokyo, Dept Earth &amp; Planetary Sci, Grad Sch Sci, Tokyo, Japan; [Masumoto, Y.; Behera, S.; Doi, T.] Japan Agcy Marine Earth Sci &amp; Technol, Applicat Lab, Yokosuka, Kanagawa, Japan; [Beal, L. M.] Univ Miami, Rosenstiel Sch Marine &amp; Atmospher Sci, 4600 Rickenbacker Causeway, Miami, FL 33149 USA; [Roxy, M. K.] Indian Inst Trop Meteorol, Pune, Maharashtra, India; [Roxy, M. K.; McPhaden, M. J.] NOAA, Pacific Marine Environm Lab, 7600 Sand Point Way Ne, Seattle, WA 98115 USA; [Vialard, J.; Lengaigne, M.] Univ Paris 06, UPMC, Sorbonne Univ, CNRS,IRD,MNHN,LOCEAN Lab,IPSL, Paris, France; [Andres, M.; Ummenhofer, C. C.; Yu, L.] Woods Hole Oceanog Inst, Dept Phys Oceanog, Woods Hole, MA 02543 USA; [Annamalai, H.] Univ Hawaii, Int Pacific Res Ctr, Honolulu, HI 96822 USA; [D'Adamo, N.] Intergovt Oceanog Commiss UNESCO IOC UNESCO, Paris, France; [Peng, M.; Sloyan, B.] CSIRO, Ctr Southern Hemisphere Oceans Res, Oceans &amp; Atmosphere, Hobart, Tas, Australia; [Han, W.] Univ Colorado, Dept Atmospher &amp; Ocean Sci, Boulder, CO 80309 USA; [Hardman-Mountford, N.] Commonwealth Secretariat, Trade Oceans &amp; Nat Resources, London, England; [Hendon, H.] Bur Meteorol, Melbourne, Vic, Australia; [Hood, R.] Univ Maryland, Ctr Environm Sci, Cambridge, MD USA; [Lee, C.] Univ Washington, Appl Phys Lab, Seattle, WA 98105 USA; [Lees, T.; Thurston, S.] NASA, Jet Prop Lab, Washington, DC 20546 USA; [Li, J.] ICPO, Qingdao, Shandong, Peoples R China; [Lumpkin, R.] NOAA, Atlantic Oceanog &amp; Meteorol Lab, Miami, FL 33149 USA; [Navaneeth, K. N.; Venkatesan, R.] Natl Inst Ocean Technol, Chennai, Tamil Nadu, India; [Milligan, B.] Univ New South Wales, Fac Law, Sydney, NSW, Australia; [Ravichandran, M.] Natl Ctr Antarctic &amp; Ocean Res, Vasco Da Gama, Goa, India; [Shinoda, T.] Texas A&amp;M Univ, Dept Phys &amp; Environm Sci, Corpus Christi, TX USA; [Singh, A.] Phys Res Lab, Ahmadabad, Gujarat, India; [Strutton, P. G.] Univ Tasmania, Inst Marine &amp; Antarctic Studies, Hobart, Tas, Australia; [Strutton, P. G.] Univ Tasmania, Ctr Excellence Climate Extremes, Australian Res Council, Hobart, Tas, Australia; [Subramanian, A. C.] Univ Calif San Diego, Scripps Inst Oceanog, La Jolla, CA 92093 USA; [Unnikrishnan, A. S.] CSIR, Natl Inst Oceanog, Panaji, India; [Wang, D.] Chinese Acad Sci, South China Sea Inst Oceanol, Guangzhou, Guangdong, Peoples R China; [Wiggert, J.] Univ Southern Mississippi, John C Stennis Space Ctr, Div Marine Sci, Hancock Cty, MS USA; [Yu, W.] State Ocean Adm, Inst Oceanog 1, Qingdao, Shandong, Peoples R China</t>
  </si>
  <si>
    <t>National Research Foundation - South Africa; South African Environmental Observation Network (SAEON); University of Cape Town; University of Tokyo; Japan Agency for Marine-Earth Science &amp; Technology (JAMSTEC); University of Miami; Ministry of Earth Sciences (MoES) - India; Indian Institute of Tropical Meteorology (IITM); National Oceanic Atmospheric Admin (NOAA) - USA; Museum National d'Histoire Naturelle (MNHN); Institut de Recherche pour le Developpement (IRD); Sorbonne Universite; Centre National de la Recherche Scientifique (CNRS); Universite Paris Cite; Woods Hole Oceanographic Institution; University of Hawaii System; Commonwealth Scientific &amp; Industrial Research Organisation (CSIRO); University of Colorado System; University of Colorado Boulder; Bureau of Meteorology - Australia; University System of Maryland; University of Maryland Center for Environmental Science; University of Washington; University of Washington Seattle; National Aeronautics &amp; Space Administration (NASA); NASA Jet Propulsion Laboratory (JPL); National Oceanic Atmospheric Admin (NOAA) - USA; Atlantic Oceanographic &amp; Meteorological Laboratory (AOML); Ministry of Earth Sciences (MoES) - India; National Institute of Ocean Technology (NIOT); University of New South Wales Sydney; Ministry of Earth Sciences (MoES) - India; National Centre for Polar and Ocean Research (NCPOR); Texas A&amp;M University System; Department of Space (DoS), Government of India; Physical Research Laboratory - India; University of Tasmania; University of Tasmania; University of California System; University of California San Diego; Scripps Institution of Oceanography; Council of Scientific &amp; Industrial Research (CSIR) - India; CSIR - National Institute of Oceanography (NIO); Chinese Academy of Sciences; South China Sea Institute of Oceanology, CAS; University of Southern Mississippi; First Institute of Oceanography, Ministry of Natural Resources</t>
  </si>
  <si>
    <t>Hermes, JC (corresponding author), South African Environm Observat Network, Egagasini Node, Cape Town, South Africa.;Hermes, JC (corresponding author), Univ Cape Town, Dept Oceanog, Cape Town, South Africa.</t>
  </si>
  <si>
    <t>Juliet@saeon.ac.za</t>
  </si>
  <si>
    <t>Vialard, Jérôme/C-2809-2008; Shinoda, Toshiaki/S-1721-2019; Hood, Raleigh/AGW-0453-2022; Doi, Takeshi/C-1989-2013; Lengaigne, Matthieu/K-4345-2013; McPhaden, Michael J/D-9799-2016; Tozuka, Tomoki/A-1805-2009; Doi, Takeshi/GLS-9636-2022; Wiggert, Jerry/JJD-6811-2023; Shinoda, Toshiaki/J-3745-2016; Singh, Arvind/AAW-7130-2020; Subramanian, Aneesh/AAD-5486-2021; Lee, Tong/AAZ-6447-2020; Lumpkin, Rick/C-9615-2009; Hermes, Juliet/IRZ-6210-2023; Yu, Weidong/IWL-8649-2023; Vialard, Jérôme/Z-5007-2019; Koll, Roxy Mathew/B-5863-2008; Sloyan, Bernadette/N-8989-2014; Lee, Tony/JDM-3564-2023; Han, Weiqing/JXN-0886-2024; Lengaigne, Matthieu/M-8321-2014; Subramanian, Aneesh/AFP-8577-2022; MASUMOTO, YUKIO/G-5021-2014; Ravichandran, M./AAM-1351-2020; WANG, DongXiao/B-4445-2012; Behera, Swadhin K./B-7839-2009; Strutton, Peter/C-4466-2011</t>
  </si>
  <si>
    <t>Vialard, Jérôme/0000-0001-6876-3766; Shinoda, Toshiaki/0000-0003-1416-2206; Doi, Takeshi/0000-0002-7342-9145; Lengaigne, Matthieu/0000-0002-0044-036X; Tozuka, Tomoki/0000-0001-6738-1299; Wiggert, Jerry/0000-0001-8665-0773; Subramanian, Aneesh/0000-0001-7805-0102; Lee, Tong/0000-0001-9817-2908; Lumpkin, Rick/0000-0002-6690-1704; Hermes, Juliet/0000-0001-7858-514X; Yu, Weidong/0000-0003-2503-2415; Koll, Roxy Mathew/0000-0001-9311-5162; Sloyan, Bernadette/0000-0003-0250-0167; Lengaigne, Matthieu/0000-0002-0044-036X; WANG, DongXiao/0000-0001-8778-2188; Behera, Swadhin K./0000-0001-8692-2388; Beal, Lisa/0000-0003-3678-5367; Strutton, Peter/0000-0002-2395-9471; Hood, Raleigh/0000-0002-7248-3481; Ramasamy, Venkatesan/0000-0001-7386-1539; Hendon, Harry H./0000-0002-4378-2263; Singh, Arvind/0000-0002-3060-891X; Kido, Shoichiro/0000-0001-8313-5207; Li, Jing/0000-0002-1079-3935</t>
  </si>
  <si>
    <t>PMEL contribution [4934]</t>
  </si>
  <si>
    <t>PMEL contribution</t>
  </si>
  <si>
    <t>This work was supported by the PMEL contribution no. 4934.</t>
  </si>
  <si>
    <t>10.3389/fmars.2019.00355</t>
  </si>
  <si>
    <t>IG0MK</t>
  </si>
  <si>
    <t>WOS:000473484600001</t>
  </si>
  <si>
    <t>Yu, LS; Jin, XZ; Schulz, EW</t>
  </si>
  <si>
    <t>Yu, Lisan; Jin, Xiangze; Schulz, Eric W.</t>
  </si>
  <si>
    <t>Surface heat budget in the Southern Ocean from 42°S to the Antarctic marginal ice zone: four atmospheric reanalyses versus icebreaker Aurora Australis measurements</t>
  </si>
  <si>
    <t>Surface fluxes; surface energy budget; overestimation bias; under estimation bias; surface meteorology; icebreaker-based meteorological measurements</t>
  </si>
  <si>
    <t>BOUNDARY-LAYER MODIFICATION; ENERGY-BALANCE CLOSURE; SEA-ICE; TRANSFER-COEFFICIENTS; TURBULENT EXCHANGE; DRAG COEFFICIENT; SCALAR TRANSFER; ERA-INTERIM; WEDDELL SEA; FLUX</t>
  </si>
  <si>
    <t>Surface heat fluxes from four atmospheric reanalyses in the Southern Ocean are evaluated using air-sea measurements obtained from the Aurora Australis during off-winter seasons in 2010-12. The icebreaker tracked between Hobart, Tasmania (ca. 42 degrees S), and the Antarctic continent, providing in situ benchmarks for the surface energy budget change in the Subantarctic Southern Ocean (58-42 degrees S) and the eastern Antarctic marginal ice zone (MIZ, 68-58 degrees S). We find that the reanalyses show a high-level agreement among themselves, but this agreement reflects a universal bias, not a truth. Downward shortwave radiation (SW down arrow) is overestimated (warm biased) and downward longwave radiation (LW down arrow) is underestimated (cold biased), an indication that the cloud amount in all models is too low. The ocean surface in both regimes shows a heat gain from the atmosphere when averaged over the seven months (October-April). However, the ocean heat gain in reanalyses is overestimated by 10-36 W m(-2) (80-220%) in the MIZ but underestimated by 6-20 W m(-2) (7-25%) in the Subantarctic. The biases in SW down arrow and LW down arrow cancel out each other in the MIZ, causing the surface heat budget to be dictated by the underestimation bias in sensible heat loss. These reanalyses biases affect the surface energy budget in the Southern Ocean by meaningfully affecting the timing of the seasonal transition from net heat gain to net heat loss at the surface and the relative strength of SW down arrow at different regimes in summer, when the length-of-day effect can lead to increased SW down arrow at high latitudes.</t>
  </si>
  <si>
    <t>[Yu, Lisan; Jin, Xiangze] Woods Hole Oceanog Inst, Dept Phys Oceanog, Mail Stop 21, Woods Hole, MA 02543 USA; [Schulz, Eric W.] Australian Bur Meteorol, Ctr Australian Weather &amp; Climate Res, Melbourne, Vic, Australia</t>
  </si>
  <si>
    <t>Woods Hole Oceanographic Institution; Commonwealth Scientific &amp; Industrial Research Organisation (CSIRO); Bureau of Meteorology - Australia</t>
  </si>
  <si>
    <t>Yu, LS (corresponding author), Woods Hole Oceanog Inst, Dept Phys Oceanog, Mail Stop 21, Woods Hole, MA 02543 USA.</t>
  </si>
  <si>
    <t>lyu@whoi.edu</t>
  </si>
  <si>
    <t>Yu, Lisan/AIB-2264-2022</t>
  </si>
  <si>
    <t>Yu, Lisan/0000-0003-4157-9154</t>
  </si>
  <si>
    <t>NOAA Climate Observation Division [NA14OAR4320158]; NOAA Modeling, Analysis, Predictions, and Projections Program's Climate Reanalysis Task Force [NA13OAR4310106]</t>
  </si>
  <si>
    <t>NOAA Climate Observation Division(National Oceanic Atmospheric Admin (NOAA) - USA); NOAA Modeling, Analysis, Predictions, and Projections Program's Climate Reanalysis Task Force(National Oceanic Atmospheric Admin (NOAA) - USA)</t>
  </si>
  <si>
    <t>The study is supported by the NOAA Climate Observation Division grant NA14OAR4320158 and NOAA Modeling, Analysis, Predictions, and Projections Program's Climate Reanalysis Task Force through grant no. NA13OAR4310106.</t>
  </si>
  <si>
    <t>10.33265/polar.v38.3349</t>
  </si>
  <si>
    <t>IH1BO</t>
  </si>
  <si>
    <t>WOS:000474226500001</t>
  </si>
  <si>
    <t>Yamazaki, SJ; Ohara, K; Ito, K; Kokubun, N; Kitanishi, T; Takaichi, D; Yamada, Y; Ikejiri, Y; Hiramatsu, F; Fujita, K; Tanimoto, Y; Yamazoe-Umemoto, A; Hashimoto, K; Sato, K; Yoda, K; Takahashi, A; Ishikawa, Y; Kamikouchi, A; Hiryu, S; Maekawa, T; Kimura, KD</t>
  </si>
  <si>
    <t>Yamazaki, Shuhei J.; Ohara, Kazuya; Ito, Kentaro; Kokubun, Nobuo; Kitanishi, Takuma; Takaichi, Daisuke; Yamada, Yasufumi; Ikejiri, Yosuk; Hiramatsu, Fumie; Fujita, Kosuke; Tanimoto, Yuki; Yamazoe-Umemoto, Akiko; Hashimoto, Koichi; Sato, Katsufumi; Yoda, Ken; Takahashi, Akinori; Ishikawa, Yuki; Kamikouchi, Azusa; Hiryu, Shizuko; Maekawa, Takuya; Kimura, Koutarou D.</t>
  </si>
  <si>
    <t>STEFTR: A Hybrid Versatile Method for State Estimation and Feature Extraction From the Trajectory of Animal Behavior</t>
  </si>
  <si>
    <t>FRONTIERS IN NEUROSCIENCE</t>
  </si>
  <si>
    <t>quantitative behavioral analysis; behavioral states; feature extraction; navigation; calcium imaging; genetic screening</t>
  </si>
  <si>
    <t>STREAKED SHEARWATERS; COURTSHIP BEHAVIOR; GENES; MECHANISMS; EXPRESSION; OLFACTION; GENETICS; MOVEMENT; ETHOLOGY; PROTEIN</t>
  </si>
  <si>
    <t>Animal behavior is the final and integrated output of brain activity. Thus, recording and analyzing behavior is critical to understand the underlying brain function. While recording animal behavior has become easier than ever with the development of compact and inexpensive devices, detailed behavioral data analysis requires sufficient prior knowledge and/or high content data such as video images of animal postures, which makes it difficult for most of the animal behavioral data to be efficiently analyzed. Here, we report a versatile method using a hybrid supervised/unsupervised machine learning approach for behavioral state estimation and feature extraction (STEFTR) only from low-content animal trajectory data. To demonstrate the effectiveness of the proposed method, we analyzed trajectory data of worms, fruit flies, rats, and bats in the laboratories, and penguins and flying seabirds in the wild, which were recorded with various methods and span a wide range of spatiotemporal scales-from mm to 1,000 km in space and from sub-seconds to days in time. We successfully estimated several states during behavior and comprehensively extracted characteristic features from a behavioral state and/or a specific experimental condition. Physiological and genetic experiments in worms revealed that the extracted behavioral features reflected specific neural or gene activities. Thus, our method provides a versatile and unbiased way to extract behavioral features from simple trajectory data to understand brain function.</t>
  </si>
  <si>
    <t>[Yamazaki, Shuhei J.; Ikejiri, Yosuk; Hiramatsu, Fumie; Fujita, Kosuke; Tanimoto, Yuki; Yamazoe-Umemoto, Akiko; Kimura, Koutarou D.] Osaka Univ, Grad Sch Sci, Toyonaka, Osaka, Japan; [Yamazaki, Shuhei J.; Ikejiri, Yosuk; Kimura, Koutarou D.] Nagoya City Univ, Grad Sch Nat Sci, Nagoya, Aichi, Japan; [Ohara, Kazuya; Maekawa, Takuya] Osaka Univ, Grad Sch Informat Sci &amp; Technol, Suita, Osaka, Japan; [Ito, Kentaro; Kokubun, Nobuo; Takahashi, Akinori] Grad Univ Adv Studies, Dept Polar Sci, Tachikawa, Tokyo, Japan; [Kokubun, Nobuo; Takahashi, Akinori] Natl Inst Polar Res, Tachikawa, Tokyo, Japan; [Kitanishi, Takuma] Osaka City Univ, Grad Sch Med, Dept Physiol, Osaka, Japan; [Kitanishi, Takuma] Osaka City Univ, Grad Sch Med, Ctr Brain Sci, Osaka, Japan; [Kitanishi, Takuma] Japan Sci &amp; Technol Agcy, Precursory Res Embryon Sci &amp; Technol, Kawaguchi, Saitama, Japan; [Takaichi, Daisuke; Ishikawa, Yuki; Kamikouchi, Azusa] Nagoya Univ, Grad Sch Sci, Nagoya, Aichi, Japan; [Yamada, Yasufumi; Hiryu, Shizuko] Doshisha Univ, Fac Life &amp; Med Sci, Kyotanabe, Japan; [Hashimoto, Koichi] Tohoku Univ, Grad Sch Informat Sci, Sendai, Miyagi, Japan; [Sato, Katsufumi] Univ Tokyo, Atmosphere &amp; Ocean Res Inst, Kashiwa, Chiba, Japan; [Yoda, Ken] Nagoya Univ, Grad Sch Environm Studies, Nagoya, Aichi, Japan</t>
  </si>
  <si>
    <t>Osaka University; Nagoya City University; Osaka University; Graduate University for Advanced Studies - Japan; Research Organization of Information &amp; Systems (ROIS); National Institute of Polar Research (NIPR) - Japan; Osaka Metropolitan University; Osaka Metropolitan University; Japan Science &amp; Technology Agency (JST); Nagoya University; Doshisha University; Tohoku University; University of Tokyo; Nagoya University</t>
  </si>
  <si>
    <t>Kimura, KD (corresponding author), Osaka Univ, Grad Sch Sci, Toyonaka, Osaka, Japan.;Kimura, KD (corresponding author), Nagoya City Univ, Grad Sch Nat Sci, Nagoya, Aichi, Japan.</t>
  </si>
  <si>
    <t>kokimura-lab@umin.ac.jp</t>
  </si>
  <si>
    <t>Kitanishi, Takuma/A-2007-2012; Kimura, Koutarou D./T-9645-2019; Hashimoto, Koichi/AAF-7646-2019</t>
  </si>
  <si>
    <t>Kitanishi, Takuma/0000-0001-8062-3854; Kimura, Koutarou D./0000-0002-3359-1578; Tanimoto, Yuki/0000-0002-7434-678X; Hashimoto, Koichi/0000-0002-4473-2698; Takahashi, Akinori/0000-0002-9868-0408; Ito, Kentaro/0000-0001-9254-0968; Yamada, Yasufumi/0000-0003-3666-2084; Kamikouchi, Azusa/0000-0003-1552-6892</t>
  </si>
  <si>
    <t>Interdisciplinary graduate school program for systematic understanding of health and disease; Tohoku Ecosystem-Associated Marine Science; 58th Japanese Antarctic Research Expedition; MEXT [KAKENHI JP16K16185, JP25249020, JP16H06536, JP24681006, JP16H01769, JP16H06541, 17H05983, JP16H04655, JP18H05069, JP17K19450, JP16H06542, JP16H06539, JP16H06545]; JST [PRESTO 11008]; Osaka University Co-Creation Program; Grants-in-Aid for Scientific Research [17H05983] Funding Source: KAKEN</t>
  </si>
  <si>
    <t>Interdisciplinary graduate school program for systematic understanding of health and disease; Tohoku Ecosystem-Associated Marine Science; 58th Japanese Antarctic Research Expedition; MEXT(Ministry of Education, Culture, Sports, Science and Technology, Japan (MEXT)); JST(Japan Science &amp; Technology Agency (JST)); Osaka University Co-Creation Program; Grants-in-Aid for Scientific Research(Ministry of Education, Culture, Sports, Science and Technology, Japan (MEXT)Japan Society for the Promotion of ScienceGrants-in-Aid for Scientific Research (KAKENHI))</t>
  </si>
  <si>
    <t>This work was supported by the Interdisciplinary graduate school program for systematic understanding of health and disease (for SJY), by the Tohoku Ecosystem-Associated Marine Science (for KS), by 58th Japanese Antarctic Research Expedition (for KI, NK, and AT) by KAKENHI JP16K16185 (for NK), JP25249020 and JP16H06536 (for KH), JP24681006, JP16H01769, JP16H06541 (for KY), 17H05983 (for AT), JP16H04655, JP18H05069, and JP17K19450 (for AK), JP16H06542 (for SH), JP16H06539 (for TM), JP16H06545 (for KDK) from the MEXT, by PRESTO 11008 (for SH) by JST, and by the Osaka University Co-Creation Program (for TM and KDK).</t>
  </si>
  <si>
    <t>1662-453X</t>
  </si>
  <si>
    <t>FRONT NEUROSCI-SWITZ</t>
  </si>
  <si>
    <t>Front. Neurosci.</t>
  </si>
  <si>
    <t>10.3389/fnins.2019.00626</t>
  </si>
  <si>
    <t>Neurosciences</t>
  </si>
  <si>
    <t>IF7AP</t>
  </si>
  <si>
    <t>WOS:000473234200001</t>
  </si>
  <si>
    <t>Sandiford, D; Moresi, L</t>
  </si>
  <si>
    <t>Sandiford, Dan; Moresi, Louis</t>
  </si>
  <si>
    <t>Improving subduction interface implementation in dynamic numerical models</t>
  </si>
  <si>
    <t>SOLID EARTH</t>
  </si>
  <si>
    <t>MANTLE CONVECTION; SEDIMENT SUBDUCTION; INTERPLATE DOMAIN; MELANGE FORMATION; TRANSITION-ZONE; PLATE-TECTONICS; RHEOLOGY; TRENCH; FLOW; LITHOSPHERE</t>
  </si>
  <si>
    <t>Numerical subduction models often implement an entrained weak layer (WL) to facilitate decoupling of the slab and upper plate. This approach is attractive in its simplicity, and can provide stable, asymmetric subduction systems that persist for many tens of millions of years. In this study we undertake a methodological analysis of the WL approach, and use these insights to guide improvements to the implementation. The issue that primarily motivates the study is the emergence of significant spatial and temporal thickness variations within the WL. We show that these variations are mainly the response to volumetric flux gradients, caused by the change in boundary conditions as the WL material enters and exits the zone of decoupling. The time taken to reach a quasi-equilibrium thickness profile will depend on the total plate convergence, and is around 7 Myr for the models presented here. During the transient stage, width variations along the WL can exceed 4 x, which may impact the effective strength of the interface, through physical effects if the rheology is linear, or simply if the interface becomes inadequately numerically resolved. The transient stage also induces strong sensitivity to model resolution. By prescribing a variable-thickness WL at the outset of the model, and by controlling the limits of the layer thickness during the model evolution, we find improved stability and resolution convergence of the models.</t>
  </si>
  <si>
    <t>[Sandiford, Dan; Moresi, Louis] Univ Melbourne, Sch Earth Sci, Melbourne, Vic 3010, Australia; [Sandiford, Dan] Univ Tasmania, Inst Marine &amp; Antarctic Studies, Hobart, Tas 7004, Australia</t>
  </si>
  <si>
    <t>University of Melbourne; Melbourne Bioinformatics; University of Tasmania</t>
  </si>
  <si>
    <t>Sandiford, D (corresponding author), Univ Melbourne, Sch Earth Sci, Melbourne, Vic 3010, Australia.;Sandiford, D (corresponding author), Univ Tasmania, Inst Marine &amp; Antarctic Studies, Hobart, Tas 7004, Australia.</t>
  </si>
  <si>
    <t>dan.sandiford@utas.edu.au</t>
  </si>
  <si>
    <t>Moresi, Louis-Noel/0000-0003-3685-174X; Sandiford, Dan/0000-0002-2207-6837</t>
  </si>
  <si>
    <t>Centre of Excellence for Core to Crust Fluid Systems, Australian Research Council [DP150102887]; Baragwanath Geology Research Scholarship</t>
  </si>
  <si>
    <t>Centre of Excellence for Core to Crust Fluid Systems, Australian Research Council; Baragwanath Geology Research Scholarship</t>
  </si>
  <si>
    <t>This research has been supported by the Centre of Excellence for Core to Crust Fluid Systems, Australian Research Council (grant no. DP150102887). Dan Sandiford's postgraduate research at the University of Melbourne was supported by a Baragwanath Geology Research Scholarship.</t>
  </si>
  <si>
    <t>1869-9510</t>
  </si>
  <si>
    <t>1869-9529</t>
  </si>
  <si>
    <t>Solid Earth</t>
  </si>
  <si>
    <t>10.5194/se-10-969-2019</t>
  </si>
  <si>
    <t>IF6YQ</t>
  </si>
  <si>
    <t>WOS:000473229100001</t>
  </si>
  <si>
    <t>Siegert, M; Atkinson, A; Banwell, A; Brandon, M; Convey, P; Davies, B; Downie, R; Edwards, T; Hubbard, B; Marshall, G; Rogelj, J; Rumble, J; Stroeve, J; Vaughan, D</t>
  </si>
  <si>
    <t>Siegert, Martin; Atkinson, Angus; Banwell, Alison; Brandon, Mark; Convey, Peter; Davies, Bethan; Downie, Rod; Edwards, Tamsin; Hubbard, Bryn; Marshall, Gareth; Rogelj, Joeri; Rumble, Jane; Stroeve, Julienne; Vaughan, David</t>
  </si>
  <si>
    <t>The Antarctic Peninsula Under a 1.5°C Global Warming Scenario</t>
  </si>
  <si>
    <t>FRONTIERS IN ENVIRONMENTAL SCIENCE</t>
  </si>
  <si>
    <t>polar change; glaciers and climate; sea ice; marine biology; terrestrial biology</t>
  </si>
  <si>
    <t>ICE-SHELF; CLIMATE-CHANGE; RECENT TRENDS; SURFACE MELT; VARIABILITY; TEMPERATURES; ECOSYSTEMS; RETREAT; MODELS</t>
  </si>
  <si>
    <t>Warming of the Antarctic Peninsula in the latter half of the twentieth century was greater than any other terrestrial environment in the Southern Hemisphere, and clear cryospheric and biological consequences have been observed. Under a global 1.5 degrees C scenario, warming in the Antarctic Peninsula is likely to increase the number of days above 0 degrees C, with up to 130 of such days each year in the northern Peninsula. Ocean turbulence will increase, making the circumpolar deep water (CDW) both warmer and shallower, delivering heat to the sea surface and to coastal margins. Thinning and recession of marine margins of glaciers and ice caps is expected to accelerate to terrestrial limits, increasing iceberg production, after which glacier retreat may slow on land. Ice shelves will experience continued increase in meltwater production and consequent structural change, but not imminent regional collapses. Marine biota can respond in multiple ways to climatic changes, with effects complicated by past resource extraction activities. Southward distribution shifts have been observed in multiple taxa during the last century and these are likely to continue. Exposed (ice free) terrestrial areas will expand, providing new habitats for native and non-native organisms, but with a potential loss of genetic diversity. While native terrestrial biota are likely to benefit from modest warming, the greatest threat to native biodiversity is from non-native terrestrial species.</t>
  </si>
  <si>
    <t>[Siegert, Martin; Rogelj, Joeri] Imperial Coll London, Grantham Inst, Dept Earth Sci &amp; Engn, London, England; [Atkinson, Angus] Plymouth Marine Lab, Plymouth, Devon, England; [Banwell, Alison] Univ Colorado, Cooperat Inst Res Environm Sci, Boulder, CO 80309 USA; [Brandon, Mark] Open Univ, Sch Environm Earth &amp; Ecosyst Sci, Milton Keynes, Bucks, England; [Convey, Peter; Marshall, Gareth; Vaughan, David] British Antarctic Survey, NERC, Cambridge, England; [Davies, Bethan] Royal Holloway Univ London, Dept Geog, Ctr Quaternary Res, Egham, Surrey, England; [Downie, Rod] WWF UK, Living Planet Ctr, Woking, Surrey, England; [Edwards, Tamsin] Kings Coll London, Dept Geog, London, England; [Hubbard, Bryn] Aberystwyth Univ, Dept Geog &amp; Earth Sci, Aberystwyth, Dyfed, Wales; [Rumble, Jane] UK Foreign &amp; Commonwealth Off, Polar Reg Dept, London, England; [Stroeve, Julienne] Univ Manitoba, Ctr Earth Observat Sci, Winnipeg, MB, Canada; [Stroeve, Julienne] UCL, Ctr Polar Observat &amp; Modelling, London, England</t>
  </si>
  <si>
    <t>Imperial College London; Plymouth Marine Laboratory; University of Colorado System; University of Colorado Boulder; Open University - UK; UK Research &amp; Innovation (UKRI); Natural Environment Research Council (NERC); NERC British Antarctic Survey; University of London; Royal Holloway University London; World Wildlife Fund; University of London; King's College London; Aberystwyth University; University of Manitoba; University of London; University College London</t>
  </si>
  <si>
    <t>Siegert, M (corresponding author), Imperial Coll London, Grantham Inst, Dept Earth Sci &amp; Engn, London, England.</t>
  </si>
  <si>
    <t>m.siegert@imperial.ac.uk</t>
  </si>
  <si>
    <t>Stroeve, Julienne/ABE-7227-2020; Convey, Peter/AAV-5728-2020; Davies, Bethan/KFR-3266-2024; Rogelj, Joeri/I-7108-2012; Siegert, Martin/M-9939-2019; Atkinson, Angus/HOH-3417-2023; Banwell, Alison/W-8180-2018</t>
  </si>
  <si>
    <t>Convey, Peter/0000-0001-8497-9903; Davies, Bethan/0000-0002-8636-1813; Siegert, Martin/0000-0002-0090-4806; Banwell, Alison/0000-0001-9545-829X</t>
  </si>
  <si>
    <t>UK Foreign and Commonwealth Office; NERC [bas0100036, bas010011, cpom30001, bas0100032, NE/J013544/1, pml010004] Funding Source: UKRI</t>
  </si>
  <si>
    <t>UK Foreign and Commonwealth Office; NERC(UK Research &amp; Innovation (UKRI)Natural Environment Research Council (NERC))</t>
  </si>
  <si>
    <t>Funding for a workshop at Imperial College London that led to the paper, involving all authors, was provided by the UK Foreign and Commonwealth Office.</t>
  </si>
  <si>
    <t>2296-665X</t>
  </si>
  <si>
    <t>FRONT ENV SCI-SWITZ</t>
  </si>
  <si>
    <t>Front. Environ. Sci.</t>
  </si>
  <si>
    <t>10.3389/fenvs.2019.00102</t>
  </si>
  <si>
    <t>IG0TV</t>
  </si>
  <si>
    <t>WOS:000473504100001</t>
  </si>
  <si>
    <t>Pecl, GT; Stuart-Smith, J; Walsh, P; Bray, DJ; Kusetic, M; Burgess, M; Frusher, SD; Gledhill, DC; George, O; Jackson, G; Keane, J; Martin, VY; Nursey-Bray, M; Pender, A; Robinson, LM; Rowling, K; Sheaves, M; Moltschaniwskyj, N</t>
  </si>
  <si>
    <t>Pecl, Gretta T.; Stuart-Smith, Jemina; Walsh, Peter; Bray, Dianne J.; Kusetic, Martha; Burgess, Michael; Frusher, Stewart D.; Gledhill, Daniel C.; George, Oliver; Jackson, Gary; Keane, John; Martin, Victoria Y.; Nursey-Bray, Melissa; Pender, Andrew; Robinson, Lucy M.; Rowling, Keith; Sheaves, Marcus; Moltschaniwskyj, Natalie</t>
  </si>
  <si>
    <t>Redmap Australia: Challenges and Successes With a Large-Scale Citizen Science-Based Approach to Ecological Monitoring and Community Engagement on Climate Change</t>
  </si>
  <si>
    <t>citizen science program; climate change ecology; community-based monitoring; data verification; range-shift; science communication; species identification; species redistribution</t>
  </si>
  <si>
    <t>FISH; IDENTIFICATION; ABUNDANCE; HOTSPOTS; REVEALS; SHIFTS; TOOL</t>
  </si>
  <si>
    <t>Citizen science includes a suite of research approaches that involves participation by citizens, who are not usually trained scientists, in scientific projects. Citizen science projects have the capacity to record observations of species with high precision and accuracy, offering the potential for collection of biological data to support a diversity of research investigations. Moreover, via the involvement of project participants, these projects have the potential to engage the public on scientific issues and to possibly contribute to changes in community knowledge, attitudes and behaviors. However, there are considerable challenges in ensuring that large-scale collection and verification of species data by the untrained public is a robust and useful long-term endeavor, and that project participants are indeed engaged and acquiring knowledge. Here, we describe approaches taken to overcome challenges in creation and maintenance of a website-based national citizen science initiative where fishers, divers, and other coastal users submit opportunistic photographic observations of 'out-of-range' species. The Range Extension Database and Mapping Project (Redmap Australia) has two objectives, (1) ecological monitoring for the early detection of species that may be extending their geographic distribution due to environmental change, and (2) engaging the public on the ecological impacts of climate change, using the public's own data. Semi-automated `managed crowd-sourcing' of an Australia-wide network of scientists with taxonomic expertise is used to verify every photographic observation. This unique system is supported by efficient workflows that ensures the rigor of data submitted. Moreover, ease of involvement for participants and prompt personal feedback has contributed to generating and maintaining ongoing interest. The design of Redmap Australia allows co-creation of knowledge with the community - without participants requiring formal training - providing an opportunity to engage sectors of the community that may not necessarily be willing to undergo training or otherwise be formally involved or engaged in citizen science. Given that capturing changes in our natural environment requires many observations spread over time and space, identifying factors and processes that support large-scale citizen science monitoring projects is increasingly critical.</t>
  </si>
  <si>
    <t>[Pecl, Gretta T.; Stuart-Smith, Jemina; Walsh, Peter; Frusher, Stewart D.; Keane, John; Pender, Andrew] Univ Tasmania, Inst Marine &amp; Antarctic Studies, Hobart, Tas, Australia; [Pecl, Gretta T.; Frusher, Stewart D.] Ctr Marine Socioecol, Hobart, Tas, Australia; [Bray, Dianne J.] Museum Victoria, Melbourne, Vic, Australia; [Kusetic, Martha; Sheaves, Marcus] James Cook Univ, Townsville, Qld, Australia; [Burgess, Michael] Fishcare Victoria Inc, Bairnsdale, Vic, Australia; [Gledhill, Daniel C.] Dept Primary Ind Pk Water &amp; Environm, Div Water &amp; Marine Resources, Hobart, Tas, Australia; [George, Oliver] Condense Ply Ltd, Hobart, Tas, Australia; [Jackson, Gary] Govt Western Australia, Dept Primary Ind &amp; Reg Dev, North Beach, WA, Australia; [Martin, Victoria Y.] Cornell Univ, Cornell Lab Ornithol, Ithaca, NY USA; [Nursey-Bray, Melissa] Univ Adelaide, Geog Environm &amp; Populat, Adelaide, SA, Australia; [Robinson, Lucy M.] Univ Western Australia, Oceans Inst, Perth, WA, Australia; [Robinson, Lucy M.] Univ Western Australia, Oceans Grad Sch, Perth, WA, Australia; [Robinson, Lucy M.] CSIRO Oceans &amp; Atmosphere, Crawley, WA, Australia; [Rowling, Keith] PIRSA Fisheries &amp; Aquaculture, Adelaide, SA, Australia; [Moltschaniwskyj, Natalie] Govt New South Wales, Dept Primary Ind, Sydney, NSW, Australia; [Moltschaniwskyj, Natalie] Univ Newcastle, Sch Environm &amp; Life Sci, Callaghan, NSW, Australia</t>
  </si>
  <si>
    <t>University of Tasmania; Museum Victoria; James Cook University; Government of Western Australia; Cornell University; University of Adelaide; University of Western Australia; University of Western Australia; Commonwealth Scientific &amp; Industrial Research Organisation (CSIRO); NSW Department of Primary Industries; University of Newcastle</t>
  </si>
  <si>
    <t>Pecl, GT (corresponding author), Univ Tasmania, Inst Marine &amp; Antarctic Studies, Hobart, Tas, Australia.;Pecl, GT (corresponding author), Ctr Marine Socioecol, Hobart, Tas, Australia.</t>
  </si>
  <si>
    <t>gretta.pecl@utas.edu.au</t>
  </si>
  <si>
    <t>Martin, Vicki/J-2131-2019; Pecl, Gretta/D-7267-2011; Alidadi, Mehdi/HJZ-0235-2023; Moltschaniwskyj, Natalie/AAB-7236-2019; Frusher, Stewart D/G-5117-2014</t>
  </si>
  <si>
    <t>Martin, Vicki/0000-0003-3492-9240; Pecl, Gretta/0000-0003-0192-4339; Alidadi, Mehdi/0000-0001-5183-7829; Nursey-Bray, Melissa/0000-0002-4121-5177; Keane, John Patrick/0000-0001-8950-5176; Moltschaniwskyj, Natalie/0000-0001-9709-9876; Robinson, Lucy/0000-0001-9324-401X</t>
  </si>
  <si>
    <t>Tasmanian Community Fund; Inspiring Australia; Australian National Data Service; Fishwise; Department of Agriculture Fisheries and Forestry; Climate Connect; ARC; Western Australia Department of Fisheries; IMAS at the University of Tasmania; ARC Future Fellowship</t>
  </si>
  <si>
    <t>Tasmanian Community Fund; Inspiring Australia; Australian National Data Service; Fishwise; Department of Agriculture Fisheries and Forestry(Australian GovernmentDepartment of Agriculture and Water Resources); Climate Connect; ARC(Australian Research Council); Western Australia Department of Fisheries; IMAS at the University of Tasmania; ARC Future Fellowship(Australian Research Council)</t>
  </si>
  <si>
    <t>Funding for Redmap Tasmania was initially through the Tasmanian Community Fund; subsequent funding has included Inspiring Australia, Australian National Data Service, Fishwise, Department of Agriculture Fisheries and Forestry, Climate Connect, ARC, Western Australia Department of Fisheries, and IMAS at the University of Tasmania. GP was supported by an ARC Future Fellowship.</t>
  </si>
  <si>
    <t>10.3389/fmars.2019.00349</t>
  </si>
  <si>
    <t>IG0MG</t>
  </si>
  <si>
    <t>WOS:000473484200001</t>
  </si>
  <si>
    <t>Fritts, DC; Iimura, H; Janches, D; Lieberman, RS; Riggin, DM; Mitchell, NJ; Vincent, RA; Reid, IM; Murphy, DJ; Tsutsumi, M; Kavanagh, AJ; Batista, PP; Hocking, WK</t>
  </si>
  <si>
    <t>Fritts, David C.; Iimura, Hiroyuki; Janches, Diego; Lieberman, Ruth S.; Riggin, Dennis M.; Mitchell, Nicholas J.; Vincent, Robert A.; Reid, Iain M.; Murphy, Damian J.; Tsutsumi, Masaki; Kavanagh, Andrew J.; Batista, Paulo P.; Hocking, Wayne K.</t>
  </si>
  <si>
    <t>Structure, Variability, and Mean-Flow Interactions of the January 2015 Quasi-2-Day Wave at Middle and High Southern Latitudes</t>
  </si>
  <si>
    <t>quasi-2-day wave; quasi-2-day wave transience; planetary-wave; mean-flow interactions; planetary-wave Eliassen-Palm fluxes</t>
  </si>
  <si>
    <t>QUASI 2-DAY WAVE; NONUNIFORM BACKGROUND CONFIGURATIONS; ROSSBY NORMAL-MODES; METEOR RADAR; LOWER-THERMOSPHERE; PLANETARY-WAVES; MOMENTUM FLUXES; BAROCLINIC INSTABILITY; SUMMER MESOSPHERE; WIND MEASUREMENTS</t>
  </si>
  <si>
    <t>The structure, variability, and mean-flow interactions of the quasi-2-day wave (Q2DW) in the mesosphere and lower thermosphere during January 2015 were studied employing meteor and medium-frequency radar winds at eight sites from 23 degrees S to 76 degrees S and Microwave Limb Sounder (MLS) temperature and geopotential height measurements from 30 degrees S to 80 degrees S. The event had a duration of 20-25 days, dominant periods of 44-52 hr, temperature amplitudes as large as 16 K, and zonal and meridional wind amplitudes as high as 40 and 80 m/s, respectively, at middle and lower latitudes. MLS measurements enabled definition of balance winds that agreed well with radar wind amplitudes and phases at middle latitudes where amplitudes were large and quantification of the various Q2DW modes contributing to the full wave field. The Q2DW event was composed primarily of the westward zonal wavenumber 3 (W3) mode but also had measurable amplitudes in other westward modes W1, W2, and W4; eastward modes E1 and E2; and stationary mode S0. Of the secondary modes, W1, W2, and E2 had the larger amplitudes. Inferred MLS balance winds enabled estimates of the Eliassen-Palm fluxes for each mode, and cumulative zonal accelerations that were found to be in reasonable agreement with radar estimates from 35 degrees S to 70 degrees S at the lower altitudes at which radar winds were available.</t>
  </si>
  <si>
    <t>[Fritts, David C.; Iimura, Hiroyuki; Riggin, Dennis M.] GATS, Boulder, CO 80301 USA; [Janches, Diego] NASA, Goddard Space Flight Ctr, Greenbelt, MD USA; [Lieberman, Ruth S.; Mitchell, Nicholas J.] Univ Bath, Dept Elect &amp; Elect Engn, Bath, Avon, England; [Vincent, Robert A.; Reid, Iain M.] Univ Adelaide, Sch Phys Sci, Adelaide, SA, Australia; [Reid, Iain M.] Atrad Pty Ltd, Thebarton, SA, Australia; [Murphy, Damian J.] Dept Environm &amp; Energy, Kingston, Tas, Australia; [Tsutsumi, Masaki] Natl Inst Polar Res, Tokyo, Japan; [Tsutsumi, Masaki] Grad Univ Adv Studies, Tokyo, Japan; [Kavanagh, Andrew J.] British Antarctic Survey, Cambridge, England; [Batista, Paulo P.] Inst Nacl Pesquisas Espaciais, Sao Paulo, Brazil; [Hocking, Wayne K.] Univ Western Ontario, Dept Phys, London, ON, Canada</t>
  </si>
  <si>
    <t>National Aeronautics &amp; Space Administration (NASA); NASA Goddard Space Flight Center; University of Bath; University of Adelaide; ATRAD Pty Ltd.; Research Organization of Information &amp; Systems (ROIS); National Institute of Polar Research (NIPR) - Japan; Graduate University for Advanced Studies - Japan; UK Research &amp; Innovation (UKRI); Natural Environment Research Council (NERC); NERC British Antarctic Survey; Instituto Nacional de Pesquisas Espaciais (INPE); Western University (University of Western Ontario)</t>
  </si>
  <si>
    <t>Fritts, DC (corresponding author), GATS, Boulder, CO 80301 USA.</t>
  </si>
  <si>
    <t>dave@gats-inc.com</t>
  </si>
  <si>
    <t>Janches, Diego/D-4674-2012; Reid, Iain/B-5681-2012; BATISTA, PAULO PRADO/C-2616-2009; Vincent, Robert/E-5450-2013</t>
  </si>
  <si>
    <t>Reid, Iain/0000-0003-2340-9047; BATISTA, PAULO PRADO/0000-0002-5448-5803; Mitchell, Nicholas/0000-0003-1149-8484; Murphy, Damian/0000-0003-1738-5560; Vincent, Robert/0000-0001-6559-6544; Fritts, Dave/0000-0002-6402-105X</t>
  </si>
  <si>
    <t>NSF; NASA; Atrad Pty Ltd; AAS [2668]; University of Adelaide; Australian Antarctic Science project [4025]; Natural Environment Research Council, National Capability [NE/R016038/1]; NERC [bas0100031, NE/R016038/1, NE/K015117/1, NE/R001391/1] Funding Source: UKRI</t>
  </si>
  <si>
    <t>NSF(National Science Foundation (NSF)); NASA(National Aeronautics &amp; Space Administration (NASA)); Atrad Pty Ltd; AAS; University of Adelaide; Australian Antarctic Science project; Natural Environment Research Council, National Capability; NERC(UK Research &amp; Innovation (UKRI)Natural Environment Research Council (NERC))</t>
  </si>
  <si>
    <t>Research described here was funded by NSF and NASA grants cited in GEMS. The Kingston meteor radar was funded by Atrad Pty Ltd and supported by AAS grant project 2668. The Adelaide meteor radar is supported by Atrad Pty Ltd and the University of Adelaide. Operation of the Davis and Kingston radars was supported through Australian Antarctic Science project 4025. The Rothera MF radar is a joint project between GATS and the British Antarctic Survey (BAS). The Rothera meteor radar is a joint project between the University of Bath and BAS. The Halley MF radar is operated by BAS. Andrew J. Kavanagh is supported by the Natural Environment Research Council, National Capability (NE/R016038/1). Movies showing the evolutions of the full Q2DW field and the individual Q2DW components throughout this event are provided as supporting information (see Movies S1-S3). The authors are indebted to Genesis staff in Adelaide, Australia and Estacion Astronomica Rio Grande staff in Rio Grande, Argentina, for their efforts in maintaining SAAMER. MLT radar data used here are available online (https://cedarweb.vsp.ucar.edu/wiki/index.php/Data_Services: Main). MLS data are available online (https://mls.nasa.gov/data?).</t>
  </si>
  <si>
    <t>JUN 27</t>
  </si>
  <si>
    <t>10.1029/2018JD029728</t>
  </si>
  <si>
    <t>IM2CR</t>
  </si>
  <si>
    <t>WOS:000477800000005</t>
  </si>
  <si>
    <t>Choi, TI; Kim, SJ; Kim, JH; Kwon, H; Lazzara, MA</t>
  </si>
  <si>
    <t>Choi, Taej In; Kim, Seong-Joong; Kim, Ji Hee; Kwon, Hataek; Lazzara, Matthew A.</t>
  </si>
  <si>
    <t>Characteristics of Surface Meteorology at Lindsey Islands, Amundsen Sea, West Antarctica</t>
  </si>
  <si>
    <t>West Antarctica; Amundsen Sea Low; meteorology; coastal area; ERA-Interim; ERA5</t>
  </si>
  <si>
    <t>SEMIANNUAL OSCILLATION; SOUTHERN-HEMISPHERE; ANNUAL CYCLE; WIND-SPEED; CLIMATE; TEMPERATURE; PRESSURE; VARIABILITY; TRENDS</t>
  </si>
  <si>
    <t>Investigating warming in West Antarctica is important to understand and predict mass balance changes of the ice sheet. However, clear understanding of the extent and rate of warming across West Antarctica has been limited by the lack of ground-based meteorological measurements. An automatic weather station was set up at Lindsey Islands, the Amundsen Sea of West Antarctica, in 2008, and operated for about 7 years. The measured variables showed high interannual variability, particularly in winter seasons. The longitudinal shift of the center of the Amundsen Sea Low contributed to the large variability and resulted in much lower temperatures at the site, especially in winter seasons, through cold advection from the south. The measured data showed good agreement with ERA-Interim and ERA5 reanalysis data, though there was a large negative bias in wind speed. The ERA-Interim reanalysis data showed no significant trends in seasonal averaged temperature from 1980 to 2014, but significant trends were shown in pressure and wind speed in autumn (p &lt; 0.05), even though the interpretation of the trend requires caution. The seasonal correlation coefficients of monthly averaged temperature (T) and pressure (P) between the study site and three neighboring automatic weather station sites in the coastal area were &gt;0.8 for T and &gt;0.92 for P and up to 0.76 for P and 0.72 for T at an inland site.</t>
  </si>
  <si>
    <t>[Choi, Taej In; Kim, Seong-Joong; Kwon, Hataek] Korea Polar Res Inst, Div Polar Climate Sci, Incheon, South Korea; [Kim, Ji Hee] Korea Polar Res Inst, Div Polar Life Sci, Incheon, South Korea; [Lazzara, Matthew A.] Univ Wisconsin, Space Sci &amp; Engn Ctr, Antarctic Meteorol Res Ctr, Madison, WI USA; [Lazzara, Matthew A.] Madison Area Tech Coll, Sch Arts &amp; Sci, Dept Phys Sci, Madison, WI USA</t>
  </si>
  <si>
    <t>Korea Polar Research Institute (KOPRI); Korea Polar Research Institute (KOPRI); University of Wisconsin System; University of Wisconsin Madison</t>
  </si>
  <si>
    <t>Choi, TI (corresponding author), Korea Polar Res Inst, Div Polar Climate Sci, Incheon, South Korea.</t>
  </si>
  <si>
    <t>ctjin@kopri.re.kr</t>
  </si>
  <si>
    <t>Kim, Seong-joong/0000-0002-6232-8082; Lazzara, Matthew/0000-0002-4343-498X; Choi, Taejin/0000-0001-8559-1361</t>
  </si>
  <si>
    <t>Korea Polar Research Institute [PE19010]; Division of Polar Programs, Geoscience Directorate, National Science Foundation [ANT-1543305]; Russian Arctic &amp; Antarctic Research Institute (AARI)</t>
  </si>
  <si>
    <t>Korea Polar Research Institute(Korea Polar Research Institute of Marine Research Placement (KOPRI)); Division of Polar Programs, Geoscience Directorate, National Science Foundation; Russian Arctic &amp; Antarctic Research Institute (AARI)</t>
  </si>
  <si>
    <t>This study was supported by PE19010 Projects of the Korea Polar Research Institute. The University of Wisconsin-Madison Automatic Weather Station Program is supported by the Division of Polar Programs, Geoscience Directorate, National Science Foundation, grant ANT-1543305. The authors appreciate the support of Russian Arctic &amp; Antarctic Research Institute (AARI) to access the study site. The authors would also like to thank for providing access to the JCR meteorological data (https://www.bodc.ac.uk), the Polarstern meteorological data (http://doi.pangea.de/10.1594/PANGAEA.743575), the Palmer meteorological data (http://www.marine-geo.org/tools/search/Files.php? data_set_uid= 9878), and the ERA-Interim reanalysis data sets (https://www.ecmwf.int/datasets/data/) and ERA5 reanalysis data sets (https://software.ecmwf.int/wiki/display/CKB/ERA5thorndatathorndocu mentation).</t>
  </si>
  <si>
    <t>10.1029/2018JD029556</t>
  </si>
  <si>
    <t>WOS:000477800000024</t>
  </si>
  <si>
    <t>Miller, C; Finch, J; Hill, T; Peterse, F; Humphries, M; Zabel, M; Schefuss, E</t>
  </si>
  <si>
    <t>Miller, Charlotte; Finch, Jemma; Hill, Trevor; Peterse, Francien; Humphries, Marc; Zabel, Matthias; Schefuss, Enno</t>
  </si>
  <si>
    <t>Late Quaternary climate variability at Mfabeni peatland, eastern South Africa</t>
  </si>
  <si>
    <t>LAST GLACIAL MAXIMUM; HYDROGEN-ISOTOPIC COMPOSITION; TROPICAL-TEMPERATE TROUGHS; INDIAN CONVERGENCE ZONE; ANTARCTIC SEA-ICE; SAVANNA BIOME; EL-NINO; ATMOSPHERIC CIRCULATION; RAINFALL VARIABILITY; VEGETATION HISTORY</t>
  </si>
  <si>
    <t>The scarcity of continuous, terrestrial, palaeoenvironmental records in eastern South Africa leaves the evolution of late Quaternary climate and its driving mechanisms uncertain. Here we use a similar to 7m long core from Mfabeni peatland (KwaZulu-Natal, South Africa) to reconstruct climate variability for the last 32 000 years (cal ka BP). We infer past vegetation and hydrological variability using stable carbon (delta C-13(wax)) and hydrogen isotopes (delta D-wax) of plant-wax n-alkanes and use P-aq to reconstruct water table changes. Our results indicate that late Quaternary climate in eastern South Africa did not respond directly to orbital forcing or to changes in sea-surface temperatures (SSTs) in the western Indian Ocean. We attribute the arid conditions evidenced at Mfabeni during the Last Glacial Maximum (LGM) to low SSTs and an equatorward displacement of (i) the Southern Hemisphere westerlies, (ii) the subtropical high-pressure cell, and (iii) the South Indian Ocean Convergence Zone (SIOCZ), which we infer was linked to increased Antarctic sea-ice extent. The northerly location of the high-pressure cell and the SIOCZ inhibited moisture advection inland and pushed the rain-bearing cloud band north of Mfabeni, respectively. The increased humidity at Mfabeni between 19 and 14 cal kyr BP likely resulted from a southward retreat of the westerlies, the high-pressure cell, and the SIOCZ, consistent with a decrease in Antarctic sea-ice extent. Between 14 and 5 cal kyr BP, when the westerlies, the high-pressure cell, and the SIOCZ were in their southernmost position, local insolation became the dominant control, leading to stronger atmospheric convection and an enhanced tropical easterly monsoon. Generally drier conditions persisted during the past ca. 5 cal ka BP, probably resulting from an equatorward return of the westerlies, the high-pressure cell, and the SIOCZ. Higher SSTs and heightened El Nino-Southern Oscillation (ENSO) activity may have played a role in enhancing climatic variability during the past ca. 5 cal ka BP. Our findings highlight the influence of the latitudinal position of the westerlies, the high-pressure cell, and the SIOCZ in driving climatological and environmental changes in eastern South Africa.</t>
  </si>
  <si>
    <t>[Miller, Charlotte; Zabel, Matthias; Schefuss, Enno] Univ Bremen, MARUM Ctr Marine Environm Sci, Bremen, Germany; [Finch, Jemma; Hill, Trevor] Univ KwaZulu Natal, Sch Agr Earth &amp; Environm Sci, Pietermaritzburg, South Africa; [Peterse, Francien] Univ Utrecht, Dept Earth Sci, Utrecht, Netherlands; [Humphries, Marc] Univ Witwatersrand, Sch Chem, Mol Sci Inst, Johannesburg, South Africa</t>
  </si>
  <si>
    <t>University of Bremen; University of Kwazulu Natal; Utrecht University; University of Witwatersrand</t>
  </si>
  <si>
    <t>Miller, C (corresponding author), Univ Bremen, MARUM Ctr Marine Environm Sci, Bremen, Germany.</t>
  </si>
  <si>
    <t>lottiemiller2@gmail.com</t>
  </si>
  <si>
    <t>Peterse, Francien/AAY-1473-2021; Hill, Trevor/F-3756-2010; Humphries, Marc/GWF-0221-2022; Zabel, Matthias/E-5044-2011; Schefuß, Enno/A-7101-2015; Finch, Jemma/F-3739-2010</t>
  </si>
  <si>
    <t>Peterse, Francien/0000-0001-8781-2826; Humphries, Marc/0000-0002-4047-1451; Zabel, Matthias/0000-0003-4681-1821; Schefuß, Enno/0000-0002-5960-930X; Finch, Jemma/0000-0002-6678-6910</t>
  </si>
  <si>
    <t>Bundesministerium fur Bildung und Forschung (BMBF; RAiN project) [03G0840A/B]; NRF [84431]</t>
  </si>
  <si>
    <t>Bundesministerium fur Bildung und Forschung (BMBF; RAiN project)(Federal Ministry of Education &amp; Research (BMBF)); NRF</t>
  </si>
  <si>
    <t>This research has been supported by the Bundesministerium fur Bildung und Forschung (BMBF; RAiN project, grant no. 03G0840A/B) and the NRF (grant no. 84431, Jemma Finch).</t>
  </si>
  <si>
    <t>10.5194/cp-15-1153-2019</t>
  </si>
  <si>
    <t>IF4RQ</t>
  </si>
  <si>
    <t>WOS:000473069500001</t>
  </si>
  <si>
    <t>Lenssen, NJL; Schmidt, GA; Hansen, JE; Menne, MJ; Persin, A; Ruedy, R; Zyss, D</t>
  </si>
  <si>
    <t>Lenssen, Nathan J. L.; Schmidt, Gavin A.; Hansen, James E.; Menne, Matthew J.; Persin, Avraham; Ruedy, Reto; Zyss, Daniel</t>
  </si>
  <si>
    <t>Improvements in the GISTEMP Uncertainty Model</t>
  </si>
  <si>
    <t>SEA-SURFACE-TEMPERATURE; ARCTIC AMPLIFICATION; LAND-AIR; UPGRADES; TRENDS</t>
  </si>
  <si>
    <t>We outline a new and improved uncertainty analysis for the Goddard Institute for Space Studies Surface Temperature product version 4 (GISTEMP v4). Historical spatial variations in surface temperature anomalies are derived from historical weather station data and ocean data from ships, buoys, and other sensors. Uncertainties arise from measurement uncertainty, changes in spatial coverage of the station record, and systematic biases due to technology shifts and land cover changes. Previously published uncertainty estimates for GISTEMP included only the effect of incomplete station coverage. Here, we update this term using currently available spatial distributions of source data, state-of-the-art reanalyses, and incorporate independently derived estimates for ocean data processing, station homogenization, and other structural biases. The resulting 95% uncertainties are near 0.05 degrees C in the global annual mean for the last 50 years and increase going back further in time reaching 0.15 degrees C in 1880. In addition, we quantify the benefits and inherent uncertainty due to the GISTEMP interpolation and averaging method. We use the total uncertainties to estimate the probability for each record year in the GISTEMP to actually be the true record year (to that date) and conclude with 86% likelihood that 2016 was indeed the hottest year of the instrumental period (so far).</t>
  </si>
  <si>
    <t>[Lenssen, Nathan J. L.; Schmidt, Gavin A.; Persin, Avraham; Ruedy, Reto; Zyss, Daniel] NASA, Goddard Inst Space Studies, New York, NY 10025 USA; [Lenssen, Nathan J. L.] Columbia Univ, Dept Earth &amp; Environm Sci, New York, NY 10027 USA; [Hansen, James E.] Columbia Univ, Earth Inst, Climate Sci Awareness &amp; Solut, New York, NY USA; [Menne, Matthew J.] NOAA, Natl Ctr Environm Informat, Asheville, NC USA; [Persin, Avraham; Ruedy, Reto] SciSpace LLC, New York, NY USA</t>
  </si>
  <si>
    <t>National Aeronautics &amp; Space Administration (NASA); NASA Goddard Space Flight Center; Goddard Institute for Space Studies; Columbia University; Columbia University; National Oceanic Atmospheric Admin (NOAA) - USA</t>
  </si>
  <si>
    <t>Lenssen, NJL (corresponding author), NASA, Goddard Inst Space Studies, New York, NY 10025 USA.;Lenssen, NJL (corresponding author), Columbia Univ, Dept Earth &amp; Environm Sci, New York, NY 10027 USA.</t>
  </si>
  <si>
    <t>n.lenssen@columbia.edu</t>
  </si>
  <si>
    <t>Lenssen, Nathan/GYU-8047-2022; Schmidt, Gavin/D-4427-2012</t>
  </si>
  <si>
    <t>Schmidt, Gavin/0000-0002-2258-0486; Lenssen, Nathan/0000-0002-6601-4187</t>
  </si>
  <si>
    <t>NASA Modeling, Analysis and Prediction program in the Science Mission Directorate; National Science Foundation Graduate Research Fellowship [NSF DGE 16-44869]; NOAA's National Centers for Environmental Information; SCAR</t>
  </si>
  <si>
    <t>NASA Modeling, Analysis and Prediction program in the Science Mission Directorate; National Science Foundation Graduate Research Fellowship(National Science Foundation (NSF)); NOAA's National Centers for Environmental Information; SCAR</t>
  </si>
  <si>
    <t>We thank both the reviewers and Editor for the insightful comments. Their suggested extensions led to interesting discoveries and a much stronger analysis and paper. The GISTEMP analysis is funded from grants from the NASA Modeling, Analysis and Prediction program in the Science Mission Directorate. N.L. was also supported by the National Science Foundation Graduate Research Fellowship under Grant NSF DGE 16-44869. Data sets from GHCN and ERSST are supported by NOAA's National Centers for Environmental Information. The Antarctic READER data are supported by SCAR. Thanks to Boyin Huang (NOAA) for access to the ERSST large parameter ensemble. Special thanks to the ClearClimateCode project, Nick Barnes and David R. Jones, for converting the original GISTEMP codebase to Python. The analysis was performed in the open source language R (R Core Team, 2016) and the data, code, and intermediate steps needed to generate all figures in this report are available on the GISTEMP website (https://data.giss.nasa.gov/gistemp/uncertainty).</t>
  </si>
  <si>
    <t>10.1029/2018JD029522</t>
  </si>
  <si>
    <t>WOS:000477800000025</t>
  </si>
  <si>
    <t>Harcourt, R; Sequeira, AMM; Zhang, XL; Roquet, F; Komatsu, K; Heupel, M; McMahon, C; Whoriskey, F; Meekan, M; Carroll, G; Brodie, S; Simpfendorfer, C; Hindell, M; Jonsen, I; Costa, DP; Block, B; Muelbert, M; Woodward, B; Weise, M; Aarestrup, K; Biuw, M; Boehme, L; Bograd, SJ; Cazau, D; Charrassin, JB; Cooke, SJ; Cowley, P; de Bruyn, PJN; du Dot, TJ; Duarte, C; Eguíluz, VM; Ferreira, LC; Fernández-Gracia, J; Goetz, K; Goto, Y; Guinet, C; Hammill, M; Hays, GC; Hazen, EL; Hückstädt, LA; Huveneers, C; Iverson, S; Jaaman, SA; Kittiwattanawong, K; Kovacs, KM; Lydersen, C; Moltmann, T; Naruoka, M; Phillips, L; Picard, B; Queiroz, N; Reverdin, G; Sato, K; Sims, DW; Thorstad, EB; Thums, M; Treasure, AM; Trites, AW; Williamss, GD; Yonehara, Y; Fedak, MA</t>
  </si>
  <si>
    <t>Harcourt, Rob; Sequeira, Ana M. M.; Zhang, Xuelei; Roquet, Fabien; Komatsu, Kosei; Heupel, Michelle; McMahon, Clive; Whoriskey, Fred; Meekan, Mark; Carroll, Gemma; Brodie, Stephanie; Simpfendorfer, Cohn; Hindell, Mark; Jonsen, Ian; Costa, Daniel P.; Block, Barbara; Muelbert, Monica; Woodward, Bill; Weise, Mike; Aarestrup, Kim; Biuw, Martin; Boehme, Lars; Bograd, Steven J.; Cazau, Dorian; Charrassin, Jean-Benoit; Cooke, Steven J.; Cowley, Paul; de Bruyn, P. J. Nico; du Dot, Tiphaine Jeanniard; Duarte, Carlos; Eguiluz, Victor M.; Ferreira, Luciana C.; Fernandez-Gracia, Juan; Goetz, Kimberly; Goto, Yusuke; Guinet, Christophe; Hammill, Mike; Hays, Graeme C.; Hazen, Elliott L.; Huckstadt, Luis A.; Huveneers, Charlie; Iverson, Sara; Jaaman, Saifullah Arifin; Kittiwattanawong, Kongkiat; Kovacs, Kit M.; Lydersen, Christian; Moltmann, Tim; Naruoka, Masaru; Phillips, Lachlan; Picard, Baptiste; Queiroz, Nuno; Reverdin, Gilles; Sato, Katsufumi; Sims, David W.; Thorstad, Eva B.; Thums, Michele; Treasure, Anne M.; Trites, Andrew W.; Williamss, Guy D.; Yonehara, Yoshinari; Fedak, Mike A.</t>
  </si>
  <si>
    <t>Animal-Borne Telemetry: An Integral Component of the Ocean Observing Toolkit</t>
  </si>
  <si>
    <t>ocean observing; animal telemetry; animal movement; movement analysis; EOV</t>
  </si>
  <si>
    <t>MARINE PREDATOR MOVEMENTS; SEA-ICE FORMATION; OCEANOGRAPHIC DATA; SPACE-USE; RESOURCE SELECTION; CONTINENTAL-SHELF; PREY CAPTURE; BAY POLYNYA; BIG DATA; TRACKING</t>
  </si>
  <si>
    <t>Animal telemetry is a powerful tool for observing marine animals and the physical environments that they inhabit, from coastal and continental shelf ecosystems to polar seas and open oceans. Satellite-linked biologgers and networks of acoustic receivers allow animals to be reliably monitored over scales of tens of meters to thousands of kilometers, giving insight into their habitat use, home range size, the phenology of migratory patterns and the biotic and abiotic factors that drive their distributions. Furthermore, physical environmental variables can be collected using animals as autonomous sampling platforms, increasing spatial and temporal coverage of global oceanographic observation systems. The use of animal telemetry, therefore, has the capacity to provide measures from a suite of essential ocean variables (EOVs) for improved monitoring of Earth's oceans. Here we outline the design features of animal telemetry systems, describe current applications and their benefits and challenges, and discuss future directions. We describe new analytical techniques that improve our ability to not only quantify animal movements but to also provide a powerful framework for comparative studies across taxa. We discuss the application of animal telemetry and its capacity to collect biotic and abiotic data, how the data collected can be incorporated into ocean observing systems, and the role these data can play in improved ocean management.</t>
  </si>
  <si>
    <t>[Harcourt, Rob; Jonsen, Ian; Phillips, Lachlan] Macquarie Univ, Dept Biol Sci, N Ryde, NSW, Australia; [Sequeira, Ana M. M.] Univ Western Australia, Oceans Inst, Crawley, WA, Australia; [Sequeira, Ana M. M.] Univ Western Australia, Sch Biol Sci, Crawley, WA, Australia; [Zhang, Xuelei] Minist Nat Resources, Inst Oceanog 1, Qingdao, Shandong, Peoples R China; [Roquet, Fabien] Univ Gothenburg, Dept Marine Sci, Gothenburg, Sweden; [Komatsu, Kosei] Univ Tokyo, Grad Sch Frontier Sci, Kashiwa, Chiba, Japan; [Komatsu, Kosei; Goto, Yusuke; Sato, Katsufumi; Yonehara, Yoshinari] Univ Tokyo, Atmosphere &amp; Ocean Res Inst, Kashiwa, Chiba, Japan; [Heupel, Michelle] Australian Inst Marine Sci, Townsville, Qld, Australia; [McMahon, Clive] Sydney Inst Marine Sci, Sydney, NSW, Australia; [Whoriskey, Fred] Dalhousie Univ, Ocean Tracking Network, Halifax, NS, Canada; [Meekan, Mark; Ferreira, Luciana C.; Thums, Michele] Univ Western Australia, Indian Ocean Marine Res Ctr, Australian Inst Marine Sci, Crawley, WA, Australia; [Carroll, Gemma; Brodie, Stephanie; Bograd, Steven J.; Hazen, Elliott L.] NOAA, Southwest Fisheries Sci Ctr, Environm Res Div, Monterey, CA USA; [Simpfendorfer, Cohn] James Cook Univ, Coll Sci &amp; Engn, Townsville, Qld, Australia; [Hindell, Mark] Univ Tasmania, Inst Antarctic &amp; Marine Studies, Hobart, Tas, Australia; [Costa, Daniel P.; Huckstadt, Luis A.] Univ Calif Santa Cruz, Dept Ecol &amp; Evolutionary Biol, Santa Cruz, CA 95064 USA; [Block, Barbara] Stanford Univ, Hopkins Marine Stn, Dept Biol, Pacific Grove, CA 93950 USA; [Muelbert, Monica] Univ Fed Rio Grande, Inst Oceanog, Rio Grande, Brazil; [Muelbert, Monica] UTAS Hobart, Inst Marine &amp; Antarctic Studies, Hobart, Tas, Australia; [Woodward, Bill] NOAA, US IOOS Off, Silver Spring, MD USA; [Weise, Mike] Off Naval Res, Arlington, VA 22217 USA; [Aarestrup, Kim] Tech Univ Denmark, Natl Inst Aquat Resources, Silkeborg, Denmark; [Biuw, Martin; Kovacs, Kit M.; Lydersen, Christian] Norwegian Polar Res Inst, Fram Ctr, Tromso, Norway; [Biuw, Martin] Inst Marine Res, Tromso, Norway; [Boehme, Lars; Fedak, Mike A.] Univ St Andrews, Scottish Oceans Inst, St Andrews, Fife, Scotland; [Cazau, Dorian] Lab STICC UMR CNRS 6285, ENSTA Bretagne, Brest, France; [Charrassin, Jean-Benoit] Sorbonne Univ, LOCEAN IPSL, UMR 7159 CNRS IRD MNHN, Paris, France; [Cooke, Steven J.] Carleton Univ, Fish Ecol &amp; Conservat Physiol Lab, Ottawa, ON, Canada; [Cowley, Paul] South African Inst Aquat Biodivers, Grahamstown, South Africa; [de Bruyn, P. J. Nico; Treasure, Anne M.] Univ Pretoria, Mammal Res Inst, Dept Zool &amp; Entomol, Hatfield, South Africa; [du Dot, Tiphaine Jeanniard; Hammill, Mike] Fisheries &amp; Oceans Canada, Inst Maurice Lamontagne, Mont Joli, PQ, Canada; [Duarte, Carlos] King Abdullah Univ Sci &amp; Technol, Red Sea Res Ctr, Thuwal, Saudi Arabia; [Duarte, Carlos] King Abdullah Univ Sci &amp; Technol, Computat Biol Res Ctr, Thuwal, Saudi Arabia; [Eguiluz, Victor M.; Fernandez-Gracia, Juan] Inst Fis Interdisciplinar &amp; Sistemas Complejos IF, Palma De Mallorca, Spain; [Goetz, Kimberly] Natl Inst Water &amp; Atmospher Res, Wellington, New Zealand; [Guinet, Christophe; Picard, Baptiste] Univ Rochelle, Ctr Etud Biol Chize UMR 7273 CNRS, Villiers En Bois, France; [Hays, Graeme C.] Deakin Univ, Sch Life &amp; Environm Sci, Geelong, Vic, Australia; [Huveneers, Charlie] Flinders Univ S Australia, Sch Biol Sci, Adelaide, SA, Australia; [Iverson, Sara] Dalhousie Univ, Dept Biol, Ocean Tracking Network, Halifax, NS, Canada; [Jaaman, Saifullah Arifin] Univ Malaysia Terengganu, Inst Oceanog &amp; Environm, Kuala Nerus, Malaysia; [Kittiwattanawong, Kongkiat] Phuket Marine Biol Ctr, Phuket, Thailand; [Moltmann, Tim] Univ Tasmania, Integrated Marine Observing Syst, Hobart, Tas, Australia; [Naruoka, Masaru] Japan Aerosp Explorat Agcy, Aeronaut Technol Directorate, Chofu, Tokyo, Japan; [Queiroz, Nuno] Univ Porto, Ctr Invest Biodiversidade &amp; Recursos Genet, Res Network Biodivers &amp; Evolutionary Biol, Campus Agr Vairao, Porto, Portugal; [Reverdin, Gilles] SU CNRS IRD MNHN, LOCEAN, Paris, France; [Sims, David W.] Marine Biol Assoc UK, Plymouth, Devon, England; [Sims, David W.] Univ Southampton, Sch Ocean &amp; Earth Sci, Southampton, Hants, England; [Thorstad, Eva B.] Norwegian Inst Nat Res, Trondheim, Norway; [Treasure, Anne M.] Univ Cape Town, Dept Oceanog, Cape Town, South Africa; [Treasure, Anne M.] Univ Cape Town, Marine Res Inst Ma Re, Cape Town, South Africa; [Trites, Andrew W.] Univ British Columbia, Inst Oceans &amp; Fisheries, Marine Mammal Res Unit, Vancouver, BC, Canada; [Williamss, Guy D.] Univ Tasmania, Inst Marine &amp; Antarctic Studies, UTAS, Hobart, Tas, Australia</t>
  </si>
  <si>
    <t>Macquarie University; University of Western Australia; University of Western Australia; Ministry of Natural Resources of the People's Republic of China; First Institute of Oceanography, Ministry of Natural Resources; University of Gothenburg; University of Tokyo; University of Tokyo; Australian Institute of Marine Science; Sydney Institute of Marine Science; Dalhousie University; University of Western Australia; Australian Institute of Marine Science; National Oceanic Atmospheric Admin (NOAA) - USA; James Cook University; University of Tasmania; University of California System; University of California Santa Cruz; Stanford University; Universidade Federal do Rio Grande; University of Tasmania; National Oceanic Atmospheric Admin (NOAA) - USA; United States Department of Defense; United States Navy; Technical University of Denmark; Norwegian Polar Institute; Institute of Marine Research - Norway; University of St Andrews; ENSTA Bretagne; Sorbonne Universite; Museum National d'Histoire Naturelle (MNHN); Carleton University; National Research Foundation - South Africa; South African Institute for Aquatic Biodiversity; University of Pretoria; Fisheries &amp; Oceans Canada; King Abdullah University of Science &amp; Technology; King Abdullah University of Science &amp; Technology; Consejo Superior de Investigaciones Cientificas (CSIC); Universitat de les Illes Balears; CSIC-UIB - Instituto de Fisica Interdisciplinar y Sistemas Complejos (IFISC); National Institute of Water &amp; Atmospheric Research (NIWA) - New Zealand; Deakin University; Flinders University South Australia; Dalhousie University; Universiti Malaysia Terengganu; University of Tasmania; Japan Aerospace Exploration Agency (JAXA); Universidade do Porto; Sorbonne Universite; Museum National d'Histoire Naturelle (MNHN); Marine Biological Association United Kingdom; NERC National Oceanography Centre; University of Southampton; Norwegian Institute Nature Research; University of Cape Town; University of Cape Town; University of British Columbia; University of Tasmania</t>
  </si>
  <si>
    <t>Harcourt, R (corresponding author), Macquarie Univ, Dept Biol Sci, N Ryde, NSW, Australia.</t>
  </si>
  <si>
    <t>robert.harcourt@mq.edu.au</t>
  </si>
  <si>
    <t>Jeanniard, Tiphaine/ABF-8836-2020; Duarte Quesada, Carlos Manuel/ABD-6208-2021; Hindell, Mark A/K-1131-2013; Huckstadt, Luis/JNR-7637-2023; JAAMAN, SAIFULLAH ARIFIN/B-9407-2017; Hazen, Elliott/G-4149-2014; Roquet, Fabien/D-4848-2013; Aarestrup, Kim/AAK-9155-2021; Trites, Andrew/K-5648-2012; Huckstadt, Luis A./J-8532-2019; Zhang, Xuelei/AAT-2835-2021; Duarte, Carlos M/A-7670-2013; Guinet, Christophe/AAR-8457-2020; Komatsu, Kosei/ABF-5243-2020; Goetz, Kimberly/AID-8232-2022; Bograd, Steven/AAA-4824-2021; de Bruyn, P. J. Nico/E-4176-2010; Fedak, Michael A/B-3987-2009; Cooke, Steven J/F-4193-2010; Cowley, Paul D/M-4264-2017; Biuw, Martin/AAF-9895-2021; Sequeira, Ana M M/AAE-9741-2021; Eguíluz, Víctor M./B-9655-2008; McMahon, Clive R/D-5713-2013; Naruoka, Masaru/GLU-5613-2022; Queiroz, Nuno/G-3850-2010; Thums, Michele/A-3850-2013; Boehme, Lars/B-6567-2009; Carroll, Gemma/K-3203-2014; Fernandez-Gracia, Juan/S-4344-2018</t>
  </si>
  <si>
    <t>Jeanniard, Tiphaine/0000-0003-1985-8325; JAAMAN, SAIFULLAH ARIFIN/0000-0003-4568-9385; Hazen, Elliott/0000-0002-0412-7178; Aarestrup, Kim/0000-0001-8521-6270; Huckstadt, Luis A./0000-0002-2453-7350; Duarte, Carlos M/0000-0002-1213-1361; Komatsu, Kosei/0000-0002-4731-7035; de Bruyn, P. J. Nico/0000-0002-9114-9569; Cooke, Steven J/0000-0002-5407-0659; Sequeira, Ana M M/0000-0001-6906-799X; Eguíluz, Víctor M./0000-0003-1133-1289; McMahon, Clive R/0000-0001-5241-8917; Roquet, Fabien/0000-0003-1124-4564; Reverdin, Gilles/0000-0002-5583-8236; Jonsen, Ian/0000-0001-5423-6076; Huveneers, Charlie/0000-0001-8937-1358; Harcourt, Robert/0000-0003-4666-2934; Moltmann, Tim/0000-0002-7060-2117; Queiroz, Nuno/0000-0002-3860-7356; Thums, Michele/0000-0002-8669-8440; Goto, Yusuke/0000-0003-2767-1501; Iverson, Sara/0000-0003-2842-4094; Meekan, Mark/0000-0002-3067-9427; Boehme, Lars/0000-0003-3513-6816; Cerqueira Ferreira, Luciana/0000-0001-6755-2799; Baptiste, Picard/0000-0001-9565-9446; Trites, Andrew/0000-0003-0342-5322; Carroll, Gemma/0000-0001-7776-0946; Treasure, Anne/0000-0002-8345-4811; Hindell, Mark/0000-0002-7823-7185; Fernandez-Gracia, Juan/0000-0001-9728-7666; Brodie, Stephanie/0000-0003-0869-9939</t>
  </si>
  <si>
    <t>JUN 26</t>
  </si>
  <si>
    <t>10.3389/fmars.2019.00326</t>
  </si>
  <si>
    <t>IG0LA</t>
  </si>
  <si>
    <t>WOS:000473481000001</t>
  </si>
  <si>
    <t>Nicholson, U; Stow, D</t>
  </si>
  <si>
    <t>Nicholson, Uisdean; Stow, Dorrik</t>
  </si>
  <si>
    <t>Erosion and deposition beneath the Subantarctic Front since the Early Oligocene</t>
  </si>
  <si>
    <t>SOUTHERN-OCEAN; CIRCUMPOLAR CURRENT; SCOTIA SEA; CIRCULATION; DIAGENESIS; DRIVEN; TRANSITION</t>
  </si>
  <si>
    <t>The Antarctic Circumpolar Current (ACC) spills across the Falkland Plateau into the South Atlantic as a series of high-velocity jets. These currents are a driving force for global overturning circulation, and affect climate by modulating CO2 exchange between the atmosphere and ocean, but their timing of onset remains controversial. We present new evidence of strong currents associated with the Subantarctic Front (SAF) jet since the earliest Oligocene (similar to 34 Ma) based on a widespread erosional surface on the Falkland Plateau, preserved below a 30,000 km(2) contourite sand deposit. This is the largest such feature ever to be recognized, and provides the most robust constraint of the initiation of the SAF to date. By contrast, the South Falkland Slope Drift is dominated by contourite mud of Pleistocene-Recent age, substantially younger than previous estimates, indicating a significant decrease in long-term current strength at that time. As ACC strength is primarily a function of the position of the South-Westerly Winds, our data indicates that associated currents are likely to increase substantially in a warming world. Likely implications include increased upwelling and associated carbon flux from the deep ocean to the atmosphere, a positive feedback loop not included in most future projections of atmospheric CO2.</t>
  </si>
  <si>
    <t>[Nicholson, Uisdean; Stow, Dorrik] Heriot Watt Univ, Sch Energy Geosci Infrastruct &amp; Soc, Edinburgh EH14 4AS, Midlothian, Scotland</t>
  </si>
  <si>
    <t>Heriot Watt University</t>
  </si>
  <si>
    <t>Nicholson, U (corresponding author), Heriot Watt Univ, Sch Energy Geosci Infrastruct &amp; Soc, Edinburgh EH14 4AS, Midlothian, Scotland.</t>
  </si>
  <si>
    <t>u.nicholson@hw.ac.uk</t>
  </si>
  <si>
    <t>Nicholson, Uisdean/0000-0003-0746-8549</t>
  </si>
  <si>
    <t>10.1038/s41598-019-45815-7</t>
  </si>
  <si>
    <t>IF1KH</t>
  </si>
  <si>
    <t>WOS:000472837000020</t>
  </si>
  <si>
    <t>Guo, CC; Nisancioglu, KH; Bentsen, M; Bethke, I; Zhang, ZS</t>
  </si>
  <si>
    <t>Guo, Chuncheng; Nisancioglu, Kerim H.; Bentsen, Mats; Bethke, Ingo; Zhang, Zhongshi</t>
  </si>
  <si>
    <t>Equilibrium simulations of Marine Isotope Stage 3 climate</t>
  </si>
  <si>
    <t>MERIDIONAL OVERTURNING CIRCULATION; ISOPYCNIC COORDINATE MODEL; NORTH-ATLANTIC CIRCULATION; LAST GLACIAL MAXIMUM; EARTH SYSTEM MODEL; ANTARCTIC SEA-ICE; OCEAN CIRCULATION; COUPLED CLIMATE; THERMOHALINE CIRCULATION; TEMPERATURE-CHANGES</t>
  </si>
  <si>
    <t>An equilibrium simulation of Marine Isotope Stage 3 (MIS3) climate with boundary conditions characteristic of Greenland Interstadial 8 (GI-8; 38 kyr BP) is carried out with the Norwegian Earth System Model (NorESM). A computationally efficient configuration of the model enables long integrations at relatively high resolution, with the simulations reaching a quasi-equilibrium state after 2500 years. We assess the characteristics of the simulated large-scale atmosphere and ocean circulation, precipitation, ocean hydrography, sea ice distribution, and internal variability. The simulated MIS3 interstadial near-surface air temperature is 2.9 degrees C cooler than the pre-industrial (PI). The Atlantic meridional overturning circulation (AMOC) is deeper and intensified by similar to 13 %. There is a decrease in the volume of Antarctic Bottom-Water (AABW) reaching the Atlantic. At the same time, there is an increase in ventilation of the Southern Ocean, associated with a significant expansion of Antarctic sea ice and concomitant intensified brine rejection, invigorating ocean convection. In the central Arctic, sea ice is similar to 2 m thicker, with an expansion of sea ice in the Nordic Seas during winter. Attempts at triggering a non-linear transition to a cold stadial climate state, by varying atmospheric CO2 concentrations and Laurentide Ice Sheet height, suggest that the simulated MIS3 interstadial state in the NorESM is relatively stable, thus underscoring the role of model dependency, and questioning the existence of unforced abrupt transitions in Greenland climate in the absence of interactive ice sheet-meltwater dynamics.</t>
  </si>
  <si>
    <t>[Guo, Chuncheng; Bentsen, Mats; Bethke, Ingo; Zhang, Zhongshi] NORCE Norwegian Res Ctr, Bjerknes Ctr Climate Res, Bergen, Norway; [Nisancioglu, Kerim H.] Univ Bergen, Dept Earth Sci, Bjerknes Ctr Climate Res, Bergen, Norway; [Nisancioglu, Kerim H.] Univ Oslo, Dept Geosci, Ctr Earth Evolut &amp; Dynam, Oslo, Norway</t>
  </si>
  <si>
    <t>Bjerknes Centre for Climate Research; Norwegian Research Centre (NORCE); Bjerknes Centre for Climate Research; University of Bergen; University of Oslo</t>
  </si>
  <si>
    <t>Guo, CC (corresponding author), NORCE Norwegian Res Ctr, Bjerknes Ctr Climate Res, Bergen, Norway.</t>
  </si>
  <si>
    <t>chuncheng.guo@norceresearch.no</t>
  </si>
  <si>
    <t>Nisancioglu, Kerim/AAW-9315-2021; Zhang, zs/GXN-3521-2022; Bentsen, Mats/JHU-7393-2023; zhang, zhi/HPH-4905-2023; Zhang, Zhongshi/L-2891-2013; Guo, Chuncheng/G-3654-2019</t>
  </si>
  <si>
    <t>Nisancioglu, Kerim/0000-0002-5737-5765; Guo, Chuncheng/0000-0001-6276-6499; Bentsen, Mats/0000-0001-5441-4063</t>
  </si>
  <si>
    <t>European Research Council under the European Community's Seventh Framework Programme (FP7/2007-2013)/ERC (ICE2ICE project) [610055]</t>
  </si>
  <si>
    <t>European Research Council under the European Community's Seventh Framework Programme (FP7/2007-2013)/ERC (ICE2ICE project)(European Research Council (ERC))</t>
  </si>
  <si>
    <t>This research has been supported by the European Research Council under the European Community's Seventh Framework Programme (FP7/2007-2013)/ERC (ICE2ICE project, grant no. 610055).</t>
  </si>
  <si>
    <t>10.5194/cp-15-1133-2019</t>
  </si>
  <si>
    <t>IF2TP</t>
  </si>
  <si>
    <t>Green Submitted, Green Accepted, gold, Green Published</t>
  </si>
  <si>
    <t>WOS:000472933300001</t>
  </si>
  <si>
    <t>Zhang, LL; Yang, J; Zang, JL; Wang, YH; Sun, LG</t>
  </si>
  <si>
    <t>Zhang, Lulu; Yang, Jian; Zang, Jingjing; Wang, Yuhong; Sun, Liguang</t>
  </si>
  <si>
    <t>Reforming China's polar science and technology system</t>
  </si>
  <si>
    <t>INTERDISCIPLINARY SCIENCE REVIEWS</t>
  </si>
  <si>
    <t>Polar science and technology system; policy making on polar affairs; science diplomacy and polar governance; Chinese national Arctic and Antarctic research expedition (CHINARE); polar scientific team construction</t>
  </si>
  <si>
    <t>Along with its modernization process, China has developed many interests in polar ecology and has connected the significance of the Antarctic and Arctic to its national interests. We present an in-depth analysis and assessment of the state of the art of China's polar research from following points of view, mechanism of policy making on polar affairs, science diplomacy and polar governance, on-spot research expedition management, allocation of scientific funds, forming polar scientific team, especially on the management system of CHINARE. From an integrated perspective of social and natural sciences, we present a vision for future reform and development of polar affairs of China: to establish a macro and long term policy for the polar regions, to promote and establish a government-led, diversified polar scientific management system, to establish a reasonable and rule based evaluation system, to train, stabilize and expand polar scientific research teams, and to attract and encourage talents for polar science communication.</t>
  </si>
  <si>
    <t>[Zhang, Lulu; Zang, Jingjing; Sun, Liguang] Univ Sci &amp; Technol China, Sch Earth &amp; Space Sci, Inst Polar Environm, 96 Jinzhai Rd Baohe Dist, Hefei 230026, Anhui, Peoples R China; [Zhang, Lulu; Zang, Jingjing; Sun, Liguang] Univ Sci &amp; Technol China, Sch Earth &amp; Space Sci, Anhui Prov Key Lab Polar Environm &amp; Global Change, 96 Jinzhai Rd Baohe Dist, Hefei 230026, Anhui, Peoples R China; [Yang, Jian] Shanghai Inst Int Studies, Tianlin Rd 195 Lane 15, Shanghai 200233, Peoples R China; [Wang, Yuhong] NIH, Natl Ctr Adv Translat Sci, Bldg 10, Bethesda, MD 20892 USA</t>
  </si>
  <si>
    <t>Chinese Academy of Sciences; University of Science &amp; Technology of China, CAS; Chinese Academy of Sciences; University of Science &amp; Technology of China, CAS; Shanghai International Studies University; National Institutes of Health (NIH) - USA; NIH National Center for Advancing Translational Sciences (NCATS)</t>
  </si>
  <si>
    <t>Zhang, LL (corresponding author), Univ Sci &amp; Technol China, Sch Earth &amp; Space Sci, Inst Polar Environm, 96 Jinzhai Rd Baohe Dist, Hefei 230026, Anhui, Peoples R China.;Zhang, LL (corresponding author), Univ Sci &amp; Technol China, Sch Earth &amp; Space Sci, Anhui Prov Key Lab Polar Environm &amp; Global Change, 96 Jinzhai Rd Baohe Dist, Hefei 230026, Anhui, Peoples R China.;Yang, J (corresponding author), Shanghai Inst Int Studies, Tianlin Rd 195 Lane 15, Shanghai 200233, Peoples R China.</t>
  </si>
  <si>
    <t>zll2011@mail.ustc.edu.cn; yangjian@siis.org.cn</t>
  </si>
  <si>
    <t>Wang, Yu/GZL-9655-2022</t>
  </si>
  <si>
    <t>Zhang, Lulu/0000-0001-8956-933X</t>
  </si>
  <si>
    <t>Chinese Polar Environment Comprehensive Investigation and Assessment Programmes of the Chinese Arctic and Antarctic Administration [CHINARE2011-2016, CHINARE2017-04-05-03]</t>
  </si>
  <si>
    <t>Chinese Polar Environment Comprehensive Investigation and Assessment Programmes of the Chinese Arctic and Antarctic Administration</t>
  </si>
  <si>
    <t>This work was supported by grants from Chinese Polar Environment Comprehensive Investigation and Assessment Programmes of the Chinese Arctic and Antarctic Administration (Projects Nos. CHINARE2011-2016, CHINARE2017-04-05-03).</t>
  </si>
  <si>
    <t>0308-0188</t>
  </si>
  <si>
    <t>1743-2790</t>
  </si>
  <si>
    <t>INTERDISCIPL SCI REV</t>
  </si>
  <si>
    <t>Interdiscip. Sci. Rev.</t>
  </si>
  <si>
    <t>10.1080/03080188.2019.1627639</t>
  </si>
  <si>
    <t>Multidisciplinary Sciences; Social Sciences, Interdisciplinary</t>
  </si>
  <si>
    <t>Science &amp; Technology - Other Topics; Social Sciences - Other Topics</t>
  </si>
  <si>
    <t>JQ2HN</t>
  </si>
  <si>
    <t>WOS:000475246500001</t>
  </si>
  <si>
    <t>De Franceschi, G; Spogli, L; Alfonsi, L; Romano, V; Cesaroni, C; Hunstad, I</t>
  </si>
  <si>
    <t>De Franceschi, Giorgiana; Spogli, Luca; Alfonsi, Lucilla; Romano, Vincenzo; Cesaroni, Claudio; Hunstad, Ingrid</t>
  </si>
  <si>
    <t>The ionospheric irregularities climatology over Svalbard from solar cycle 23</t>
  </si>
  <si>
    <t>PHASE-SCINTILLATION; GPS; DYNAMICS</t>
  </si>
  <si>
    <t>The paper presents an unprecedented description of the climatology of ionospheric irregularities over the Arctic derived from the longest Global Navigation Satellite Systems data series ever collected for this specific aim. Two TEC and scintillation receivers are working at Ny-angstrom lesund (Svalbard, NO), the first of which has been installed in late September 2003. They sample the L1 and L2 signals at 50 Hz from all the GPS satellites in view. The receivers monitor an area of about 600 km radius that includes the auroral and cusp/cap regions in the European longitudinal sector. The length of the data series and the privileged site of observation allow describing the Arctic ionosphere along about two solar cycles, from the descending phase of cycle 23 to almost the end of cycle 24. Our analysis results into a detailed assessment of the long-term behaviour of the ionosphere under solar maximum and solar minimum conditions, including several periods of perturbed ionospheric weather caused by unfavourable helio-geophysical conditions. Since November 2015, a multi-constellation GNSS receiver has been deployed in Ny-Alesund, providing the opportunity to perform the ionospheric climatology from Galileo signals. The results offer realistic features of the high latitude ionosphere that can substantially contribute to the necessary improvements of forecasting models, providing a broad spectrum of ionospheric reactions to different space weather conditions.</t>
  </si>
  <si>
    <t>[De Franceschi, Giorgiana; Spogli, Luca; Alfonsi, Lucilla; Romano, Vincenzo; Cesaroni, Claudio; Hunstad, Ingrid] Ist Nazl Geofis &amp; Vulcanol, Via Vigna Murata 605, I-00143 Rome, Italy; [Spogli, Luca; Romano, Vincenzo] SpacEarth Technol Srl, Via Vigna Murata 605, I-00143 Rome, Italy</t>
  </si>
  <si>
    <t>Istituto Nazionale Geofisica e Vulcanologia (INGV)</t>
  </si>
  <si>
    <t>Spogli, L (corresponding author), Ist Nazl Geofis &amp; Vulcanol, Via Vigna Murata 605, I-00143 Rome, Italy.;Spogli, L (corresponding author), SpacEarth Technol Srl, Via Vigna Murata 605, I-00143 Rome, Italy.</t>
  </si>
  <si>
    <t>luca.spogli@ingv.it</t>
  </si>
  <si>
    <t>Romano, Vincenzo/HKV-6552-2023; Spogli, Luca/AAD-1980-2021; Cesaroni, Claudio/AAF-1075-2020</t>
  </si>
  <si>
    <t>Romano, Vincenzo/0000-0002-7532-4507; Hunstad, Ingrid/0000-0002-3573-873X; De Franceschi, Giorgiana/0000-0002-3943-6798; Alfonsi, Lucilla/0000-0002-1806-9327; SPOGLI, Luca/0000-0003-2310-0306</t>
  </si>
  <si>
    <t>Research Council of Norway [291644]</t>
  </si>
  <si>
    <t>Research Council of Norway(Research Council of Norway)</t>
  </si>
  <si>
    <t>The authors thank the Programma Nazionale di Ricerche in Antartide (PNRA, Italian National Program for Antarctic Research), CNR (National Council of Research). The authors also thank the National Space Science Data Center (NSSDC) for the software calculating the auroral oval position and the model authors: Holzworth and Meng. This work is also conducted in the frame of the project GNSS TEC and Scintillation monitoring under the Cusp(GENIUS), funded by the Research Council of Norway, project number 291644, Svalbard Integrated Arctic Earth Observing System - Knowledge Centre, operational phase.</t>
  </si>
  <si>
    <t>JUN 25</t>
  </si>
  <si>
    <t>10.1038/s41598-019-44829-5</t>
  </si>
  <si>
    <t>IE9QC</t>
  </si>
  <si>
    <t>WOS:000472709300026</t>
  </si>
  <si>
    <t>Smith, KE; House, CH; Arevalo, RD; Dworkin, JP; Callahan, MP</t>
  </si>
  <si>
    <t>Smith, Karen E.; House, Christopher H.; Arevalo, Ricardo D., Jr.; Dworkin, Jason P.; Callahan, Michael P.</t>
  </si>
  <si>
    <t>Organometallic compounds as carriers of extraterrestrial cyanide in primitive meteorites</t>
  </si>
  <si>
    <t>AMINO-ACIDS; CARBONACEOUS METEORITES; AQUEOUS ALTERATION; ORGANIC-COMPOUNDS; CRYSTAL-STRUCTURE; ACTIVE-SITE; CHEMISTRY; HYDROGENASE; MURCHISON; CHONDRITES</t>
  </si>
  <si>
    <t>Extraterrestrial delivery of cyanide may have been crucial for the origin of life on Earth since cyanide is involved in the abiotic synthesis of numerous organic compounds found in extant life; however, little is known about the abundance and species of cyanide present in meteorites. Here, we report cyanide abundance in a set of CM chondrites ranging from 50 +/- 1 to 2472 +/- 38 nmol.g(-1), which relates to the degree of aqueous alteration of the meteorite and indicates that parent body processing influenced cyanide abundance. Analysis of the Lewis Cliff 85311 meteorite shows that its releasable cyanide is primarily in the form of [Fe-II (CN)(5)(CO)](3)(-) and [Fe-II(CN)(4)(CO)(2)](2-). Meteoritic delivery of iron cyanocarbonyl complexes to early Earth likely provided an important point source of free cyanide. Iron cyanocarbonyl complexes may have served as precursors to the unusual Fe-II(CN)(CO) moieties that form the catalytic centers of hydrogenases, which are thought to be among the earliest enzymes.</t>
  </si>
  <si>
    <t>[Smith, Karen E.; Callahan, Michael P.] Boise State Univ, Dept Chem &amp; Biochem, Boise, ID 83725 USA; [Smith, Karen E.; House, Christopher H.] Penn State Univ, Dept Geosci, University Pk, PA 16801 USA; [Smith, Karen E.; House, Christopher H.] Penn State Univ, Penn State Astrobiol Res Ctr, University Pk, PA 16801 USA; [Arevalo, Ricardo D., Jr.] Univ Maryland, Dept Geol, College Pk, MD 20742 USA; [Dworkin, Jason P.; Callahan, Michael P.] NASA, Goddard Space Flight Ctr, Goddard Ctr Astrobiol, Greenbelt, MD 20771 USA; [Dworkin, Jason P.; Callahan, Michael P.] NASA, Goddard Space Flight Ctr, Astrochem Lab, Greenbelt, MD 20771 USA</t>
  </si>
  <si>
    <t>Idaho; Boise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System of Maryland; University of Maryland College Park; National Aeronautics &amp; Space Administration (NASA); NASA Goddard Space Flight Center; National Aeronautics &amp; Space Administration (NASA); NASA Goddard Space Flight Center</t>
  </si>
  <si>
    <t>Callahan, MP (corresponding author), Boise State Univ, Dept Chem &amp; Biochem, Boise, ID 83725 USA.;Callahan, MP (corresponding author), NASA, Goddard Space Flight Ctr, Goddard Ctr Astrobiol, Greenbelt, MD 20771 USA.;Callahan, MP (corresponding author), NASA, Goddard Space Flight Ctr, Astrochem Lab, Greenbelt, MD 20771 USA.</t>
  </si>
  <si>
    <t>michaelcallahan914@boisestate.edu</t>
  </si>
  <si>
    <t>Callahan, Michael P/D-3630-2012; Dworkin, Jason P./C-9417-2012</t>
  </si>
  <si>
    <t>Dworkin, Jason P./0000-0002-3961-8997; House, Christopher/0000-0002-4926-4985</t>
  </si>
  <si>
    <t>NASA Emerging Worlds Program [11-COS11-0061, NNX16AP59G]; NASA Astrobiology Institute via the Penn State Astrobiology Research Center [NNA09DA76A]; Goddard Center for Astrobiology (CAN 5); NASA Earth and Space Science Fellowship; NASA Pennsylvania Space Grant Consortium; NASA; NSF</t>
  </si>
  <si>
    <t>NASA Emerging Worlds Program; NASA Astrobiology Institute via the Penn State Astrobiology Research Center; Goddard Center for Astrobiology (CAN 5); NASA Earth and Space Science Fellowship; NASA Pennsylvania Space Grant Consortium; NASA(National Aeronautics &amp; Space Administration (NASA)); NSF(National Science Foundation (NSF))</t>
  </si>
  <si>
    <t>Support for this project was provided by the NASA Emerging Worlds Program (11-COS11-0061 and NNX16AP59G) and NASA Astrobiology Institute via the Penn State Astrobiology Research Center (cooperative agreement #NNA09DA76A) and the Goddard Center for Astrobiology (CAN 5). K.E.S. also acknowledges support from the NASA Earth and Space Science Fellowship and the NASA Pennsylvania Space Grant Consortium. We thank Prof. Eric Brown (Boise State University) for discussions and assistance with making one of the figures and the Plasma Mass Spectrometry Laboratory in the Department of Geology at the University of Maryland for use of their ICP-MS instrument.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t>
  </si>
  <si>
    <t>10.1038/s41467-019-10866-x</t>
  </si>
  <si>
    <t>IE9QN</t>
  </si>
  <si>
    <t>WOS:000472710800001</t>
  </si>
  <si>
    <t>Guggolz, T; Meissner, K; Schwentner, M; Brandt, A</t>
  </si>
  <si>
    <t>Guggolz, Theresa; Meissner, Karin; Schwentner, Martin; Brandt, Angelika</t>
  </si>
  <si>
    <t>Diversity and distribution of Laonice species (Annelida: Spionidae) in the tropical North Atlantic and Puerto Rico Trench</t>
  </si>
  <si>
    <t>VEMA FRACTURE-ZONE; OXIDASE SUBUNIT-I; POLYCHAETA CANALIPALPATA; IDENTIFICATION; MICROSPIO; PRIMERS; SHELF; SPIO; SEA</t>
  </si>
  <si>
    <t>Laonice Malmgren, 1867 (Annelida: Spionidae) is a common polychaete genus in the deep-sea. Although most species are quite well studied morphologically, fragmentation and other damage that occurs during sampling often hampers morphological species identification of deep-sea specimens. In this study, we employ three molecular markers (16S, COI and 18S) to study the biodiversity and the distribution patterns of Laonice from the tropical North Atlantic and the Puerto Rico Trench. Based upon different molecular analyses (Automated Barcode Gap Discovery, pairwise genetic distances, phylogenetics, haplotype networks) we were able to identify and differentiate eight Laonice species. Up to four of these species co-occurred sympatrically at the same station. The majority of species were found at multiple stations and two species in the eastern as well as western Atlantic had ranges of up to 4,000 km. Genetic differentiation across these extensive geographic distances was very low. Surprisingly, one 16S haplotype was shared between individuals 2,776 km apart and individuals from the Caribbean and the abyssal plain in the eastern Atlantic (&gt;3,389 km) differed in only a single mutation in 16S. Our results suggest that members of this genus successfully disperse across large geographic distances and are largely unaffected by topographic barriers.</t>
  </si>
  <si>
    <t>[Guggolz, Theresa; Schwentner, Martin] Univ Hamburg, Ctr Nat Hist, Zool Museum Hamburg, Martin Luther King Pl 3, D-20146 Hamburg, Germany; [Meissner, Karin] Univ Hamburg, Senckenberg Meer, German Ctr Marine Biodivers Res, Martin Luther King Pl 3, D-20146 Hamburg, Germany; [Brandt, Angelika] Senckenberg Nat Museum, Senckenberganlage 25, D-60325 Frankfurt, Germany</t>
  </si>
  <si>
    <t>University of Hamburg; Senckenberg Gesellschaft fur Naturforschung (SGN); University of Hamburg; Senckenberg Gesellschaft fur Naturforschung (SGN)</t>
  </si>
  <si>
    <t>Guggolz, T (corresponding author), Univ Hamburg, Ctr Nat Hist, Zool Museum Hamburg, Martin Luther King Pl 3, D-20146 Hamburg, Germany.</t>
  </si>
  <si>
    <t>Theresa.Guggolz@uni-hamburg.de</t>
  </si>
  <si>
    <t>Schwentner, Martin/0000-0002-1373-456X</t>
  </si>
  <si>
    <t>Bauer Foundation (Germany); PTJ (German Ministry for Science and Education) [03G0227A]</t>
  </si>
  <si>
    <t>Bauer Foundation (Germany); PTJ (German Ministry for Science and Education)</t>
  </si>
  <si>
    <t>The first author's work was supported by the Bauer Foundation (Germany). The Vema-TRANSIT Expedition was undertaken with financial support of the PTJ (German Ministry for Science and Education), Grant 03G0227A. Many thanks are owed to the crew of the RV Sonne for support during the Vema-TRANSIT Expedition. GRG are thanked for valuable comments and moral support. Special thanks to the two anonymous reviewers for helpful comments and new issues of consideration. The English has kindly been checked and corrected by Dr. Huw Griffiths, British Antarctic Survey.</t>
  </si>
  <si>
    <t>10.1038/s41598-019-45807-7</t>
  </si>
  <si>
    <t>IE9QF</t>
  </si>
  <si>
    <t>WOS:000472709600023</t>
  </si>
  <si>
    <t>Lotze, HK; Tittensor, DP; Bryndum-Buchholz, A; Eddy, TD; Cheung, WWL; Galbraith, ED; Barange, M; Barrier, N; Bianchi, D; Blanchard, JL; Bopp, L; Büchner, M; Bulman, CM; Carozza, DA; Christensen, V; Coll, M; Dunne, JP; Fulton, EA; Jennings, S; Jones, MC; Mackinson, S; Maury, O; Niiranen, S; Oliveros-Ramos, R; Roy, T; Fernandes, JA; Schewe, J; Shin, YJ; Silva, TAM; Steenbeek, J; Stock, CA; Verley, P; Volkholz, J; Walker, ND; Worm, B</t>
  </si>
  <si>
    <t>Lotze, Heike K.; Tittensor, Derek P.; Bryndum-Buchholz, Andrea; Eddy, Tyler D.; Cheung, William W. L.; Galbraith, Eric D.; Barange, Manuel; Barrier, Nicolas; Bianchi, Daniele; Blanchard, Julia L.; Bopp, Laurent; Buchner, Matthias; Bulman, Catherine M.; Carozza, David A.; Christensen, Villy; Coll, Marta; Dunne, John P.; Fulton, Elizabeth A.; Jennings, Simon; Jones, Miranda C.; Mackinson, Steve; Maury, Olivier; Niiranen, Susa; Oliveros-Ramos, Ricardo; Roy, Tilla; Fernandes, Jose A.; Schewe, Jacob; Shin, Yunne-Jai; Silva, Tiago A. M.; Steenbeek, Jeroen; Stock, Charles A.; Verley, Philippe; Volkholz, Jan; Walker, Nicola D.; Worm, Boris</t>
  </si>
  <si>
    <t>Global ensemble projections reveal trophic amplification of ocean biomass declines with climate change</t>
  </si>
  <si>
    <t>climate change impacts; marine food webs; global ecosystem modeling; model intercomparison; uncertainty</t>
  </si>
  <si>
    <t>MARINE FISHERIES; CHANGE IMPACTS; UNCERTAINTIES; ADAPTATION; ECOSYSTEMS; SCENARIOS; PROSPECTS; COASTAL; FUTURE; CATCH</t>
  </si>
  <si>
    <t>While the physical dimensions of climate change are now routinely assessed through multimodel intercomparisons, projected impacts on the global ocean ecosystem generally rely on individual models with a specific set of assumptions. To address these single-model limitations, we present standardized ensemble projections from six global marine ecosystem models forced with two Earth system models and four emission scenarios with and without fishing. We derive average biomass trends and associated uncertainties across the marine food web. Without fishing, mean global animal biomass decreased by 5% (+/- 4% SD) under low emissions and 17% (+/- 11% SD) under high emissions by 2100, with an average 5% decline for every 1 degrees C of warming. Projected biomass declines were primarily driven by increasing temperature and decreasing primary production, and were more pronounced at higher trophic levels, a process known as trophic amplification. Fishing did not substantially alter the effects of climate change. Considerable regional variation featured strong biomass increases at high latitudes and decreases at middle to low latitudes, with good model agreement on the direction of change but variable magnitude. Uncertainties due to variations in marine ecosystem and Earth system models were similar. Ensemble projections performed well compared with empirical data, emphasizing the benefits of multimodel inference to project future outcomes. Our results indicate that global ocean animal biomass consistently declines with climate change, and that these impacts are amplified at higher trophic levels. Next steps for model development include dynamic scenarios of fishing, cumulative human impacts, and the effects of management measures on future ocean biomass trends.</t>
  </si>
  <si>
    <t>[Lotze, Heike K.; Tittensor, Derek P.; Bryndum-Buchholz, Andrea; Eddy, Tyler D.; Worm, Boris] Dalhousie Univ, Dept Biol, Halifax, NS B3H 4R2, Canada; [Tittensor, Derek P.] US Environm World Conservat Monitoring Ctr, Sci, Cambridge CB3 0DL, England; [Eddy, Tyler D.; Cheung, William W. L.; Jones, Miranda C.] Univ British Columbia, Inst Oceans &amp; Fisheries, Nippon Fdn Nereus Program, Vancouver, BC V6T 1Z4, Canada; [Galbraith, Eric D.] Inst Catalana Recerca &amp; Estudis Avancats, Barcelona 08010, Spain; [Galbraith, Eric D.] Univ Autonoma Barcelona, Inst Ciencia &amp; Tecnol Ambientals, E-08193 Barcelona, Spain; [Barange, Manuel] Food &amp; Agr Org United Nations, Fisheries &amp; Aquaculture Dept, I-00153 Rome, Italy; [Barrier, Nicolas] Univ Montpellier, IFREMER, Marine Biodivers Exploitat &amp; Conservat MARBEC, Inst Rech Dev,CNRS, F-34203 Sete, France; [Bianchi, Daniele] Univ Calif Los Angeles, Dept Atmospher &amp; Ocean Sci, Los Angeles, CA 90095 USA; [Blanchard, Julia L.; Roy, Tilla] Univ Tasmania, Inst Marine &amp; Antarctic Studies, Hobart, Tas 7001, Australia; [Blanchard, Julia L.; Fulton, Elizabeth A.] Univ Tasmania, Ctr Marine Socioecol, Hobart, Tas 7004, Australia; [Bopp, Laurent] Paris Sci &amp; Lettres Res Univ, CNRS, Ecole Normale Super,Ecole Polytech, Inst Pierre Simon Laplace,Lab Meteor Dynam,Sorbon, F-75231 Paris, France; [Buchner, Matthias; Schewe, Jacob; Volkholz, Jan] Potsdam Inst Climate Impact Res, D-14473 Potsdam, Germany; [Bulman, Catherine M.; Fulton, Elizabeth A.] CSIRO, Marine &amp; Atmospher Res, Hobart, Tas 7001, Australia; [Carozza, David A.] McGill Univ, Dept Earth &amp; Planetary Sci, Montreal, PQ H3A 0E8, Canada; [Christensen, Villy] Univ British Columbia, Inst Oceans &amp; Fisheries, Vancouver, BC V6T 1Z4, Canada; [Coll, Marta; Steenbeek, Jeroen] Ecopath Int Initiat, Inst Marine Sci, Barcelona 08003, Spain; [Dunne, John P.; Stock, Charles A.] Princeton Univ, NOAA, Geophys Fluid Dynam Lab, Princeton, NJ 08540 USA; [Jennings, Simon; Silva, Tiago A. M.; Walker, Nicola D.] Ctr Environm Fisheries &amp; Aquaculture Sci, Lowestoft Lab, Lowestoft NR33 0HT, Suffolk, England; [Jennings, Simon] Univ East Anglia, Sch Environm Sci, Norwich NR4 7TJ, Norfolk, England; [Jennings, Simon] Int Council Explorat Sea, Sci Comm, DK-1553 Copenhagen V, Denmark; [Mackinson, Steve] Scottish Pelag Fishermens Assoc, Heritage House, Fraserburgh AB43 9BP, England; [Maury, Olivier] Univ Cape Town, Marine Res Inst, Dept Oceanog, ZA-7701 Rondebosch, South Africa; [Niiranen, Susa] Stockholm Univ, Stockholm Resilience Ctr, S-11419 Stockholm, Sweden; [Oliveros-Ramos, Ricardo] Inst Mar Peru, Callao 07021, Peru; [Roy, Tilla] Ecosyst Climate &amp; Ocean Anal, F-75019 Paris, France; [Fernandes, Jose A.] AZTI Tecnalia, Marine Res Div, Pasaia 20110, Spain; [Fernandes, Jose A.] Plymouth Marine Lab, Plymouth PL13 DH, Devon, England; [Shin, Yunne-Jai] Univ Cape Town, Marine Res Inst, Dept Biol Sci, ZA-7701 Rondebosch, South Africa; [Verley, Philippe] Inst Rech Dev, AMAP Res Unit, F-34398 Montpellier, France</t>
  </si>
  <si>
    <t>Dalhousie University; University of British Columbia; ICREA; Autonomous University of Barcelona; Food &amp; Agriculture Organization of the United Nations (FAO); Centre National de la Recherche Scientifique (CNRS); Institut de Recherche pour le Developpement (IRD); Universite de Montpellier; Ifremer; University of California System; University of California Los Angeles; University of Tasmania; University of Tasmania; Universite PSL; Ecole Normale Superieure (ENS); Centre National de la Recherche Scientifique (CNRS); CNRS - National Institute for Earth Sciences &amp; Astronomy (INSU); Universite Paris Cite; Universite Paris Saclay; Potsdam Institut fur Klimafolgenforschung; Commonwealth Scientific &amp; Industrial Research Organisation (CSIRO); McGill University; University of British Columbia; Consejo Superior de Investigaciones Cientificas (CSIC); CSIC - Centro Mediterraneo de Investigaciones Marinas y Ambientales (CMIMA); CSIC - Instituto de Ciencias del Mar (ICM); National Oceanic Atmospheric Admin (NOAA) - USA; Princeton University; Centre for Environment Fisheries &amp; Aquaculture Science; University of East Anglia; University of Cape Town; Stockholm University; Instituto del Mar del Peru; AZTI; Plymouth Marine Laboratory; University of Cape Town; Institut de Recherche pour le Developpement (IRD); Universite de Montpellier</t>
  </si>
  <si>
    <t>Lotze, HK (corresponding author), Dalhousie Univ, Dept Biol, Halifax, NS B3H 4R2, Canada.</t>
  </si>
  <si>
    <t>hlotze@dal.ca</t>
  </si>
  <si>
    <t>Barrier, Nicolas/JME-3194-2023; Dunne, John/F-8086-2012; bopp, laurent/ABF-5302-2020; Blanchard, Julia L/E-4919-2010; Tittensor, Derek P./AAV-1117-2021; Maury, Olivier/I-4513-2013; Steenbeek, Jeroen Gerhard/F-9936-2016; Fulton, Beth/A-2871-2008; Cheung, William/F-5104-2013; Fernandes, José/AES-8490-2022; Oliveros-Ramos, Ricardo/G-4257-2011; Fulton, Beth/AAJ-1398-2021; Eddy, Tyler/ABE-7092-2021; Schewe, Jacob/V-1273-2017; Salvador, Jose Antonio Fernandes/AAH-7939-2019; Coll, Marta/A-9488-2012; Shin, Yunne-Jai/A-7575-2012; Christensen, Villy/C-3945-2009; Buchner, Matthias/C-1130-2017; Bulman, Catherine/A-9795-2012</t>
  </si>
  <si>
    <t>Barrier, Nicolas/0000-0002-1693-4719; bopp, laurent/0000-0003-4732-4953; Tittensor, Derek P./0000-0002-9550-3123; Maury, Olivier/0000-0002-7999-9982; Steenbeek, Jeroen Gerhard/0000-0002-7878-8075; Fulton, Beth/0000-0002-5904-7917; Eddy, Tyler/0000-0002-2833-9407; Schewe, Jacob/0000-0001-9455-4159; Salvador, Jose Antonio Fernandes/0000-0003-4677-6077; Coll, Marta/0000-0001-6235-5868; Shin, Yunne-Jai/0000-0002-7259-9265; Blanchard, Julia/0000-0003-0532-4824; Bryndum-Buchholz, Andrea/0000-0002-7635-7845; Christensen, Villy/0000-0003-0688-2633; Silva, Tiago/0000-0002-8316-2376; Mackinson, Steven/0000-0002-0262-1180; Oliveros-Ramos, Ricardo/0000-0002-8069-2101; Buchner, Matthias/0000-0002-1382-7424; Niiranen, Susa/0000-0001-8405-8717; Worm, Boris/0000-0002-5742-8716; Lotze, Heike/0000-0001-6258-1304; Stock, Charles/0000-0001-9549-8013; Walker, Nicola/0000-0002-9778-0220; Bianchi, Daniele/0000-0002-6621-0858; Bulman, Catherine/0000-0002-8997-4615; Carozza, David A/0000-0001-7343-9442</t>
  </si>
  <si>
    <t>German Federal Ministry of Education and Research through ISI-MIP [01LS1201A1]; European Union's Horizon 2020 Research and Innovation Program [678193, 682602, 689518]; Ocean Frontier Institute (Module G); Natural Sciences and Engineering Research Council (NSERC) of Canada; Kanne Rasmussen Foundation Denmark; NSERC Transatlantic Ocean Science and Technology Program; Nippon Foundation-Nereus Program; Commonwealth Scientific and Industrial Research Organization; Australian Research Council; French Agence Nationale de la Recherche; Pole de Calcul et de Donnees pour la Mer; UK Department of Environment, Food and Rural Affairs</t>
  </si>
  <si>
    <t>German Federal Ministry of Education and Research through ISI-MIP; European Union's Horizon 2020 Research and Innovation Program(Horizon 2020); Ocean Frontier Institute (Module G); Natural Sciences and Engineering Research Council (NSERC) of Canada(Natural Sciences and Engineering Research Council of Canada (NSERC)); Kanne Rasmussen Foundation Denmark; NSERC Transatlantic Ocean Science and Technology Program(Natural Sciences and Engineering Research Council of Canada (NSERC)); Nippon Foundation-Nereus Program; Commonwealth Scientific and Industrial Research Organization; Australian Research Council(Australian Research Council); French Agence Nationale de la Recherche(Agence Nationale de la Recherche (ANR)); Pole de Calcul et de Donnees pour la Mer; UK Department of Environment, Food and Rural Affairs(Department for Environment, Food &amp; Rural Affairs (DEFRA))</t>
  </si>
  <si>
    <t>We thank the Inter-Sectoral Impact Model Intercomparison Project (ISI-MIP) and CMIP5 for providing data and logistical support, and we thank C. Free for sharing data. Financial support was provided by the German Federal Ministry of Education and Research through ISI-MIP (Grant 01LS1201A1), the European Union's Horizon 2020 Research and Innovation Program (Grant 678193), and the Ocean Frontier Institute (Module G). We acknowledge additional financial support as follows: to H.K.L., W.W.L.C., and B.W. from the Natural Sciences and Engineering Research Council (NSERC) of Canada; to D.P.T. from the Kanne Rasmussen Foundation Denmark; to A. B.-B. from the NSERC Transatlantic Ocean Science and Technology Program; to W.W.L.C. and T.D.E. from the Nippon Foundation-Nereus Program; to E.D.G., M.C. and J. Steenbeek from the European Union's Horizon 2020 Research and Innovation Program (Grants 682602 and 689518); to E.A.F., J.L.B., and T.R. from Commonwealth Scientific and Industrial Research Organization and the Australian Research Council; to N.B., L.B., and O.M. from the French Agence Nationale de la Recherche and Pole de Calcul et de Donnees pour la Mer; and to S.J. from the UK Department of Environment, Food and Rural Affairs.</t>
  </si>
  <si>
    <t>10.1073/pnas.1900194116</t>
  </si>
  <si>
    <t>IE9TI</t>
  </si>
  <si>
    <t>Green Submitted, hybrid, Green Published, Green Accepted</t>
  </si>
  <si>
    <t>WOS:000472719100059</t>
  </si>
  <si>
    <t>Shen, JJ; Fan, YQ; Zhu, GL; Chen, H; Zhu, WM; Fu, P</t>
  </si>
  <si>
    <t>Shen, Jingjing; Fan, Yaqin; Zhu, Guoliang; Chen, Hao; Zhu, Weiming; Fu, Peng</t>
  </si>
  <si>
    <t>Polycyclic Macrolactams Generated via Intramolecular Diels-Alder Reactions from an Antarctic Streptomyces Species</t>
  </si>
  <si>
    <t>ORGANIC LETTERS</t>
  </si>
  <si>
    <t>ABSOLUTE-CONFIGURATIONS; INDOLOCARBAZOLES; BIOSYNTHESIS; INSIGHTS; LACTAM; STRAIN</t>
  </si>
  <si>
    <t>Three new polycyclic macrolactams, cyclamenols B-D (1-3), together with a known macrolactam, cyclamenol A (4), were isolated from the Streptomyces sp. OUCMDZ-4348. Their structures including absolute configurations were determined on the basis of spectroscopic analysis, chemical methods, and ECD calculations. The biosynthetic pathways involving intramolecular Diels-Alder reactions were proposed. Compound 1 exhibited selective inhibition against the gastric carcinoma cell line N87 with an IC50 value of 10.8 mu M.</t>
  </si>
  <si>
    <t>[Shen, Jingjing; Fan, Yaqin; Zhu, Guoliang; Zhu, Weiming; Fu, Peng] Ocean Univ China, Sch Med &amp; Pharm, Minist Educ China, Key Lab Marine Drugs, Qingdao 266003, Peoples R China; [Zhu, Weiming; Fu, Peng] Pilot Natl Lab Marine Sci &amp; Technol Qingdao, Lab Marine Drugs &amp; Bioprod, Qingdao 266003, Peoples R China; [Chen, Hao] Minist Nat Resources China, Inst Oceanog 1, Key Lab Marine Bioact Subst, Qingdao 266061, Shandong, Peoples R China</t>
  </si>
  <si>
    <t>Ocean University of China; Laoshan Laboratory; Ministry of Natural Resources of the People's Republic of China</t>
  </si>
  <si>
    <t>Zhu, WM; Fu, P (corresponding author), Ocean Univ China, Sch Med &amp; Pharm, Minist Educ China, Key Lab Marine Drugs, Qingdao 266003, Peoples R China.;Zhu, WM; Fu, P (corresponding author), Pilot Natl Lab Marine Sci &amp; Technol Qingdao, Lab Marine Drugs &amp; Bioprod, Qingdao 266003, Peoples R China.</t>
  </si>
  <si>
    <t>weimingzhu@ouc.edu.cn; fupeng@ouc.edu.cn</t>
  </si>
  <si>
    <t>fu, peng/JER-6786-2023; Fu, Peng/D-6010-2017</t>
  </si>
  <si>
    <t>Fu, Peng/0000-0002-7768-4004; , Weiming/0000-0002-7591-3264</t>
  </si>
  <si>
    <t>National Natural Science Foundation of China [41806086, 41876172]; National Key R&amp;D Program of China [2018YFC1406705]; Fundamental Research Funds for the Central Universities [201841006]</t>
  </si>
  <si>
    <t>National Natural Science Foundation of China(National Natural Science Foundation of China (NSFC)); National Key R&amp;D Program of China; Fundamental Research Funds for the Central Universities(Fundamental Research Funds for the Central Universities)</t>
  </si>
  <si>
    <t>This work was financially supported by the National Natural Science Foundation of China (Nos. 41806086 and 41876172), the National Key R&amp;D Program of China (No. 2018YFC1406705), and the Fundamental Research Funds for the Central Universities (No. 201841006). We thank Ming Li and Peng Wang (School of Medicine and Pharmacy, Ocean University of China, Qingdao, China) for guidance with the chemical reactions.</t>
  </si>
  <si>
    <t>1523-7060</t>
  </si>
  <si>
    <t>1523-7052</t>
  </si>
  <si>
    <t>ORG LETT</t>
  </si>
  <si>
    <t>Org. Lett.</t>
  </si>
  <si>
    <t>JUN 21</t>
  </si>
  <si>
    <t>10.1021/acs.orglett.9b01710</t>
  </si>
  <si>
    <t>Chemistry, Organic</t>
  </si>
  <si>
    <t>IF5JB</t>
  </si>
  <si>
    <t>WOS:000473116000089</t>
  </si>
  <si>
    <t>Meier, LA; Krauze, P; Prater, I; Horn, F; Schaefer, CEGR; Scholten, T; Wagner, D; Mueller, CW; Kühn, P</t>
  </si>
  <si>
    <t>Meier, Lars A.; Krauze, Patryk; Prater, Isabel; Horn, Fabian; Schaefer, Carlos E. G. R.; Scholten, Thomas; Wagner, Dirk; Mueller, Carsten W.; Kuehn, Peter</t>
  </si>
  <si>
    <t>Pedogenic and microbial interrelation in initial soils under semiarid climate on James Ross Island, Antarctic Peninsula region</t>
  </si>
  <si>
    <t>LAYER THERMAL REGIME; ACTIVE-LAYER; BACTERIAL DIVERSITY; COMMUNITY STRUCTURE; SP-NOV.; FAMILY FLAVOBACTERIACEAE; ULU PENINSULA; SEA REGION; IRON; MICROMORPHOLOGY</t>
  </si>
  <si>
    <t>James Ross Island (JRI) offers the exceptional opportunity to study microbial-driven pedogenesis without the influence of vascular plants or faunal activities (e.g., penguin rookeries). In this study, two soil profiles from JRI (one at Santa Martha Cove - SMC, and another at Brandy Bay BB) were investigated, in order to gain information about the initial state of soil formation and its interplay with prokaryotic activity, by combining pedological, geochemical and microbiological methods. The soil profiles are similar with respect to topographic position and parent material but are spatially separated by an orographic barrier and therefore represent windward and leeward locations towards the mainly southwesterly winds. These different positions result in differences in electric conductivity of the soils caused by additional input of bases by sea spray at the windward site and opposing trends in the depth functions of soil pH and electric conductivity. Both soils are classified as Cryosols, dominated by bacterial taxa such as Actinobacteria, Proteobacteria, Acidobacteria, Gemmatimonadetes and Chloroflexi. A shift in the dominant taxa was observed below 20 cm in both soils as well as an increased abundance of multiple operational taxonomic units (OTUs) related to potential chemolithoautotrophic Acidiferrobacteraceae. This shift is coupled by a change in microstructure. While single/pellicular grain microstructure (SMC) and platy microstructure (BB) are dominant above 20 cm, lenticular microstructure is dominant below 20 cm in both soils. The change in microstructure is caused by frequent freeze-thaw cycles and a relative high water content, and it goes along with a development of the pore spacing and is accompanied by a change in nutrient content. Multivariate statistics revealed the influence of soil parameters such as chloride, sulfate, calcium and organic carbon contents, grain size distribution and pedogenic oxide ratios on the overall microbial community structure and explained 49.9% of its variation. The correlation of the pedogenic oxide ratios with the compositional distribution of microorganisms as well as the relative abundance certain microorganisms such as potentially chemolithotrophic Acidiferrobacteraceae-related OTUs could hint at an interplay between soil-forming processes and microorganisms.</t>
  </si>
  <si>
    <t>[Meier, Lars A.; Scholten, Thomas; Kuehn, Peter] Univ Tubingen, Dept Geosci, D-72070 Tubingen, Germany; [Krauze, Patryk; Horn, Fabian; Wagner, Dirk] GFZ German Res Ctr Geosci, Geomicrobiol Sect, D-14473 Potsdam, Germany; [Prater, Isabel; Mueller, Carsten W.] Tech Univ Munich, Lehrstuhl Bodenkunde, D-85354 Freising Weihenstephan, Germany; [Schaefer, Carlos E. G. R.] Univ Fed Vicosa, Dept Solos, BR-36571000 Vicosa, MG, Brazil; [Wagner, Dirk] Univ Potsdam, Inst Earth &amp; Environm Sci, D-14476 Potsdam, Germany; [Mueller, Carsten W.] Univ Queensland, Sch Agr &amp; Food Sci, St Lucia, Qld 4072, Australia</t>
  </si>
  <si>
    <t>Eberhard Karls University of Tubingen; Helmholtz Association; Helmholtz-Center Potsdam GFZ German Research Center for Geosciences; Technical University of Munich; Universidade Federal de Vicosa; University of Potsdam; University of Queensland</t>
  </si>
  <si>
    <t>Meier, LA (corresponding author), Univ Tubingen, Dept Geosci, D-72070 Tubingen, Germany.</t>
  </si>
  <si>
    <t>lars-arne.meier@uni-tuebingen.de</t>
  </si>
  <si>
    <t>Scholten, Thomas/E-4024-2012; Mueller, Carsten W/C-2679-2012; Prater, Isabel/JCP-4941-2023; Kühn, Peter/A-9146-2009; Wagner, Dirk/C-3932-2012; Prater, Isabel/AAX-6435-2020; Schaefer, Carlos Ernesto/AAY-4977-2020</t>
  </si>
  <si>
    <t>Mueller, Carsten W/0000-0003-4119-0544; Kühn, Peter/0000-0002-4417-5633; Wagner, Dirk/0000-0001-5064-497X; Horn, Fabian/0000-0002-4070-3400; Prater, Isabel/0000-0001-8195-3150</t>
  </si>
  <si>
    <t>German Research Foundation (DFG-Priority Programme 1158 - Antarctic Research) [WA 1554/18, SCHO 739/18, KU 1946/8, MU 3021/8]</t>
  </si>
  <si>
    <t>German Research Foundation (DFG-Priority Programme 1158 - Antarctic Research)</t>
  </si>
  <si>
    <t>This research has been supported by the German Research Foundation (DFG-Priority Programme 1158 - Antarctic Research: grant WA 1554/18 to DW, grant SCHO 739/18 to TS, grant KU 1946/8 to PK, and grant MU 3021/8 to CWM).</t>
  </si>
  <si>
    <t>10.5194/bg-16-2481-2019</t>
  </si>
  <si>
    <t>IE7DS</t>
  </si>
  <si>
    <t>WOS:000472535200001</t>
  </si>
  <si>
    <t>Stock, W; Vanelslander, B; Rüdiger, F; Sabbe, K; Vyverman, W; Karsten, U</t>
  </si>
  <si>
    <t>Stock, Willem; Vanelslander, Bart; Ruediger, Franziska; Sabbe, Koen; Vyverman, Wim; Karsten, Ulf</t>
  </si>
  <si>
    <t>Thermal Niche Differentiation in the Benthic Diatom Cylindrotheca closterium (Bacillariophyceae) Complex</t>
  </si>
  <si>
    <t>Cylindrotheca closterium; benthic diatom; thermal niche; ocean warming; cryptic species; niche conservation</t>
  </si>
  <si>
    <t>REPRODUCTIVE ISOLATION; INTERTIDAL SEDIMENTS; PHYLOGENETIC SIGNAL; FRESH-WATER; BALTIC SEA; TEMPERATURE; GROWTH; PHOTOSYNTHESIS; ADAPTATION; DIVERSITY</t>
  </si>
  <si>
    <t>Coastal waters are expected to undergo severe warming in the coming decades. Very little is known about how diatoms, the dominant primary producers in these habitats, will cope with these changes. We investigated the thermal niche of Cylindrotheca closterium, a widespread benthic marine diatom, using 24 strains collected over a wide latitudinal gradient. A multi-marker phylogeny in combination with a species delimitation approach shows that C. closterium represents a (pseudo)cryptic species complex, and this is reflected in distinct growth response patterns in terms of optimum growth temperature, maximum growth rate, and thermal niche width. Strains from the same Glade displayed a similar thermal response, suggesting niche conservation between closely related strains. Due to their lower maximum growth rate and smaller thermal niche width, we expect the polar species to be particularly sensitive to warming, and, in the absence of adaptation, to be replaced with species from lower latitudes.</t>
  </si>
  <si>
    <t>[Stock, Willem; Vanelslander, Bart; Sabbe, Koen; Vyverman, Wim] Univ Ghent, Dept Biol, Lab Protistol &amp; Aquat Ecol, Ghent, Belgium; [Ruediger, Franziska; Karsten, Ulf] Univ Rostock, Inst Biol Sci Appl Ecol &amp; Phycol, Rostock, Germany</t>
  </si>
  <si>
    <t>Ghent University; University of Rostock</t>
  </si>
  <si>
    <t>Stock, W (corresponding author), Univ Ghent, Dept Biol, Lab Protistol &amp; Aquat Ecol, Ghent, Belgium.</t>
  </si>
  <si>
    <t>Willem.Stock@ugent.be</t>
  </si>
  <si>
    <t>Vanelslander, Bart/GZG-2605-2022</t>
  </si>
  <si>
    <t>Vanelslander, Bart/0000-0003-2991-8459</t>
  </si>
  <si>
    <t>Fund for Scientific Research - Flanders (FWO-Flanders, Belgium); Ghent university [BOF15/GOA/17]; German Research Council [KA899/12, KA899/15]</t>
  </si>
  <si>
    <t>Fund for Scientific Research - Flanders (FWO-Flanders, Belgium)(FWO); Ghent university(Ghent University); German Research Council(German Research Foundation (DFG))</t>
  </si>
  <si>
    <t>WS was funded by the Fund for Scientific Research - Flanders (FWO-Flanders, Belgium). Additional funding was provided by Ghent university (Grant BOF15/GOA/17). The work on the Spitsbergen isolate has been performed at the NyAlesund International Arctic Environmental Research and Monitoring Facility and under the agreement on scientific cooperation between the Alfred Wegener Institute and the University of Rostock. Financial and logistic support was provided by the German Research Council to UK in the frame of the Deutsche Forschungsgemeinschaft (DFG) priority program 1158 Antarctic Research (DFG, KA899/12, KA899/15).</t>
  </si>
  <si>
    <t>10.3389/fmicb.2019.01395</t>
  </si>
  <si>
    <t>IE6DN</t>
  </si>
  <si>
    <t>WOS:000472466700001</t>
  </si>
  <si>
    <t>Chiellini, C; Lombardo, K; Mocali, S; Miceli, E; Fani, R</t>
  </si>
  <si>
    <t>Chiellini, Carolina; Lombardo, Katia; Mocali, Stefano; Miceli, Elisangela; Fani, Renato</t>
  </si>
  <si>
    <t>Pseudomonas strains isolated from different environmental niches exhibit different antagonistic ability</t>
  </si>
  <si>
    <t>ETHOLOGY ECOLOGY &amp; EVOLUTION</t>
  </si>
  <si>
    <t>Pseudomonas sp; antagonistic interactions; ecological niches; cross-streaking; adaptative strategies</t>
  </si>
  <si>
    <t>BACTERIAL COMMUNITIES; ECHINACEA-PURPUREA; PSYCHROTROPHIC BACTERIA; FLUORESCENT PSEUDOMONAS; MICROBIAL BIOGEOGRAPHY; ANTIBACTERIAL; SOIL; MICROORGANISMS; FLUCTUATION; RESISTANT</t>
  </si>
  <si>
    <t>The antagonistic interactions between microorganisms in the environment seem to play a key role in determining the spatial structuring of bacterial communities. In this work, the antagonistic interactions among 82 strains belonging to different Pseudomonas species isolated from six different environmental niches have been investigated to check whether it might be related to the environmental niches and/or to the taxonomical affiliation. The bacterial panel included 20 strains from Echinacea purpurea (12 from roots, 8 from the rhizosphere), 19 from Phragmites australis, 20 from the Acquarossa river (13 and 7 from red and black epilithon, respectively), 9 strains from red epilithon of the Infernaccio waterfalls, 5 Antarctic strains, and 9 strains from the Amazon rainforest. Data obtained revealed that 81 out of the 82 strains exhibited an antagonistic activity (even though at a different extent) and that the environmental characteristics, which also determine different adaptative strategies, might be the main factor affecting antagonism among bacteria, even more than taxonomy. Strains isolated from heavy metal enriched river biofilms were described as the most active, while endophytic and rhizospheric strains were the most sensitive. This research, representing the first report in which Pseudomonas bacterial strains isolated from different ecological niches have been tested for their interaction abilities, opens new perspectives in discovering putative new antimicrobial compounds from different (extreme) environments.</t>
  </si>
  <si>
    <t>[Chiellini, Carolina; Lombardo, Katia; Miceli, Elisangela; Fani, Renato] Univ Florence, Dept Biol, Via Madonna del Piano 6, I-50019 Florence, Italy; [Chiellini, Carolina] Univ Pisa, Dept Agr Food &amp; Environm, Via Borghetto 80, I-56124 Pisa, Italy; [Mocali, Stefano] Ctr Ric Agr &amp; Ambiente CREA AA, Consiglio Ric Agr &amp; Anal Econ Agr, Ctr Ric Agr &amp; Ambiente, I-50125 Florence, Italy</t>
  </si>
  <si>
    <t>University of Florence; University of Pisa; Consiglio per la Ricerca in Agricoltura e L'analisi Dell'economia Agraria (CREA)</t>
  </si>
  <si>
    <t>Fani, R (corresponding author), Univ Firenze, Dipartimento Biol, Lab Evoluz Microb &amp; Mol, Via Madonna del Piano 6, I-50019 Florence, Italy.</t>
  </si>
  <si>
    <t>renato.fani@unifi.it</t>
  </si>
  <si>
    <t>Mocali, Stefano/ABE-2918-2020</t>
  </si>
  <si>
    <t>Chiellini, Carolina/0000-0002-0756-6459</t>
  </si>
  <si>
    <t>0394-9370</t>
  </si>
  <si>
    <t>1828-7131</t>
  </si>
  <si>
    <t>ETHOL ECOL EVOL</t>
  </si>
  <si>
    <t>Ethol. Ecol. Evol.</t>
  </si>
  <si>
    <t>10.1080/03949370.2019.1621391</t>
  </si>
  <si>
    <t>Behavioral Sciences; Zoology</t>
  </si>
  <si>
    <t>IU6LN</t>
  </si>
  <si>
    <t>WOS:000472423000001</t>
  </si>
  <si>
    <t>Allison, P; Archambault, S; Bard, R; Beatty, JJ; Beheler-Amass, M; Besson, DZ; Beydler, M; Bogdan, M; Chen, CC; Chen, CH; Chen, P; Clark, BA; Clough, A; Connolly, A; Cremonesi, L; Davies, J; Deaconu, C; DuVernoise, MA; Friedman, E; Hanson, J; Hanson, K; Haugen, J; Hoffman, KD; Hokanson-Fasig, B; Hong, E; Hsu, SY; Hu, L; Huang, JJ; Huang, MH; Hughes, K; Ishihara, A; Karle, A; Kelley, JL; Khandelwal, R; Kim, M; Kravchenko, I; Kruse, J; Kurusu, K; Landsman, H; Latif, UA; Laundrie, A; Li, CJ; Liu, TC; Lu, MY; Ludwig, A; Mase, K; Meures, T; Nam, J; Nichol, RJ; Nir, G; Oberla, E; OMurchadha, A; Pan, Y; Pfendner, C; Ransom, M; Ratzlaff, K; Roth, J; Sandstrom, P; Seckel, D; Shiao, YS; Shultz, A; Smith, D; Song, M; Sullivan, M; Touart, J; Vieregg, AG; Wang, MZ; Wang, SH; Wei, K; Wissel, SA; Yoshida, S; Young, R</t>
  </si>
  <si>
    <t>Allison, P.; Archambault, S.; Bard, R.; Beatty, J. J.; Beheler-Amass, M.; Besson, D. Z.; Beydler, M.; Bogdan, M.; Chen, C-C; Chen, C-H; Chen, P.; Clark, B. A.; Clough, A.; Connolly, A.; Cremonesi, L.; Davies, J.; Deaconu, C.; DuVernoise, M. A.; Friedman, E.; Hanson, J.; Hanson, K.; Haugen, J.; Hoffman, K. D.; Hokanson-Fasig, B.; Hong, E.; Hsu, S-Y; Hu, L.; Huang, J-J; Huang, M-H; Hughes, K.; Ishihara, A.; Karle, A.; Kelley, J. L.; Khandelwal, R.; Kim, M.; Kravchenko, I; Kruse, J.; Kurusu, K.; Landsman, H.; Latif, U. A.; Laundrie, A.; Li, C-J; Liu, T. C.; Lu, M-Y; Ludwig, A.; Mase, K.; Meures, T.; Nam, J.; Nichol, R. J.; Nir, G.; Oberla, E.; OMurchadha, A.; Pan, Y.; Pfendner, C.; Ransom, M.; Ratzlaff, K.; Roth, J.; Sandstrom, P.; Seckel, D.; Shiao, Y-S; Shultz, A.; Smith, D.; Song, M.; Sullivan, M.; Touart, J.; Vieregg, A. G.; Wang, M-Z; Wang, S-H; Wei, K.; Wissel, S. A.; Yoshida, S.; Young, R.</t>
  </si>
  <si>
    <t>Design and performance of an interferometric trigger array for radio detection of high-energy neutrinos</t>
  </si>
  <si>
    <t>NUCLEAR INSTRUMENTS &amp; METHODS IN PHYSICS RESEARCH SECTION A-ACCELERATORS SPECTROMETERS DETECTORS AND ASSOCIATED EQUIPMENT</t>
  </si>
  <si>
    <t>High-energy neutrinos; Beamforming; Radio detector</t>
  </si>
  <si>
    <t>EMISSION; AIR; SHOWERS; ICE; STATION; CHARGE</t>
  </si>
  <si>
    <t>Ultra-high energy neutrinos are detectable through impulsive radio signals generated through interactions in dense media, such as ice. Subsurface in-ice radio arrays are a promising way to advance the observation and measurement of astrophysical high-energy neutrinos with energies above those discovered by the IceCube detector (&gt;= 1 PeV) as well as cosmogenic neutrinos created in the GZK process (&gt;= 100 PeV). Here we describe the NuPhase detector, which is a compact receiving array of low-gain antennas deployed 185 m deep in glacial ice near the South Pole. Signals from the antennas are digitized and coherently summed into multiple beams to form a low-threshold interferometric phased array trigger for radio impulses. The NuPhase detector was installed at an Askaryan Radio Array (ARA) station during the 2017/18 Austral summer season. In situ measurements with an impulsive, point-source calibration instrument show a 50% trigger efficiency on impulses with voltage signal-to-noise ratios (SNR) of &lt;= 2.0, a factor of similar to 1.8 improvement in SNR over the standard ARA combinatoric trigger. Hardware-level simulations, validated with in situ measurements, predict a trigger threshold of an SNR as low as 1.6 for neutrino interactions that are in the far field of the array. With the already-achieved NuPhase trigger performance included in ARASim, a detector simulation for the ARA experiment, we find the trigger-level effective detector volume is increased by a factor of 1.8 at neutrino energies between 10 and 100 PeV compared to the currently used ARA combinatoric trigger. We also discuss an achievable near term path toward lowering the trigger threshold further to an SNR of 1.0, which would increase the effective single-station volume by more than a factor of 3 in the same range of neutrino energies.</t>
  </si>
  <si>
    <t>[Allison, P.; Beatty, J. J.; Clark, B. A.; Connolly, A.; Hong, E.] Ohio State Univ, Dept Phys, 174 W 18th Ave, Columbus, OH 43210 USA; [Allison, P.; Beatty, J. J.; Clark, B. A.; Connolly, A.; Hong, E.] Ohio State Univ, Ctr Cosmol &amp; AstroParticle Phys, Columbus, OH 43210 USA; [Archambault, S.; Ishihara, A.; Kim, M.; Kurusu, K.; Mase, K.; Yoshida, S.] Chiba Univ, Dept Phys, Chiba, Japan; [Bard, R.; Friedman, E.; Hoffman, K. D.; Song, M.; Touart, J.] Univ Maryland, Dept Phys, College Pk, MD 20742 USA; [Beatty, J. J.] Ohio State Univ, Dept Astron, 174 W 18Th Ave, Columbus, OH 43210 USA; [Beheler-Amass, M.; Beydler, M.; DuVernoise, M. A.; Hanson, K.; Haugen, J.; Hokanson-Fasig, B.; Karle, A.; Kelley, J. L.; Khandelwal, R.; Laundrie, A.; Lu, M-Y; Meures, T.; OMurchadha, A.; Sandstrom, P.] Univ Wisconsin, Dept Phys, 1150 Univ Ave, Madison, WI 53706 USA; [Beheler-Amass, M.; Beydler, M.; DuVernoise, M. A.; Hanson, K.; Haugen, J.; Hokanson-Fasig, B.; Karle, A.; Kelley, J. L.; Khandelwal, R.; Laundrie, A.; Lu, M-Y; Meures, T.; OMurchadha, A.; Sandstrom, P.] Univ Wisconsin, Wisconsin IceCube Particle Astrophys Ctr, Madison, WI USA; [Besson, D. Z.; Latif, U. A.; Ratzlaff, K.; Young, R.] Univ Kansas, Dept Phys &amp; Astron, Lawrence, KS 66045 USA; [Besson, D. Z.; Latif, U. A.; Ratzlaff, K.; Young, R.] Univ Kansas, Instrumentat Design Lab, Lawrence, KS 66045 USA; [Besson, D. Z.] Natl Res Nucl Univ, Moscow Engn Phys Inst, Moscow, Russia; [Bogdan, M.; Vieregg, A. G.] Univ Chicago, Enrico Fermi Inst, 5640 S Ellis Ave, Chicago, IL 60637 USA; [Chen, C-C; Chen, C-H; Chen, P.; Hsu, S-Y; Hu, L.; Huang, J-J; Huang, M-H; Li, C-J; Liu, T. C.; Nam, J.; Shiao, Y-S; Wang, M-Z; Wang, S-H] Natl Taiwan Univ, Leung Ctr Cosmol &amp; Particle Astrophys, Grad Inst Astrophys, Dept Phys, Taipei, Taiwan; [Clough, A.; Kravchenko, I; Kruse, J.; Shultz, A.] Univ Nebraska, Dept Phys &amp; Astron, Lincoln, NE 68588 USA; [Cremonesi, L.; Davies, J.; Nichol, R. J.] UCL, Dept Phys &amp; Astron, London, England; [Deaconu, C.; Hughes, K.; Ludwig, A.; Oberla, E.; Ransom, M.; Smith, D.; Vieregg, A. G.; Wei, K.] Univ Chicago, Dept Phys, Chicago, IL 60637 USA; [Deaconu, C.; Hughes, K.; Ludwig, A.; Oberla, E.; Ransom, M.; Smith, D.; Vieregg, A. G.; Wei, K.] Univ Chicago, Kavli Inst Cosmol Phys, Chicago, IL 60637 USA; [Hanson, J.] Whittier Coll, Dept Phys &amp; Astron, Whittier, CA USA; [Landsman, H.; Nir, G.] Weizmann Inst Sci, Rehovot, Israel; [Pan, Y.; Roth, J.; Seckel, D.] Univ Delaware, Dept Phys &amp; Astron, Newark, DE 19716 USA; [Pfendner, C.] Otterbein Univ, Dept Phys, Westerville, OH USA; [Sullivan, M.] Moscow Engn &amp; Phys Inst, Moscow, Russia; [Wissel, S. A.] Calif Polytech State Univ San Luis Obispo, Dept Phys, San Luis Obispo, CA USA</t>
  </si>
  <si>
    <t>University System of Ohio; Ohio State University; University System of Ohio; Ohio State University; Chiba University; University System of Maryland; University of Maryland College Park; University System of Ohio; Ohio State University; University of Wisconsin System; University of Wisconsin Madison; University of Wisconsin System; University of Wisconsin Madison; University of Kansas; University of Kansas; National Research Nuclear University MEPhI (Moscow Engineering Physics Institute); University of Chicago; National Taiwan University; University of Nebraska System; University of Nebraska Lincoln; University of London; University College London; University of Chicago; University of Chicago; Whittier College; Weizmann Institute of Science; University of Delaware; University System of Ohio; Otterbein University; National Research Nuclear University MEPhI (Moscow Engineering Physics Institute); California State University System; California Polytechnic State University San Luis Obispo</t>
  </si>
  <si>
    <t>Oberla, E (corresponding author), Univ Chicago, Dept Phys, Chicago, IL 60637 USA.;Oberla, E (corresponding author), Univ Chicago, Kavli Inst Cosmol Phys, Chicago, IL 60637 USA.</t>
  </si>
  <si>
    <t>ejo@uchicago.edu</t>
  </si>
  <si>
    <t>Huang, Jian Jang/L-9953-2016; Chen, Pisin/IAO-8769-2023; Nir, Guy/HJJ-0199-2023; Nichol, Ryan/C-1645-2008; Beatty, James/D-9310-2011</t>
  </si>
  <si>
    <t>Chen, Pisin/0000-0001-5251-7210; Nichol, Ryan/0000-0003-0557-0443; Beatty, James/0000-0003-0481-4952; Cremonesi, Linda/0000-0003-0711-1056; Clark, Brian/0000-0003-4089-2245; Wissel, Stephanie/0000-0003-0569-6978; Deaconu, Cosmin/0000-0002-4953-6397; Huang, Minghuey/0000-0002-8325-6233; Smith, Daniel/0000-0001-6307-4072; Latif, Uzair/0000-0002-7609-1266; Kim, Myoungchul/0000-0002-8624-5564; Li, Chuan-Jui/0000-0003-1449-7284; Allison, Patrick/0000-0001-8141-2653; Hughes, Kaeli/0000-0002-4551-9581</t>
  </si>
  <si>
    <t>National Science Foundation [NSF OPP-902483, NSF OPP-1359535, 1255557, 1752922, 0847658, DGE-1343012, 1250720]; Taiwan National Science Councils Vanguard Program [NSC 92-2628-M-002-09]; Belgian F.R.S.-FNRS [4.4508.01]; University of Wisconsin Alumni Research Foundation; University of Maryland; Ohio State University; United States-Israel Binational Science Foundation [2012077]; National Research Nuclear University MEPhi (Moscow Engineering Physics Institute); Kavli Institute for Cosmological Physics at the University of Chicago; Sloan Foundation; NSF [1752922, 1607555]; Leverhulme Trust; STFC [PP/E006876/1, ST/N000285/1] Funding Source: UKRI; Direct For Computer &amp; Info Scie &amp; Enginr; Div Of Information &amp; Intelligent Systems [1250720] Funding Source: National Science Foundation; Direct For Mathematical &amp; Physical Scien; Division Of Physics [1752922] Funding Source: National Science Foundation; Division Of Physics; Direct For Mathematical &amp; Physical Scien [1607555] Funding Source: National Science Foundation</t>
  </si>
  <si>
    <t>National Science Foundation(National Science Foundation (NSF)); Taiwan National Science Councils Vanguard Program; Belgian F.R.S.-FNRS(Fonds de la Recherche Scientifique - FNRS); University of Wisconsin Alumni Research Foundation; University of Maryland; Ohio State University(Ohio State University); United States-Israel Binational Science Foundation(US-Israel Binational Science Foundation); National Research Nuclear University MEPhi (Moscow Engineering Physics Institute); Kavli Institute for Cosmological Physics at the University of Chicago(University of Chicago); Sloan Foundation(Alfred P. Sloan Foundation); NSF(National Science Foundation (NSF)); Leverhulme Trust(Leverhulme Trust); STFC(UK Research &amp; Innovation (UKRI)Science &amp; Technology Facilities Council (STFC)); Direct For Computer &amp; Info Scie &amp; Enginr; Div Of Information &amp; Intelligent Systems(National Science Foundation (NSF)NSF - Directorate for Computer &amp; Information Science &amp; Engineering (CISE)); Direct For Mathematical &amp; Physical Scien; Division Of Physics(National Science Foundation (NSF)NSF - Directorate for Mathematical &amp; Physical Sciences (MPS)); Division Of Physics; Direct For Mathematical &amp; Physical Scien(National Science Foundation (NSF)NSF - Directorate for Mathematical &amp; Physical Sciences (MPS))</t>
  </si>
  <si>
    <t>We thank the National Science Foundation for their generous support through Grant NSF OPP-902483 and Grant NSF OPP-1359535. We further thank the Taiwan National Science Councils Vanguard Program: NSC 92-2628-M-002-09 and the Belgian F.R.S.-FNRS Grant 4.4508.01. We are grateful to the U.S. National Science Foundation-Office of Polar Programs and the U.S. National Science Foundation-Physics Division. We also thank the University of Wisconsin Alumni Research Foundation, the University of Maryland and the Ohio State University for their support. Furthermore, we are grateful to the Raytheon Polar Services Corporation and the Antarctic Support Contractor, for field support. A. Connolly thanks the National Science Foundation for their support through CAREER award 1255557, and also the Ohio Supercomputer Center. S.A. Wissel also thanks the National Science Foundation for support under CAREER award 1752922. K. Hoffman likewise thanks the National Science Foundation for their support through CAREER award 0847658. B.A. Clark thanks the National Science Foundation for support through the Graduate Research Fellowship Program Award DGE-1343012. A. Connolly, K. Kurusu, and D. Besson thank the United States-Israel Binational Science Foundation for their support through Grant 2012077. A. Connolly, R.J. Nichol, and G. Nir thank the National Science Foundation for the support through BIGDATA Grant 1250720. D. Besson acknowledges support from National Research Nuclear University MEPhi (Moscow Engineering Physics Institute). R. Nichol thanks the Leverhulme Trust for their support. This work was supported by the Kavli Institute for Cosmological Physics at the University of Chicago, NSF Award 1752922 and 1607555, and the Sloan Foundation. Computing resources were provided by the University of Chicago Research Computing Center. We thank the staff of the Electronics Design Group at the University of Chicago. We also thank L. Street and N. Scheibe for their support during the 2017/18 South Pole season.</t>
  </si>
  <si>
    <t>0168-9002</t>
  </si>
  <si>
    <t>1872-9576</t>
  </si>
  <si>
    <t>NUCL INSTRUM METH A</t>
  </si>
  <si>
    <t>Nucl. Instrum. Methods Phys. Res. Sect. A-Accel. Spectrom. Dect. Assoc. Equip.</t>
  </si>
  <si>
    <t>10.1016/j.nima.2019.01.067</t>
  </si>
  <si>
    <t>Instruments &amp; Instrumentation; Nuclear Science &amp; Technology; Physics, Nuclear; Physics, Particles &amp; Fields</t>
  </si>
  <si>
    <t>Instruments &amp; Instrumentation; Nuclear Science &amp; Technology; Physics</t>
  </si>
  <si>
    <t>HU0WE</t>
  </si>
  <si>
    <t>WOS:000464991900015</t>
  </si>
  <si>
    <t>Riginos, C; Leis, JM</t>
  </si>
  <si>
    <t>Riginos, Cynthia; Leis, Jeffrey M.</t>
  </si>
  <si>
    <t>Do tiny fish rule the reefs?</t>
  </si>
  <si>
    <t>SCIENCE</t>
  </si>
  <si>
    <t>ASSEMBLAGES</t>
  </si>
  <si>
    <t>[Riginos, Cynthia] Univ Queensland, Sch Biol Sci, St Lucia, Qld, Australia; [Leis, Jeffrey M.] Univ Tasmania, Inst Marine &amp; Antarctic Studies, Hobart, Tas, Australia; [Leis, Jeffrey M.] Australian Museum Res Inst, Ichthyol, Sydney, NSW, Australia</t>
  </si>
  <si>
    <t>University of Queensland; University of Tasmania; Australian Museum</t>
  </si>
  <si>
    <t>Riginos, C (corresponding author), Univ Queensland, Sch Biol Sci, St Lucia, Qld, Australia.</t>
  </si>
  <si>
    <t>c.riginos@uq.edu.au</t>
  </si>
  <si>
    <t>Leis, Jeffrey M/E-7502-2012; Riginos, Cynthia/G-3320-2010; Leis, Jeffrey M/JCE-0397-2023</t>
  </si>
  <si>
    <t>Leis, Jeffrey M/0000-0003-0603-3447; Riginos, Cynthia/0000-0002-5485-4197; Leis, Jeffrey M/0000-0003-0603-3447</t>
  </si>
  <si>
    <t>0036-8075</t>
  </si>
  <si>
    <t>1095-9203</t>
  </si>
  <si>
    <t>Science</t>
  </si>
  <si>
    <t>10.1126/science.aax8961</t>
  </si>
  <si>
    <t>IE1VY</t>
  </si>
  <si>
    <t>WOS:000472175100019</t>
  </si>
  <si>
    <t>Campbell, EC; Wilson, EA; Moore, GWK; Riser, SC; Brayton, CE; Mazloff, MR; Talley, LD</t>
  </si>
  <si>
    <t>Campbell, Ethan C.; Wilson, Earle A.; Moore, G. W. Kent; Riser, Stephen C.; Brayton, Casey E.; Mazloff, Matthew R.; Talley, Lynne D.</t>
  </si>
  <si>
    <t>Antarctic offshore polynyas linked to Southern Hemisphere climate anomalies</t>
  </si>
  <si>
    <t>OCEAN DEEP-CONVECTION; SEA-ICE CONCENTRATIONS; WEDDELL POLYNYA; MAUD-RISE; PROFILING FLOATS; NATURAL VARIABILITY; MIXED-LAYER; WATER; MODEL; TRANSPORT</t>
  </si>
  <si>
    <t>Offshore Antarctic polynyas -large openings in the winter sea ice cover-are thought to be maintained by a rapid ventilation of deep-ocean heat through convective mixing. These rare phenomena may alter abyssal properties and circulation, yet their formation mechanisms are not well understood. Here we demonstrate that concurrent upper-ocean preconditioning and meteorological perturbations are responsible for the appearance of polynyas in the Weddell Sea region of the Southern Ocean. Autonomous profiling float observations-collected in 2016 and 2017 during the largest polynyas to form near the Maud Rise seamount since 1976 -reveal that the polynyas were initiated and modulated by the passage of severe storms, and that intense heat loss drove deep overturning within them. Wind-driven upwelling of record strength weakened haline stratification in the upper ocean, thus favouring destabilization in 2016 and 2017. We show that previous Weddell polynyas probably developed under similarly anomalous conditions, which are associated with a mode of Southern Hemisphere climate variability that is predicted to strengthen as a result of anthropogenic climate change.</t>
  </si>
  <si>
    <t>[Campbell, Ethan C.; Wilson, Earle A.; Riser, Stephen C.] Univ Washington, Sch Oceanog, Seattle, WA 98195 USA; [Moore, G. W. Kent] Univ Toronto, Dept Phys, Toronto, ON, Canada; [Moore, G. W. Kent] Univ Toronto Mississauga, Dept Chem &amp; Phys Sci, Mississauga, ON, Canada; [Brayton, Casey E.] Univ South Carolina, Sch Earth Ocean &amp; Environm, Columbia, SC 29208 USA; [Mazloff, Matthew R.; Talley, Lynne D.] Univ Calif San Diego, Scripps Inst Oceanog, La Jolla, CA 92093 USA</t>
  </si>
  <si>
    <t>University of Washington; University of Washington Seattle; University of Toronto; University of Toronto; University Toronto Mississauga; University of South Carolina System; University of South Carolina Columbia; University of California System; University of California San Diego; Scripps Institution of Oceanography</t>
  </si>
  <si>
    <t>Campbell, EC (corresponding author), Univ Washington, Sch Oceanog, Seattle, WA 98195 USA.</t>
  </si>
  <si>
    <t>ethancc@uw.edu</t>
  </si>
  <si>
    <t>Mazloff, Matthew/AAG-6463-2019; Moore, George Kent/D-8518-2011</t>
  </si>
  <si>
    <t>Mazloff, Matthew/0000-0002-1650-5850; Moore, George Kent/0000-0002-3986-5605; Wilson, Earle/0000-0003-2329-5115; Campbell, Ethan/0000-0002-8588-7506; Talley, Lynne/0000-0003-1574-729X</t>
  </si>
  <si>
    <t>US National Science Foundation, Division of Polar Programs [NSF PLR-1425989]; International Argo Program; University of Washington (UW) Program on Climate Change, ARCS Foundation; US Department of Defense through the National Defense Science &amp; Engineering Graduate (NDSEG) Fellowship Program; NSF [PLR-1425989]; NOAA [NA15OAR4320063]; Canada Fulbright Foundation, UW Jackson School of International Studies; Natural Sciences and Engineering Research Council of Canada; Scripps Undergraduate Research Fellowship (SURF) programme</t>
  </si>
  <si>
    <t>US National Science Foundation, Division of Polar Programs(National Science Foundation (NSF)); International Argo Program; University of Washington (UW) Program on Climate Change, ARCS Foundation; US Department of Defense through the National Defense Science &amp; Engineering Graduate (NDSEG) Fellowship Program; NSF(National Science Foundation (NSF)); NOAA(National Oceanic Atmospheric Admin (NOAA) - USA); Canada Fulbright Foundation, UW Jackson School of International Studies; Natural Sciences and Engineering Research Council of Canada(Natural Sciences and Engineering Research Council of Canada (NSERC)CGIAR); Scripps Undergraduate Research Fellowship (SURF) programme</t>
  </si>
  <si>
    <t>We thank A. Wong, R. Drucker, J. Plant, T. Maurer and K. Johnson for assistance with float data calibration, and all others involved in float and sensor design, construction, calibration and deployment for their contributions. Data were collected and made freely available by the Southern Ocean Carbon and Climate Observations and Modeling (SOCCOM) Project, which is funded by the US National Science Foundation, Division of Polar Programs (NSF PLR-1425989), supplemented by NASA, and by the International Argo Program and the NOAA programmes that contribute to it. The Argo Program is part of the Global Ocean Observing System. E.C.C. acknowledges funding from the University of Washington (UW) Program on Climate Change, ARCS Foundation, and US Department of Defense through the National Defense Science &amp; Engineering Graduate (NDSEG) Fellowship Program. E.A.W., S.C.R., M.R.M. and L.D.T. acknowledge funding from NSF PLR-1425989, and S.C.R. from NOAA grant NA15OAR4320063. G.W.K.M. acknowledges the support of the Canada Fulbright Foundation, UW Jackson School of International Studies, and the Natural Sciences and Engineering Research Council of Canada. C.E.B. was supported by the Scripps Undergraduate Research Fellowship (SURF) programme.</t>
  </si>
  <si>
    <t>JUN 20</t>
  </si>
  <si>
    <t>10.1038/s41586-019-1294-0</t>
  </si>
  <si>
    <t>IE1KW</t>
  </si>
  <si>
    <t>WOS:000472145700055</t>
  </si>
  <si>
    <t>Rozema, E; Kierszniowska, S; Almog-Gabai, O; Wilson, EG; Choi, YH; Verpoorte, R; Hamo, R; Chalifa-Caspi, V; Assaraf, YG; Lubzens, E</t>
  </si>
  <si>
    <t>Rozema, Evelien; Kierszniowska, Sylwia; Almog-Gabai, Oshri; Wilson, Erica G.; Choi, Young Hae; Verpoorte, Robert; Hamo, Reini; Chalifa-Caspi, Vered; Assaraf, Yehuda G.; Lubzens, Esther</t>
  </si>
  <si>
    <t>Metabolomics reveals novel insight on dormancy of aquatic invertebrate encysted embryos</t>
  </si>
  <si>
    <t>RESTING EGGS; DIAPAUSE INDUCTION; ANTARCTIC MIDGE; BRACHIONUS-CALYCIFLORUS; DESICCATION TOLERANCE; COTTON BOLLWORM; METABOLISM; MECHANISMS; DEHYDRATION; RESISTANCE</t>
  </si>
  <si>
    <t>Numerous aquatic invertebrates survive harsh environments by displaying dormancy as encysted embryos. This study aimed at determining whether metabolomics could provide molecular insight to explain the dormancy syndrome by highlighting functional pathways and metabolites, hence offering a novel comprehensive molecular view of dormancy. We compared the metabolome of morphologically distinct dormant encysted embryos (resting eggs) and non-dormant embryos (amictic eggs) of a rotifer (Brachionus plicatilis). Metabolome profiling revealed similar to 5,000 features, 1,079 of which were annotated. Most of the features were represented at significantly higher levels in non-dormant than dormant embryos. A large number of features was assigned to putative functional pathways indicating novel differences between dormant and non-dormant states. These include features associated with glycolysis, the TCA and urea cycles, amino acid, purine and pyrimidine metabolism. Interestingly, ATP, nucleobases, cyclic nucleotides, thymidine and uracil, were not detected in dormant resting eggs, suggesting an impairment of response to environmental and internal cues, cessation of DNA synthesis, transcription and plausibly translation in the dormant embryos. The levels of trehalose or its analogues, with a role in survival under desiccation conditions, were higher in resting eggs. In conclusion, the current study highlights metabolomics as a major analytical tool to functionally compare dormancy across species.</t>
  </si>
  <si>
    <t>[Rozema, Evelien; Wilson, Erica G.; Verpoorte, Robert] Leiden Univ, Inst Biol, Nat Prod Lab, Leiden, Netherlands; [Kierszniowska, Sylwia] MetaSysX GmbH, D-14476 Potsdam, Germany; [Almog-Gabai, Oshri; Hamo, Reini; Assaraf, Yehuda G.; Lubzens, Esther] Technion, Fac Biol, Haifa, Israel; [Choi, Young Hae] Kyung Hee Univ, Coll Pharm, Seoul 02447, South Korea; [Chalifa-Caspi, Vered] Ben Gurion Univ Negev, Natl Inst Biotechnol Negev, Beer Sheva, Israel; [Assaraf, Yehuda G.] Technion, Fred Wyszkowski Canc Res Lab, Haifa, Israel</t>
  </si>
  <si>
    <t>Leiden University; Leiden University - Excl LUMC; Technion Israel Institute of Technology; Kyung Hee University; Ben Gurion University; Technion Israel Institute of Technology</t>
  </si>
  <si>
    <t>Lubzens, E (corresponding author), Technion, Fac Biol, Haifa, Israel.</t>
  </si>
  <si>
    <t>elubzens@technion.ac.il</t>
  </si>
  <si>
    <t>Choi, Young Hae/O-7886-2016; Verpoorte, Robert/Y-4363-2019; Lubzens, Esther/KFE-8167-2024</t>
  </si>
  <si>
    <t>Choi, Young Hae/0000-0003-1484-1700; Kierszniowska, Sylwia/0000-0002-4736-9222</t>
  </si>
  <si>
    <t>Israel Science Foundation [1524/13]; NWO ECHO grant [711.012.010]; Israel Ministry of Agriculture [14-16-005]</t>
  </si>
  <si>
    <t>Israel Science Foundation(Israel Science Foundation); NWO ECHO grant; Israel Ministry of Agriculture</t>
  </si>
  <si>
    <t>This study was supported by the Israel Science Foundation grant #1524/13, the NWO ECHO grant #711.012.010 and the Israel Ministry of Agriculture (grant #14-16-005). The graphical assistance of Ms. Hana Bernard is greatly appreciated.</t>
  </si>
  <si>
    <t>10.1038/s41598-019-45061-x</t>
  </si>
  <si>
    <t>IE1HP</t>
  </si>
  <si>
    <t>WOS:000472136900052</t>
  </si>
  <si>
    <t>Arce, F; Bestley, S; Hindell, MA; McMahon, CR; Wotherspoon, S</t>
  </si>
  <si>
    <t>Arce, Fernando; Bestley, Sophie; Hindell, Mark A.; McMahon, Clive R.; Wotherspoon, Simon</t>
  </si>
  <si>
    <t>A quantitative, hierarchical approach for detecting drift dives and tracking buoyancy changes in southern elephant seals</t>
  </si>
  <si>
    <t>FORAGING SUCCESS; MIROUNGA-LEONINA; MARINE PREDATOR; BODY CONDITION; DIVING BEHAVIOR; PREY; TILETAMINE; POPULATION; STRATEGIES; MOVEMENTS</t>
  </si>
  <si>
    <t>Foraging behaviour of marine predators inferred from the analysis of horizontal or vertical movements commonly lack quantitative information about foraging success. Several marine mammal species are known to perform dives where they passively drift in the water column, termed drift dives. The drift rate is determined by the animal's buoyancy, which can be used to make inference regarding body condition. Long term dive records retrieved via satellite uplink are often summarized before transmission. This loss of resolution hampers identification of drift dives. Here, we develop a flexible, hierarchically structured approach to identify drift dives and estimate the drift rate from the summarized time-depth profiles that are increasingly available to the global research community. Based on high-resolution dive data from southern elephant seals, we classify dives as drift/non-drift and apply a summarization algorithm. We then (i) automatically generate dive groups based on inflection point ordering using a 'Reverse' Broken-Stick Algorithm, (ii) develop a set of threshold criteria to apply across groups, ensuring non-drift dives are most efficiently rejected, and (iii) finally implement a custom Kalman filter to retain the remaining dives that are within the seals estimated drifting time series. Validation with independent data sets shows our method retains approximately 3% of all dives, of which 88% are true drift dives. The drift rate estimates are unbiased, with the upper 95% quantile of the mean squared error between the daily averaged summarized profiles using our method (SDDR) and the observed daily averaged drift rate (ODDR) being only 0.0015. The trend of the drifting time-series match expectations for capital breeders, showing the lowest body condition commencing foraging trips and a progressive improvement as they remain at sea. Our method offers sufficient resolution to track small changes in body condition at a fine temporal scale. This approach overcomes a long-term challenge for large existing and ongoing data collections, with potential application across other drift diving species. Enabling robust identification of foraging success at sea offers a rare and valuable opportunity for monitoring marine ecosystem productivity in space and time by tracking the success of a top predator.</t>
  </si>
  <si>
    <t>[Arce, Fernando; Bestley, Sophie; Hindell, Mark A.; McMahon, Clive R.; Wotherspoon, Simon] Univ Tasmania, Inst Marine &amp; Antarctic Studies, Private Bag 129, Hobart, Tas 7001, Australia; [Arce, Fernando; Bestley, Sophie; Wotherspoon, Simon] Australian Antarctic Div, 203 Channel Highway, Kingston, Tas 7050, Australia; [McMahon, Clive R.] Sydney Inst Marine Sci, 19 Chowder Bay Rd, Mosman, NSW 2088, Australia; [Bestley, Sophie; Hindell, Mark A.] Antarctic Climate &amp; Ecosyst CRC, Ace CRC Private Bag 80, Hobart, Tas 7001, Australia</t>
  </si>
  <si>
    <t>University of Tasmania; Australian Antarctic Division; Sydney Institute of Marine Science; University of Tasmania</t>
  </si>
  <si>
    <t>Arce, F (corresponding author), Univ Tasmania, Inst Marine &amp; Antarctic Studies, Private Bag 129, Hobart, Tas 7001, Australia.;Arce, F (corresponding author), Australian Antarctic Div, 203 Channel Highway, Kingston, Tas 7050, Australia.</t>
  </si>
  <si>
    <t>Fernando.ArceGonzalez@utas.edu.au</t>
  </si>
  <si>
    <t>Wotherspoon, Simon J/B-2390-2013; McMahon, Clive R/D-5713-2013; Bestley, Sophie/AAN-2483-2021; Hindell, Mark A/K-1131-2013</t>
  </si>
  <si>
    <t>Wotherspoon, Simon J/0000-0002-6947-4445; McMahon, Clive R/0000-0001-5241-8917; Bestley, Sophie/0000-0001-9342-669X; Arce, Fernando/0000-0002-7622-3791; Hindell, Mark/0000-0002-7823-7185</t>
  </si>
  <si>
    <t>Tasmania Graduate Research Scholarship by the University of Tasmania; Elite Research Top-up under the Quantitative Antarctic Science program by the University of Tasmania; Australian Antarctic Division; Australian Research Council Super Science Fellowship - Australian Government [FS110200057]</t>
  </si>
  <si>
    <t>Tasmania Graduate Research Scholarship by the University of Tasmania; Elite Research Top-up under the Quantitative Antarctic Science program by the University of Tasmania; Australian Antarctic Division; Australian Research Council Super Science Fellowship - Australian Government(Australian Research Council)</t>
  </si>
  <si>
    <t>The Australian Antarctic Division supported the field research carried out at Macquarie Island (permit numbers in material and methods section). F.A.G. is recipient of a Tasmania Graduate Research Scholarship provided by the University of Tasmania, and an Elite Research Top-up co-funded under the Quantitative Antarctic Science program by the University of Tasmania and the Australian Antarctic Division. S.B. was supported by an Australian Research Council Super Science Fellowship (project number FS110200057) funded by the Australian Government. We acknowledge the Journal editor and two anonymous reviewers for their constructive comments.</t>
  </si>
  <si>
    <t>10.1038/s41598-019-44970-1</t>
  </si>
  <si>
    <t>IE1HX</t>
  </si>
  <si>
    <t>WOS:000472137700032</t>
  </si>
  <si>
    <t>Tilbrook, B; Jewett, EB; DeGrandpre, MD; Hernandez-Ayon, JM; Feely, RA; Gledhill, DK; Hansson, L; Isensee, K; Kurz, ML; Newton, JA; Siedlecki, SA; Chai, F; Dupont, S; Graco, M; Calvo, E; Greeley, D; Kapsenberg, L; Lebrec, M; Pelejero, C; Schoo, KL; Telszewski, M</t>
  </si>
  <si>
    <t>Tilbrook, Bronte; Jewett, Elizabeth B.; DeGrandpre, Michael D.; Martin Hernandez-Ayon, Jose; Feely, Richard A.; Gledhill, Dwight K.; Hansson, Lina; Isensee, Kirsten; Kurz, Meredith L.; Newton, Janet A.; Siedlecki, Samantha A.; Chai, Fei; Dupont, Sam; Graco, Michelle; Calvo, Eva; Greeley, Dana; Kapsenberg, Lydia; Lebrec, Marine; Pelejero, Carles; Schoo, Katherina L.; Telszewski, Maciej</t>
  </si>
  <si>
    <t>An Enhanced Ocean Acidification Observing Network: From People to Technology to Data Synthesis and Information Exchange</t>
  </si>
  <si>
    <t>Global Ocean Acidification Observing Network; Sustainable Development Goal; ocean acidification; ecosystem stressors; capacity building</t>
  </si>
  <si>
    <t>CARBONATE CHEMISTRY; SOUTHERN-OCEAN; CO2 FLUXES; SURFACE; PH; CLIMATE; SENSOR; PCO(2); STATE; BIOGEOCHEMISTRY</t>
  </si>
  <si>
    <t>A successful integrated ocean acidification (OA) observing network must include (1) scientists and technicians from a range of disciplines from physics to chemistry to biology to technology development; (2) government, private, and intergovernmental support; (3) regional cohorts working together on regionally specific issues; (4) publicly accessible data from the open ocean to coastal to estuarine systems; (5) close integration with other networks focusing on related measurements or issues including the social and economic consequences of OA; and (6) observation-based informational products useful for decision making such as management of fisheries and aquaculture. The Global Ocean Acidification Observing Network (GOA-ON), a key player in this vision, seeks to expand and enhance geographic extent and availability of coastal and open ocean observing data to ultimately inform adaptive measures and policy action, especially in support of the United Nations 2030 Agenda for Sustainable Development. GOA-ON works to empower and support regional collaborative networks such as the Latin American Ocean Acidification Network, supports new scientists entering the field with training, mentorship, and equipment, refines approaches for tracking biological impacts, and stimulates development of lower-cost methodology and technologies allowing for wider participation of scientists. GOA-ON seeks to collaborate with and complement work done by other observing networks such as those focused on carbon flux into the ocean, tracking of carbon and oxygen in the ocean, observing biological diversity, and determining short-and long-term variability in these and other ocean parameters through space and time.</t>
  </si>
  <si>
    <t>[Tilbrook, Bronte] CSIRO, Oceans &amp; Atmosphere, Hobart, Tas, Australia; [Tilbrook, Bronte] Univ Tasmania, Antarctic Climate &amp; Ecosyst Cooperat Res Ctr, Hobart, Tas, Australia; [Jewett, Elizabeth B.; Gledhill, Dwight K.; Kurz, Meredith L.] NOAA, Ocean Acidificat Program, Silver Spring, MD USA; [DeGrandpre, Michael D.] Univ Montana, Dept Chem &amp; Biochem, Missoula, MT 59812 USA; [Martin Hernandez-Ayon, Jose] Univ Autonoma Baja California, Inst Invest Oceanol, Ensenada, Baja California, Mexico; [Feely, Richard A.; Greeley, Dana] NOAA, Pacific Marine Environm Lab, 7600 Sand Point Way Ne, Seattle, WA 98115 USA; [Hansson, Lina; Lebrec, Marine] Ocean Acidificat Int Coordinat Ctr, Int Atom Energy Agcy Environm Labs, Monaco, Monaco; [Isensee, Kirsten; Schoo, Katherina L.] Sci &amp; Cultural Org, Intergovernmental Oceanog Commiss United Nations, Paris, France; [Newton, Janet A.] Univ Washington, Appl Phys Lab, Seattle, WA 98105 USA; [Newton, Janet A.] Univ Washington, Coll Environm, Seattle, WA 98195 USA; [Siedlecki, Samantha A.] Univ Connecticut, Dept Marine Sci, Groton, CT 06340 USA; [Chai, Fei] Minist Nat Resources, State Key Lab Satellite Ocean Environm Dynam, Inst Oceanog 2, Hangzhou, Zhejiang, Peoples R China; [Chai, Fei] Univ Maine, Sch Marine Sci, Orono, ME USA; [Dupont, Sam] Univ Gothenburg, Dept Biol &amp; Environm Sci, Kristineberg, Sweden; [Graco, Michelle] Inst Mar Peru, Lima, Peru; [Calvo, Eva; Kapsenberg, Lydia; Pelejero, Carles] CSIC, Inst Ciencies Mar, Barcelona, Spain; [Pelejero, Carles] Inst Catalana Recerca &amp; Estudis Avancats, Barcelona, Spain; [Telszewski, Maciej] Polish Acad Sci, Inst Oceanol, Sopot, Poland</t>
  </si>
  <si>
    <t>Commonwealth Scientific &amp; Industrial Research Organisation (CSIRO); Antarctic Climate &amp; Ecosystems Cooperative Research Centre (ACE CRC); University of Tasmania; National Oceanic Atmospheric Admin (NOAA) - USA; University of Montana System; University of Montana; Universidad Autonoma de Baja California; National Oceanic Atmospheric Admin (NOAA) - USA; University of Washington; University of Washington Seattle; University of Washington; University of Washington Seattle; University of Connecticut; Ministry of Natural Resources of the People's Republic of China; University of Maine System; University of Maine Orono; University of Gothenburg; Instituto del Mar del Peru; Consejo Superior de Investigaciones Cientificas (CSIC); CSIC - Centro Mediterraneo de Investigaciones Marinas y Ambientales (CMIMA); CSIC - Instituto de Ciencias del Mar (ICM); ICREA; Polish Academy of Sciences; Institute of Oceanology of the Polish Academy of Sciences</t>
  </si>
  <si>
    <t>Tilbrook, B (corresponding author), CSIRO, Oceans &amp; Atmosphere, Hobart, Tas, Australia.;Tilbrook, B (corresponding author), Univ Tasmania, Antarctic Climate &amp; Ecosyst Cooperat Res Ctr, Hobart, Tas, Australia.</t>
  </si>
  <si>
    <t>bronte.tilbrook@csiro.au</t>
  </si>
  <si>
    <t>Pelejero, Carles/AAF-4550-2019; Calvo, Eva/C-2618-2014; Feely, Richard A./ABI-5740-2020; Tilbrook, Bronte/W-4007-2019; Hernandez-Ayon, Jose Martin/AAV-9088-2021</t>
  </si>
  <si>
    <t>Pelejero, Carles/0000-0002-7763-7769; Calvo, Eva/0000-0003-3659-4499; Tilbrook, Bronte/0000-0001-9385-3827; Hernandez-Ayon, Jose Martin/0000-0001-6869-6225; Lebrec, Marine/0000-0002-3806-5542; Graco, Michelle Ivette/0000-0002-6193-3256; Newton, Jan/0000-0002-2551-1830; Siedlecki, Samantha/0000-0002-5662-7326; Telszewski, Maciej/0000-0002-9139-226X</t>
  </si>
  <si>
    <t>Climate Science Centre of CSIRO Oceans and Atmosphere; Integrated Marine Observing System; NOAA Ocean Acidification Program; U.S. National Science Foundation; U.S. National Science Foundation [OCE-1840868]; Government of Germany; International Atomic Energy Agency Ocean Acidification International Coordination Centre (OA-ICC); several Member States via the IAEA Peaceful Uses Initiative; United States Department of State through an IAEA Junior Professional Officer position; Government of the Principality of Monaco</t>
  </si>
  <si>
    <t>Climate Science Centre of CSIRO Oceans and Atmosphere; Integrated Marine Observing System; NOAA Ocean Acidification Program(National Oceanic Atmospheric Admin (NOAA) - USA); U.S. National Science Foundation(National Science Foundation (NSF)); U.S. National Science Foundation(National Science Foundation (NSF)); Government of Germany; International Atomic Energy Agency Ocean Acidification International Coordination Centre (OA-ICC); several Member States via the IAEA Peaceful Uses Initiative; United States Department of State through an IAEA Junior Professional Officer position; Government of the Principality of Monaco</t>
  </si>
  <si>
    <t>The secretariat support provided by the IOC-UNESCO, the International Atomic Energy Agency, and the NOAA Ocean Acidification Program (OAP) is central to the GOA-ON effort. GOA-ON also acknowledges NOAA OAP, the University of Washington, U.S. IOOS, and NANOOS for support of the GOA-ON data portal and website, and The Ocean Foundation and government agencies for capacity building and training support. The Climate Science Centre of CSIRO Oceans and Atmosphere and the Integrated Marine Observing System funded the contribution of BT. EJ, RF, DKG, MK, and DG were funded by the NOAA Ocean Acidification Program. MD participation was funded by the U.S. National Science Foundation. JN thanks the University of Washington's Applied Physics Laboratory and College of the Environment, NOAA OAP, U.S. IOOS, and NANOOS, and the Washington Ocean Acidifdication Center for support for her role in this contribution. MT acknowledges support from the U.S. National Science Foundation grant OCE-1840868 to the Scientific Committee on Oceanic Research (SCOR, U. S.). KI and KS thank the Government of Germany for its financial support to the ocean acidification activities at the Intergovernmental Oceanographic Commission of UNESCO (IOC-UNESCO). LH contributions were funded by the International Atomic Energy Agency Ocean Acidification International Coordination Centre (OA-ICC), supported by several Member States via the IAEA Peaceful Uses Initiative. MK contributions were funded by the United States Department of State through an IAEA Junior Professional Officer position. The IAEA is grateful for the support provided to its Environment Laboratories by the Government of the Principality of Monaco.</t>
  </si>
  <si>
    <t>JUN 19</t>
  </si>
  <si>
    <t>10.3389/fmars.2019.00337</t>
  </si>
  <si>
    <t>IE0UN</t>
  </si>
  <si>
    <t>WOS:000472102400001</t>
  </si>
  <si>
    <t>Thomisch, K; Boebel, O; Bachmann, J; Filun, D; Neumann, S; Spiesecke, S; Van Opzeeland, I</t>
  </si>
  <si>
    <t>Thomisch, Karolin; Boebel, Olaf; Bachmann, Jennifer; Filun, Diego; Neumann, Svenja; Spiesecke, Stefanie; Van Opzeeland, Ilse</t>
  </si>
  <si>
    <t>Temporal patterns in the acoustic presence of baleen whale species in a presumed breeding area off Namibia</t>
  </si>
  <si>
    <t>Antarctic blue whales; Antarctic minke whales; Baleen whale breeding grounds; Fin whales; Humpback whales; Migratory behavior; Passive acoustic monitoring; South Atlantic Ocean</t>
  </si>
  <si>
    <t>ANTARCTIC BLUE WHALES; EASTERN NORTH PACIFIC; HUMPBACK WHALES; MEGAPTERA-NOVAEANGLIAE; BALAENOPTERA-MUSCULUS; FIN WHALES; SOUTH-AFRICA; CALLS; SEASONALITY; SEPARATION</t>
  </si>
  <si>
    <t>The eastern Atlantic Ocean is considered to provide important breeding and wintering habitats for several migratory cetacean species. The spatio-temporal distributions and migratory behaviors of cetaceans off southern Africa are nevertheless still poorly understood. This study investigated the temporal patterns of acoustic occurrence of baleen whales in a presumed baleen whale breeding area off Namibia using passive acoustic recordings collected between November 2011 and May 2013. Our results show seasonal acoustic presence of humpback whales Megaptera novaeangliae, fin whales Balaenoptera physalus and Antarctic minke whales B. bonaerensis from November to January and from June to August. Their acoustic absence from February to May possibly indicates that most animals migrated to other areas (presumably in higher latitudes) in austral summer to feed. By contrast, Antarctic blue whales B. musculus intermedia were acoustically present throughout the recording period, indicating that part of the population remains at lower latitudes year-round. Our findings support the presumed ecological importance of the oceanic area off Namibia, providing (part of) a suitable cetacean wintering and, possibly, breeding range or migratory corridor. Furthermore, the occurrence of Antarctic blue and minke whales off Namibia, concurrent with their reported acoustic presence in high-latitude feeding areas, adds to growing evidence that baleen whale migration is not obligate but much more dynamic than has long been assumed.</t>
  </si>
  <si>
    <t>[Thomisch, Karolin; Boebel, Olaf; Bachmann, Jennifer; Filun, Diego; Neumann, Svenja; Spiesecke, Stefanie; Van Opzeeland, Ilse] Helmholtz Zentrmn Polar &amp; Meeresforsch, Alfred Wegener Inst, Ocean Acoust Lab, D-27570 Bremerhaven, Germany; [Bachmann, Jennifer; Neumann, Svenja] Univ Bremen, D-28359 Bremen, Germany; [Van Opzeeland, Ilse] Carl von Ossietzky Univ Oldenburg, HIFMB, D-26129 Oldenburg, Germany</t>
  </si>
  <si>
    <t>Helmholtz Association; Alfred Wegener Institute, Helmholtz Centre for Polar &amp; Marine Research; University of Bremen; Carl von Ossietzky Universitat Oldenburg</t>
  </si>
  <si>
    <t>Thomisch, K (corresponding author), Helmholtz Zentrmn Polar &amp; Meeresforsch, Alfred Wegener Inst, Ocean Acoust Lab, D-27570 Bremerhaven, Germany.</t>
  </si>
  <si>
    <t>karolin.thomisch@awi.de</t>
  </si>
  <si>
    <t>Thomisch, Karolin/0000-0002-7144-8369; Spiesecke, Stefanie/0000-0002-1105-7710</t>
  </si>
  <si>
    <t>JUN 18</t>
  </si>
  <si>
    <t>10.3354/meps12952</t>
  </si>
  <si>
    <t>IX5OK</t>
  </si>
  <si>
    <t>WOS:000485733300013</t>
  </si>
  <si>
    <t>Garnett, J; Halsall, C; Thomas, M; France, J; Kaiser, J; Graf, C; Leeson, A; Wynn, P</t>
  </si>
  <si>
    <t>Garnett, Jack; Halsall, Crispin; Thomas, Max; France, James; Kaiser, Jan; Graf, Carola; Leeson, Amber; Wynn, Peter</t>
  </si>
  <si>
    <t>Mechanistic Insight into the Uptake and Fate of Persistent Organic Pollutants in Sea Ice</t>
  </si>
  <si>
    <t>CONTAMINANT RELEASE; WATER; DYNAMICS; SNOW</t>
  </si>
  <si>
    <t>The fate of persistent organic pollutants in sea ice is a poorly researched area and yet ice serves as an important habitat for organisms at the base of the marine foodweb. This study presents laboratory-controlled experiments to investigate the mechanisms governing the fate of organic contaminants in sea ice grown from artificial seawater. Sea ice formation was shown to result in the entrainment of chemicals from seawater, and concentration profiles in bulk ice generally showed the highest levels in both the upper (ice-atmosphere interface) and lower (ice-ocean interface) ice layers, suggesting their incorporation and distribution is influenced by brine advection. Results from a 1-D sea ice brine dynamics model supported this, but also indicated that other processes may be needed to accurately model low-polarity compounds in sea ice. This was reinforced by results from melt experiment, which not only showed chemicals were more enriched in saltier brine, but also revealed that chemicals are released from sea ice at variable rates. We use our results to demonstrate the importance of processes related to the occurrence and movement of brine for controlling chemical fate in sea ice which provides a pathway for exposure to ice-associated biota at the base of the pelagic food web.</t>
  </si>
  <si>
    <t>[Garnett, Jack; Halsall, Crispin; Graf, Carola; Leeson, Amber; Wynn, Peter] Univ Lancaster, Lancaster Environm Ctr, Lancaster LA1 4YQ, England; [Thomas, Max; France, James; Kaiser, Jan] Univ East Anglia, Sch Environm Sci, Ctr Ocean &amp; Atmospher Sci, Norwich Res Pk, Norwich NR4 7TJ, Norfolk, England; [France, James] British Antarctic Survey, Madingley Rd, Cambridge CB3 0ET, England; [France, James] Royal Holloway Univ London, Dept Earth Sci, Egham Hill, Egham TW20 0EX, Surrey, England</t>
  </si>
  <si>
    <t>Lancaster University; University of East Anglia; UK Research &amp; Innovation (UKRI); Natural Environment Research Council (NERC); NERC British Antarctic Survey; University of London; Royal Holloway University London</t>
  </si>
  <si>
    <t>Halsall, C (corresponding author), Univ Lancaster, Lancaster Environm Ctr, Lancaster LA1 4YQ, England.</t>
  </si>
  <si>
    <t>c.halsall@lancaster.ac.uk</t>
  </si>
  <si>
    <t>Kaiser, Jan/D-3327-2009; Leeson, Amber/JFA-1001-2023; France, James/L-9719-2015; Halsall, Crispin/D-8135-2014</t>
  </si>
  <si>
    <t>Kaiser, Jan/0000-0002-1553-4043; France, James/0000-0002-8785-1240; Leeson, Amber/0000-0001-8720-9808; Halsall, Crispin/0000-0001-8007-9756; Wynn, Peter Michael/0000-0002-1221-5530; Garnett, Jack/0000-0001-9347-3808; Thomas, Max/0000-0002-2327-3664</t>
  </si>
  <si>
    <t>NERC's ENVISION Doctoral Training Centre [NE/L002604/1]; UKRI Natural Environment Research Council (NERC) [NE/R012857/1]; German Federal Ministry of Education and Research (BMBF) [NE/R012857/1]; British Antarctic Survey; European Union's Horizon 2020 research and innovation programme through the EURO-CHAMP-2020 Infrastructure Activity [730997]; NERC [bas0100032, NE/R012857/1, NE/M005852/1, NE/J021172/1] Funding Source: UKRI</t>
  </si>
  <si>
    <t>NERC's ENVISION Doctoral Training Centre; UKRI Natural Environment Research Council (NERC); German Federal Ministry of Education and Research (BMBF)(Federal Ministry of Education &amp; Research (BMBF)); British Antarctic Survey; European Union's Horizon 2020 research and innovation programme through the EURO-CHAMP-2020 Infrastructure Activity; NERC(UK Research &amp; Innovation (UKRI)Natural Environment Research Council (NERC))</t>
  </si>
  <si>
    <t>J.G.'s PhD (NE/L002604/1) was funded through NERC's ENVISION Doctoral Training Centre. This work resulted from the EISPAC project (NE/R012857/1), part of the Changing Arctic Ocean programme, jointly funded by the UKRI Natural Environment Research Council (NERC) and the German Federal Ministry of Education and Research (BMBF). We are grateful to the British Antarctic Survey for providing funding (British Antarctic Survey Collaboration Voucher) to cover the running costs of the RvG-ASIC facility for the duration of the experimental period. This project/work has received funding from the European Union's Horizon 2020 research and innovation programme through the EURO-CHAMP-2020 Infrastructure Activity under grant agreement No. 730997. We thank Professor Finlo Cottier and two other anonymous reviewers.</t>
  </si>
  <si>
    <t>10.1021/acs.est.9b00967</t>
  </si>
  <si>
    <t>IE9GM</t>
  </si>
  <si>
    <t>WOS:000472682900018</t>
  </si>
  <si>
    <t>Kemppinen, KMS; Holden, PB; Edwards, NR; Ridgwell, A; Friend, AD</t>
  </si>
  <si>
    <t>Kemppinen, Krista M. S.; Holden, Philip B.; Edwards, Neil R.; Ridgwell, Andy; Friend, Andrew D.</t>
  </si>
  <si>
    <t>Coupled climate-carbon cycle simulation of the Last Glacial Maximum atmospheric CO2 decrease using a large ensemble of modern plausible parameter sets</t>
  </si>
  <si>
    <t>MERIDIONAL OVERTURNING CIRCULATION; DEEP SOUTHERN-OCEAN; ANTARCTIC SEA-ICE; IRON FERTILIZATION; THERMOHALINE CIRCULATION; INTERGLACIAL VARIABILITY; VENTILATION; BURIAL; TEMPERATURE; SENSITIVITY</t>
  </si>
  <si>
    <t>During the Last Glacial Maximum (LGM), atmospheric CO2 was around 90 ppmv lower than during the pre-industrial period. The reasons for this decrease are most often elucidated through factorial experiments testing the impact of individual mechanisms. Due to uncertainty in our understanding of the real system, however, the different models used to conduct the experiments inevitably take on different parameter values and different structures. In this paper, the objective is therefore to take an uncertainty-based approach to investigating the LGM CO2 drop by simulating it with a large ensemble of parameter sets, designed to allow for a wide range of large-scale feedback response strengths. Our aim is not to definitely explain the causes of the CO2 drop but rather explore the range of possible responses. We find that the LGM CO2 decrease tends to predominantly be associated with decreasing sea surface temperatures (SSTs), increasing sea ice area, a weakening of the Atlantic Meridional Overturning Circulation (AMOC), a strengthening of the Antarctic Bottom Water (AABW) cell in the Atlantic Ocean, a decreasing ocean biological productivity, an increasing CaCO3 weathering flux and an increasing deep-sea CaCO3 burial flux. The majority of our simulations also predict an increase in terrestrial carbon, coupled with a decrease in ocean and increase in lithospheric carbon. We attribute the increase in terrestrial carbon to a slower soil respiration rate, as well as the preservation rather than destruction of carbon by the LGM ice sheets. An initial comparison of these dominant changes with observations and paleoproxies other than carbon isotope and oxygen data (not evaluated directly in this study) suggests broad agreement. However, we advise more detailed comparisons in the future, and also note that, conceptually at least, our results can only be reconciled with carbon isotope and oxygen data if additional processes not included in our model are brought into play.</t>
  </si>
  <si>
    <t>[Kemppinen, Krista M. S.; Friend, Andrew D.] Univ Cambridge, Dept Geog, Cambridge CB2 3EN, England; [Holden, Philip B.; Edwards, Neil R.] Open Univ, Environm Earth &amp; Ecosyst Sci, Milton Keynes MK7 6AA, Bucks, England; [Ridgwell, Andy] Univ Bristol, Sch Geog Sci, Bristol BS8 1SS, Avon, England; [Ridgwell, Andy] Univ Calif Riverside, Dept Earth Sci, Riverside, CA 92521 USA</t>
  </si>
  <si>
    <t>University of Cambridge; Open University - UK; University of Bristol; University of California System; University of California Riverside</t>
  </si>
  <si>
    <t>Kemppinen, KMS (corresponding author), Univ Cambridge, Dept Geog, Cambridge CB2 3EN, England.</t>
  </si>
  <si>
    <t>krista.kemppinen@asu.edu</t>
  </si>
  <si>
    <t>Ridgwell, Andy/AAD-9487-2021; Holden, Philip/K-6152-2013</t>
  </si>
  <si>
    <t>Ridgwell, Andy/0000-0003-2333-0128; Holden, Philip/0000-0002-2369-0062; Edwards, Neil/0000-0001-6045-8804; Friend, Andrew/0000-0002-9029-1045</t>
  </si>
  <si>
    <t>UK Natural Environment Research Council (NERC) [NE/E007554/1]; NERC [NE/E007554/1] Funding Source: UKRI</t>
  </si>
  <si>
    <t>This research has been supported by the UK Natural Environment Research Council (NERC) through funding for the project DESIRE (grant no. NE/E007554/1).</t>
  </si>
  <si>
    <t>10.5194/cp-15-1039-2019</t>
  </si>
  <si>
    <t>IE0LW</t>
  </si>
  <si>
    <t>gold, Green Submitted, Green Accepted</t>
  </si>
  <si>
    <t>WOS:000472079400001</t>
  </si>
  <si>
    <t>Rousseau, Y; Watson, RA; Blanchard, JL; Fulton, EA</t>
  </si>
  <si>
    <t>Rousseau, Yannick; Watson, Reg A.; Blanchard, Julia L.; Fulton, Elizabeth A.</t>
  </si>
  <si>
    <t>Evolution of global marine fishing fleets and the response of fished resources</t>
  </si>
  <si>
    <t>fishing capacity; effort; CPUE; artisanal; industrial</t>
  </si>
  <si>
    <t>CATCH; TRADE</t>
  </si>
  <si>
    <t>Previous reconstructions of marine fishing fleets have aggregated data without regard to the artisanal and industrial sectors. Engine power has often been estimated from subsets of the developed world, leading to inflated results. We disaggregated data into three sectors, artisanal (unpowered/powered) and industrial, and reconstructed the evolution of the fleet and its fishing effort. We found that the global fishing fleet doubled between 1950 and 2015-from 1.7 to 3.7 million vessels. This has been driven by substantial expansion of the motorized fleet, particularly, of the powered-artisanal fleet. By 2015, 68% of the global fishing fleet was motorized. Although the global fleet is dominated by small powered vessels under 50 kW, they contribute only 27% of the global engine power, which has increased from 25 to 145 GW (combined powered-artisanal and industrial fleets). Alongside an expansion of the fleets, the effective catch per unit of effort (CPUE) has consistently decreased since 1950, showing the increasing pressure of fisheries on ocean resources. The effective CPUE of most countries in 2015 was a fifth of its 1950s value, which was compared with a global decline in abundance. There are signs, however, of stabilization and more effective management in recent years, with a reduction in fleet sizes in developed countries. Based on historical patterns and allowing for the slowing rate of expansion, 1 million more motorized vessels could join the global fleet by midcentury as developing countries continue to transition away from subsistence fisheries, challenging sustainable use of fisheries' resources.</t>
  </si>
  <si>
    <t>[Rousseau, Yannick; Watson, Reg A.; Blanchard, Julia L.] Univ Tasmania, Inst Marine &amp; Antarctic Studies, Battery Point 7004, Australia; [Rousseau, Yannick; Watson, Reg A.; Blanchard, Julia L.; Fulton, Elizabeth A.] Ctr Marine Socioecol, Battery Point 7004, Australia; [Rousseau, Yannick; Fulton, Elizabeth A.] CSIRO, Oceans &amp; Atmosphere, Battery Point 7004, Australia</t>
  </si>
  <si>
    <t>Rousseau, Y (corresponding author), Univ Tasmania, Inst Marine &amp; Antarctic Studies, Battery Point 7004, Australia.;Rousseau, Y (corresponding author), Ctr Marine Socioecol, Battery Point 7004, Australia.;Rousseau, Y (corresponding author), CSIRO, Oceans &amp; Atmosphere, Battery Point 7004, Australia.</t>
  </si>
  <si>
    <t>yannick.rousseau@utas.edu.au</t>
  </si>
  <si>
    <t>Watson, Reg A/F-4850-2012; Blanchard, Julia L/E-4919-2010; rousseau, yannick/GWU-9830-2022; Fulton, Beth/A-2871-2008</t>
  </si>
  <si>
    <t>Watson, Reg A/0000-0001-7201-8865; Rousseau, Yannick/0000-0003-0765-7518; Blanchard, Julia/0000-0003-0532-4824</t>
  </si>
  <si>
    <t>10.1073/pnas.1820344116</t>
  </si>
  <si>
    <t>ID7UI</t>
  </si>
  <si>
    <t>WOS:000471887900027</t>
  </si>
  <si>
    <t>Miyoshi, Y; Matsuda, S; Kurita, S; Nomura, K; Keika, K; Shoji, M; Kitamura, N; Kasahara, Y; Matsuoka, A; Shinohara, I; Shiokawa, K; Machida, S; Santolik, O; Boardsen, SA; Horne, RB; Wygant, JF</t>
  </si>
  <si>
    <t>Miyoshi, Y.; Matsuda, S.; Kurita, S.; Nomura, K.; Keika, K.; Shoji, M.; Kitamura, N.; Kasahara, Y.; Matsuoka, A.; Shinohara, I.; Shiokawa, K.; Machida, S.; Santolik, O.; Boardsen, S. A.; Horne, R. B.; Wygant, J. F.</t>
  </si>
  <si>
    <t>EMIC Waves Converted From Equatorial Noise Due to M/Q=2 Ions in the Plasmasphere: Observations From Van Allen Probes and Arase</t>
  </si>
  <si>
    <t>EMIC; magnetsonic waves; Arase; Van Allen Probes; plasmasphere; M; Q=2 ions</t>
  </si>
  <si>
    <t>MAGNETOSONIC WAVES; SATELLITE AKEBONO; CYCLOTRON WAVES; PROPAGATION; EMISSIONS; MAGNETOSPHERE; WHISTLER; FREQUENCY; EXCITATION; VICINITY</t>
  </si>
  <si>
    <t>Equatorial noise (EN) emissions are observed inside and outside the plasmapause. EN emissions are referred to as magnetosonic mode waves. Using data from Van Allen Probes and Arase, we found conversion from EN emissions to electromagnetic ion cyclotron (EMIC) waves in the plasmasphere and in the topside ionosphere. A low-frequency part of EN emissions becomes EMIC waves through branch splitting of EN emissions, and the mode conversion from EN to EMIC waves occurs around the frequency of M/Q = 2 (deuteron and/or alpha particles) cyclotron frequency. These processes result in plasmaspheric EMIC waves. We investigated the ion composition ratio by characteristic frequencies of EN emissions and EMIC waves and obtained ion composition ratios. We found that the maximum composition ratio of M/Q = 2 ions is similar to 10% below 3,000 km. The quantitative estimation of the ion composition will contribute to improving the plasma model of the deep plasmasphere and the topside ionosphere.</t>
  </si>
  <si>
    <t>[Miyoshi, Y.; Kurita, S.; Nomura, K.; Shoji, M.; Shiokawa, K.; Machida, S.] Nagoya Univ, ISEE, Nagoya, Aichi, Japan; [Matsuda, S.; Matsuoka, A.; Shinohara, I.] ISAS JAXA, Sagamihara, Kanagawa, Japan; [Keika, K.; Kitamura, N.] Univ Tokyo, Grad Sch Sci, Tokyo, Japan; [Kasahara, Y.] Kanazawa Univ, Grad Sch Nat Sci &amp; Technol, Kanazawa, Ishikawa, Japan; [Santolik, O.] Czech Acad Sci, Inst Atmospher Phys, Dept Space Phys, Prague, Czech Republic; [Santolik, O.] Charles Univ Prague, Fac Math &amp; Phys, Prague, Czech Republic; [Boardsen, S. A.] Univ Maryland Baltimore Cty, Goddard Planetary Heliophys Inst, Baltimore, MD 21228 USA; [Boardsen, S. A.] NASA, Goddard Space Flight Ctr, Greenbelt, MD USA; [Horne, R. B.] British Antarctic Survey, Cambridge, England; [Wygant, J. F.] Univ Minnesota, Sch Phys &amp; Astron, Minneapolis, MN 55455 USA</t>
  </si>
  <si>
    <t>Nagoya University; Japan Aerospace Exploration Agency (JAXA); Institute of Space &amp; Astronautical Science (ISAS); University of Tokyo; Kanazawa University; Czech Academy of Sciences; Institute of Atmospheric Physics of the Czech Academy of Sciences; Charles University Prague; University System of Maryland; University of Maryland Baltimore County; National Aeronautics &amp; Space Administration (NASA); NASA Goddard Space Flight Center; UK Research &amp; Innovation (UKRI); Natural Environment Research Council (NERC); NERC British Antarctic Survey; University of Minnesota System; University of Minnesota Twin Cities</t>
  </si>
  <si>
    <t>Miyoshi, Y (corresponding author), Nagoya Univ, ISEE, Nagoya, Aichi, Japan.</t>
  </si>
  <si>
    <t>miyoshi@isee.nagoya-u.ac.jp</t>
  </si>
  <si>
    <t>Shoji, Masafumi/S-8304-2019; Kitamura, Naritoshi/AAR-7023-2020; Miyoshi, Yoshizumi/T-5748-2019; Santolik, Ondrej/F-7766-2014; Horne, Richard B/U-3764-2019; Kasahara, Yoshiya/E-7073-2015</t>
  </si>
  <si>
    <t>Kitamura, Naritoshi/0000-0002-2397-273X; Miyoshi, Yoshizumi/0000-0001-7998-1240; Horne, Richard B/0000-0002-0412-6407; Keika, Kunihiro/0000-0003-0265-4318; Shoji, Masafumi/0000-0001-6573-525X; Shinohara, Iku/0000-0003-2700-0353; Kasahara, Yoshiya/0000-0002-9304-8235</t>
  </si>
  <si>
    <t>Japan Society for the Promotion of Science (JSPS) [14J02108, 15H05815, 16H06286, 16J02163, 17K05668, 17K14400, 17K14402, 26800257]; Natural Environment Research Council (NERC) [NE/P01738X/1, NE/R016038/1]; JSPS Bilateral Open Partnership Joint Research Projects; MEYS [LTAUSA17070]; Czech Academy of Sciences [JSPS-17-14]; Czech Academy of Sciences through Praemium Academiae award; NERC [NE/P01738X/1, bas0100031, NE/R016038/1] Funding Source: UKRI; Grants-in-Aid for Scientific Research [14J02108, 17K14402, 17K05668, 16J02163] Funding Source: KAKEN</t>
  </si>
  <si>
    <t>Japan Society for the Promotion of Science (JSPS)(Ministry of Education, Culture, Sports, Science and Technology, Japan (MEXT)Japan Society for the Promotion of Science); Natural Environment Research Council (NERC)(UK Research &amp; Innovation (UKRI)Natural Environment Research Council (NERC)); JSPS Bilateral Open Partnership Joint Research Projects; MEYS; Czech Academy of Sciences(Czech Academy of Sciences); Czech Academy of Sciences through Praemium Academiae award; NERC(UK Research &amp; Innovation (UKRI)Natural Environment Research Council (NERC)); Grants-in-Aid for Scientific Research(Ministry of Education, Culture, Sports, Science and Technology, Japan (MEXT)Japan Society for the Promotion of ScienceGrants-in-Aid for Scientific Research (KAKENHI))</t>
  </si>
  <si>
    <t>The Van Allen Probes data used in this study have been opened to the public from the University of Minnesota (http://www.space.umn.edu/missions/rbspefw-home-university-of-minnesota/). We acknowledge useful discussions with C. Klezing, Y. Kato, and D.-H. Lee. Science data of the ERG (Arase) satellite were obtained from the ERG Science Center operated by ISAS/JAXA and ISEE/Nagoya University (https://ergsc.isee.nagoya-u.ac.jp/index.shtml.en). In the present data, we use level 1-prime WFC version 7 data and level-2 MGF 64 Hz v01.01. The Arase satellite data will be publicly available via ERG Science Center on a project-agreed schedule. This study is supported by Grants-in-Aid for Scientific Research (14J02108, 15H05815, 16H06286, 16J02163, 17K05668, 17K14400, 17K14402 and 26800257) of Japan Society for the Promotion of Science (JSPS). This research was supported by the Natural Environment Research Council (NERC) Highlight Topic grants NE/P01738X/1 (Rad-Sat) and NE/R016038/1. This study was supported by JSPS Bilateral Open Partnership Joint Research Projects. We also acknowledge support from the MEYS LTAUSA17070 project and from the Czech Academy of Sciences through the JSPS-17-14 project and through the Praemium Academiae award.</t>
  </si>
  <si>
    <t>JUN 16</t>
  </si>
  <si>
    <t>10.1029/2019GL083024</t>
  </si>
  <si>
    <t>IL9PI</t>
  </si>
  <si>
    <t>WOS:000477616200004</t>
  </si>
  <si>
    <t>Shackleton, S; Bereiter, B; Baggenstos, D; Bauska, TK; Brook, EJ; Marcott, SA; Severinghaus, JP</t>
  </si>
  <si>
    <t>Shackleton, S.; Bereiter, B.; Baggenstos, D.; Bauska, T. K.; Brook, E. J.; Marcott, S. A.; Severinghaus, J. P.</t>
  </si>
  <si>
    <t>Is the Noble Gas-Based Rate of Ocean Warming During the Younger Dryas Overestimated?</t>
  </si>
  <si>
    <t>ice cores; ocean heat uptake; Younger Dryas; bubble-to-clathrate transformation; paleoclimate</t>
  </si>
  <si>
    <t>CORE WD2014 CHRONOLOGY; ICE-CORE; ATMOSPHERIC CO2; CLIMATE; ISOTOPES; RECORDS; AIR; TRANSFORMATION; TEMPERATURE</t>
  </si>
  <si>
    <t>Noble gases in ice cores enable reconstructions of past mean ocean temperature. A recent result from the clathrate-containing WAIS Divide Ice Core showed tight covariation between ocean and Antarctic temperatures throughout the last deglaciation, except for the Younger Dryas interval. In the beginning of this interval, oceans warmed at 2.5 degrees C/kyr-three times greater than estimates of modern warming. If valid, this challenges our understanding of the mechanisms controlling ocean heat uptake. Here we reconstruct mean ocean temperature with clathrate-free ice samples from Taylor Glacier to test these findings. The two records agree in net temperature change over the Younger Dryas, but the Taylor Glacier record suggests sustained warming at the more modest rate of 1.1 +/- 0.2 degrees C/kyr. We explore mechanisms to explain differences between records and suggest that the noble gas content for the Younger Dryas interval of WAIS Divide may have been altered by a decimeter-scale fractionation during bubble-clathrate transformation. Plain Language Summary Oceans have taken up most of the additional heat trapped by greenhouse gases, mitigating the current rate of surface warming. In order to understand changes in ocean heat uptake over time, we use atmospheric noble gases measured in ice cores to estimate past ocean temperature change. This method works because the amount of noble gases dissolved in seawater changes with temperature. A recent ocean temperature reconstruction identified a 700-year interval during the transition from the last ice age to the current warm period when oceans warmed three times faster than they are currently warming. This result challenged our understanding of how oceans warm as an ice age ends. We tested this finding with a new ice core record and found that ocean warming during this interval occurred at a rate that is comparable to today, which is more consistent with our understanding of ocean heat uptake. We suggest that the noble gas record in the original ice core was altered by a process that affects how atmospheric gases are distributed in ice and is unrelated to ocean temperature change. From these findings we suggest caution in interpreting noble gas records in ice cores where this process may occur.</t>
  </si>
  <si>
    <t>[Shackleton, S.; Severinghaus, J. P.] Univ Calif San Diego, Scripps Inst Oceanog, San Diego, CA 92103 USA; [Bereiter, B.; Baggenstos, D.] Univ Bern, Climate &amp; Environm Phys, Inst Phys, Bern, Switzerland; [Bereiter, B.; Baggenstos, D.] Univ Bern, Oeschger Ctr Climate Res, Bern, Switzerland; [Bereiter, B.] Empa, Lab Air Pollut Environm Technol, Dubendorf, Switzerland; [Bauska, T. K.] Northumbria Univ, Dept Geog &amp; Environm Sci, Newcastle, England; [Brook, E. J.] Oregon State Univ, Coll Earth Ocean &amp; Atmospher Sci, Corvallis, OR 97331 USA; [Marcott, S. A.] Univ Wisconsin, Dept Geosci, Madison, WI USA</t>
  </si>
  <si>
    <t>University of California System; University of California San Diego; Scripps Institution of Oceanography; University of Bern; University of Bern; Swiss Federal Institutes of Technology Domain; Swiss Federal Laboratories for Materials Science &amp; Technology (EMPA); Northumbria University; Oregon State University; University of Wisconsin System; University of Wisconsin Madison</t>
  </si>
  <si>
    <t>Shackleton, S (corresponding author), Univ Calif San Diego, Scripps Inst Oceanog, San Diego, CA 92103 USA.</t>
  </si>
  <si>
    <t>sshackle@ucsd.edu</t>
  </si>
  <si>
    <t>Marcott, Shaun A/L-7098-2015; Baggenstos, Daniel/AAK-5751-2021; Brook, Edward/AAB-7807-2021</t>
  </si>
  <si>
    <t>Marcott, Shaun A/0000-0003-3264-0523; Baggenstos, Daniel/0000-0001-9756-6884; Shackleton, Sarah/0000-0001-5927-1954; Severinghaus, Jeffrey/0000-0001-8883-3119</t>
  </si>
  <si>
    <t>NSF [1246148, 1245821, 0739766]; Directorate For Geosciences; Office of Polar Programs (OPP) [0739766, 1245821] Funding Source: National Science Foundation; Office of Polar Programs (OPP); Directorate For Geosciences [1246148] Funding Source: National Science Foundation</t>
  </si>
  <si>
    <t>NSF(National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</si>
  <si>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This work was supported by NSF grants 1246148 (SIO), 1245821 (OSU), and 0739766 (OSU). Presented data are available online at http://www.usap-dc.org/view/dataset/601176. We thank Kathy Schroeder, Michael Dyonisius, and Vasilii Petrenko for making this fieldwork possible through exceptional organization and leadership and Mike Jayred, Andy Menking, and Peter Neff for their help with sampling and camaraderie in the field. Thanks especially to Heidi Roop for being an upbeat and hardworking field partner for this project. The US Antarctic Program and IDDO (Ice Drilling Design and Operations) provided logistical support for this project. Thanks to Ross Beaudette for labwork assistance, Christo Buizert for helpful discussions on gas smoothing, and Alan Seltzer for providing helpful feedback on figures and content.</t>
  </si>
  <si>
    <t>10.1029/2019GL082971</t>
  </si>
  <si>
    <t>WOS:000477616200033</t>
  </si>
  <si>
    <t>Vichi, M; Eayrs, C; Alberello, A; Bekker, A; Bennetts, L; Holland, D; de Jong, E; Joubert, W; MacHutchon, K; Messori, G; Mojica, JF; Onorato, M; Saunders, C; Skatulla, S; Toffoli, A</t>
  </si>
  <si>
    <t>Vichi, Marcello; Eayrs, Clare; Alberello, Alberto; Bekker, Anriette; Bennetts, Luke; Holland, David; de Jong, Ehlke; Joubert, Warren; MacHutchon, Keith; Messori, Gabriele; Mojica, Jhon F.; Onorato, Miguel; Saunders, Clinton; Skatulla, Sebastian; Toffoli, Alessandro</t>
  </si>
  <si>
    <t>Effects of an Explosive Polar Cyclone Crossing the Antarctic Marginal Ice Zone</t>
  </si>
  <si>
    <t>OCEAN-SEA-ICE; FLOE SIZE DISTRIBUTION; SOUTHERN-OCEAN; WEDDELL SEA; PANCAKE ICE; HEAT-FLUX; PACK ICE; VARIABILITY; WIND; CLIMATOLOGY</t>
  </si>
  <si>
    <t>Antarctic sea ice shows a large degree of regional variability, which is partly driven by severe weather events. Here we bring a new perspective on synoptic sea ice changes by presenting the first in situ observations of an explosive extratropical cyclone crossing the winter Antarctic marginal ice zone (MIZ) in the South Atlantic. This is complemented by the analysis of subsequent cyclones and highlights the rapid variations that ice-landing cyclones cause on sea ice: Midlatitude warm oceanic air is advected onto the ice, and storm waves generated close to the ice edge contribute to the maintenance of an unconsolidated surface through which waves propagate far into the ice. MIZ features may thus extend further poleward in the Southern Ocean than currently estimated. A concentration-based MIZ definition is inadequate, since it fails to describe a sea ice configuration which is deeply rearranged by synoptic weather. Plain Language Summary The extent of Antarctic sea ice is characterized by large regional variations that are in stark contrast with the alarming decreasing trends found in the Arctic. This is partly due to the presence of severe weather events, like extratropical cyclones travelling through the Southern Ocean and reaching the marginal ice zone (MIZ). The MIZ is a region where the ocean, atmosphere, and sea ice processes are closely interlinked. We provide direct evidence of how winter polar cyclones rearrange the MIZ and how their effects extend into the ice-covered region as far as the Antarctic continent. We present the first observations of large ice drift, ice concentration, and temperature changes as an explosively deepening cyclone crosses the MIZ. This case study is complemented by analysis of subsequent but more frequent storms that confirms how storminess in the Southern Ocean maintains a sea ice surface that is less compact, more mobile, and more extended than previously anticipated. Our results urge the scientific community to revise the current definition of the MIZ and improve its representation in models to better include the role of polar cyclones in detecting Antarctic sea ice trends.</t>
  </si>
  <si>
    <t>[Vichi, Marcello; de Jong, Ehlke] Univ Cape Town, Dept Oceanog, Cape Town, South Africa; [Vichi, Marcello] Univ Cape Town, Marine Res Inst, Cape Town, South Africa; [Eayrs, Clare; Holland, David; Mojica, Jhon F.] New York Univ Abu Dhabi, Ctr Global Sea Level Change, Abu Dhabi, U Arab Emirates; [Alberello, Alberto; Bennetts, Luke] Univ Adelaide, Sch Math Sci, Adelaide, SA, Australia; [Alberello, Alberto; Toffoli, Alessandro] Univ Melbourne, Dept Infrastruct Engn, Parkville, Vic, Australia; [Bekker, Anriette; Saunders, Clinton] Stellenbosch Univ, Sound &amp; Vibrat Res Grp, Dept Mech &amp; Mechatron Engn, Stellenbosch, South Africa; [Holland, David] NYU, Courant Inst Math Sci, Ctr Atmosphere Ocean Sci, New York, NY USA; [Joubert, Warren] South African Weather Serv, Pretoria, South Africa; [MacHutchon, Keith; Skatulla, Sebastian] Univ Cape Town, Dept Civil Engn, Cape Town, South Africa; [Messori, Gabriele] Uppsala Univ, Dept Earth Sci, Uppsala, Sweden; [Messori, Gabriele] Stockholm Univ, Dept Meteorol, Stockholm, Sweden; [Messori, Gabriele] Stockholm Univ, Bolin Ctr Climate Res, Stockholm, Sweden; [Onorato, Miguel] Univ Torino, Dipartimento Fis, Turin, Italy; [Onorato, Miguel] Ist Nazl Fis Nucl, Sez Torino, Turin, Italy</t>
  </si>
  <si>
    <t>University of Cape Town; University of Cape Town; New York University Abu Dhabi; University of Adelaide; University of Melbourne; Stellenbosch University; New York University; South African Weather Service (SAWS); University of Cape Town; Uppsala University; Stockholm University; University of Turin; Istituto Nazionale di Fisica Nucleare (INFN)</t>
  </si>
  <si>
    <t>Vichi, M (corresponding author), Univ Cape Town, Dept Oceanog, Cape Town, South Africa.;Vichi, M (corresponding author), Univ Cape Town, Marine Res Inst, Cape Town, South Africa.</t>
  </si>
  <si>
    <t>marcello.vichi@uct.ac.za</t>
  </si>
  <si>
    <t>Skatulla, Sebastian/AAU-9706-2020; Vichi, Marcello/GLR-9823-2022; Bennetts, Luke/N-1448-2019; Eayrs, Clare/T-7969-2019</t>
  </si>
  <si>
    <t>Vichi, Marcello/0000-0002-0686-9634; Bennetts, Luke/0000-0001-9386-7882; Eayrs, Clare/0000-0003-3129-7604; Skatulla, Sebastian/0000-0003-1061-3356; Toffoli, Alessandro/0000-0003-3112-6856; Mojica Moncada, Jhon Fredy/0000-0003-3317-0404; Joubert, Warren/0000-0002-4237-193X</t>
  </si>
  <si>
    <t>South African Department of Science and Technology; National Research Foundation through the South African National Antarctic Program [93089, 104839, 105858]; National Research Foundation through NRF-STINT bilateral programme [112632]; ACE Foundation; Ferring Pharmaceuticals; Australian Antarctic Science Program [4434]; Swedish Research Council [201603724]; Swedish Foundation for International Cooperation in Research and Higher Education grant [SA2017-7063]; NYUAD Center for global Sea Level Change project [G1204]</t>
  </si>
  <si>
    <t>South African Department of Science and Technology; National Research Foundation through the South African National Antarctic Program; National Research Foundation through NRF-STINT bilateral programme; ACE Foundation; Ferring Pharmaceuticals(Ferring Pharmaceuticals); Australian Antarctic Science Program; Swedish Research Council(Swedish Research Council); Swedish Foundation for International Cooperation in Research and Higher Education grant; NYUAD Center for global Sea Level Change project</t>
  </si>
  <si>
    <t>This work was possible thanks to funding from the South African Department of Science and Technology and the National Research Foundation through the South African National Antarctic Program (grants 93089, 104839, 105858) and the NRF-STINT bilateral programme (grant 112632). We are indebted to Captain Knowledge Bengu and the crew of the SA Agulhas II for their invaluable contribution to data collection. The contribution of the Department of Environmental Affairs (Oceans and Coasts) is also acknowledged. We would like to thank all the students onboard who contributed to the deployment of the instruments and for working nonstop under challenging conditions. M. V. wishes to thank Dorotea Iovino for the helpful discussions. A. A., L. B., and A. T. acknowledge support from the ACE Foundation and Ferring Pharmaceuticals and from the Australian Antarctic Science Program (project 4434). A. A. and A. T. also acknowledge the Air-sea ice Lab project. G. M. acknowledges the Swedish Research Council grant 201603724 and the Swedish Foundation for International Cooperation in Research and Higher Education grant SA2017-7063. C. E. was funded by NYUAD Center for global Sea Level Change project G1204. We would like to thank Philip Rodenbough and the Scientific Writing Program at New York University Abu Dhabi for feedback on the manuscript. The authors acknowledge the insightful comments of two anonymous reviewers who helped to improve the work. ERA5 and ERA-interim reanalyses were obtained from the Copernicus Climate Change Service Information and from the ECMWF website, respectively. The lowresolution sea ice drift product was downloaded from the EUMETSAT Ocean and Sea Ice Satellite Application Facility (OSI SAF, www.osi-saf.org).MODIS Terra and SUOMI NPP/VIIRS daily mosaic images have been obtained online (worldview. earthdata. nasa. gov). Sea ice buoy and observation data are publicly available and referenced in the main text.</t>
  </si>
  <si>
    <t>10.1029/2019GL082457</t>
  </si>
  <si>
    <t>WOS:000477616200035</t>
  </si>
  <si>
    <t>Garabato, ACN; Dotto, TS; Hooley, J; Bacon, S; Tsamados, M; Ridout, A; Frajka-Williams, EE; Herraiz-Borreguero, L; Holland, PR; Heorton, HDBS; Meredith, MP</t>
  </si>
  <si>
    <t>Garabato, A. C. Naveira; Dotto, T. S.; Hooley, J.; Bacon, S.; Tsamados, M.; Ridout, A.; Frajka-Williams, E. E.; Herraiz-Borreguero, L.; Holland, P. R.; Heorton, H. D. B. S.; Meredith, M. P.</t>
  </si>
  <si>
    <t>Phased Response of the Subpolar Southern Ocean to Changes in Circumpolar Winds</t>
  </si>
  <si>
    <t>ANTARCTIC SEA-ICE; SEASONAL VARIABILITY; AMUNDSEN SEA; CONTINENTAL-SHELF; SURFACE HEIGHT; DRAKE PASSAGE; DEEP-WATER; DRIVEN; TRANSPORT; FLUCTUATIONS</t>
  </si>
  <si>
    <t>The response of the subpolar Southern Ocean (sSO) to wind forcing is assessed using satellite radar altimetry. sSO sea level exhibits a phased, zonally coherent, bimodal adjustment to circumpolar wind changes, involving comparable seasonal and interannual variations. The adjustment is effected via a quasi-instantaneous exchange of mass between the Antarctic continental shelf and the sSO to the north, and a 2-month-delayed transfer of mass between the wider Southern Ocean and the subtropics. Both adjustment modes are consistent with an Ekman-mediated response to variations in surface stress. Only the fast mode projects significantly onto the surface geostrophic flow of the sSO; thus, the regional circulation varies in phase with the leading edge of sSO sea level variability. The surface forcing of changes in the sSO system is partly associated with variations of surface winds linked to the Southern Annular Mode and is modulated by sea ice cover near Antarctica.</t>
  </si>
  <si>
    <t>[Garabato, A. C. Naveira; Dotto, T. S.; Hooley, J.] Univ Southampton, Ocean &amp; Earth Sci, Southampton, Hants, England; [Bacon, S.; Frajka-Williams, E. E.] Natl Oceanog Ctr, Southampton, Hants, England; [Tsamados, M.; Ridout, A.; Heorton, H. D. B. S.] UCL, Ctr Polar Observat &amp; Modelling, London, England; [Herraiz-Borreguero, L.] CSIRO Oceans &amp; Atmosphere, Hobart, Tas, Australia; [Holland, P. R.; Meredith, M. P.] British Antarctic Survey, Cambridge, England</t>
  </si>
  <si>
    <t>University of Southampton; NERC National Oceanography Centre; University of London; University College London; Commonwealth Scientific &amp; Industrial Research Organisation (CSIRO); UK Research &amp; Innovation (UKRI); Natural Environment Research Council (NERC); NERC British Antarctic Survey</t>
  </si>
  <si>
    <t>Garabato, ACN (corresponding author), Univ Southampton, Ocean &amp; Earth Sci, Southampton, Hants, England.</t>
  </si>
  <si>
    <t>Garabato, Alberto Naveira/AAQ-1114-2020; Holland, Paul R/G-2796-2012; Frajka-Williams, Eleanor/H-2415-2011; Herraiz-Borreguero, Laura/D-5795-2015</t>
  </si>
  <si>
    <t>Garabato, Alberto Naveira/0000-0001-6071-605X; Frajka-Williams, Eleanor/0000-0001-8773-7838; Meredith, Michael/0000-0002-7342-7756; Heorton, Harold/0000-0003-0447-7028; Segabinazzi Dotto, Tiago/0000-0003-0565-6941; Tsamados, Michel/0000-0001-7034-5360; Ridout, Andrew/0000-0003-3669-1109; Herraiz-Borreguero, Laura/0000-0002-4455-801X</t>
  </si>
  <si>
    <t>U.K. Natural Environment Research Council (NERC) SPITFIRE Doctoral Training Partnership; CNPq/Brazil PhD scholarship [232792/2014-3]; Royal Society; Wolfson Foundation; NERC ORCHESTRA program [NE/N018095/1]; NERC [NE/N018095/1, NE/T009470/1, cpom30001, NE/M015238/1, bas0100033, NE/K013181/1] Funding Source: UKRI</t>
  </si>
  <si>
    <t>U.K. Natural Environment Research Council (NERC) SPITFIRE Doctoral Training Partnership(UK Research &amp; Innovation (UKRI)Natural Environment Research Council (NERC)); CNPq/Brazil PhD scholarship; Royal Society(Royal Society); Wolfson Foundation; NERC ORCHESTRA program(UK Research &amp; Innovation (UKRI)Natural Environment Research Council (NERC)); NERC(UK Research &amp; Innovation (UKRI)Natural Environment Research Council (NERC))</t>
  </si>
  <si>
    <t>The CryoSat-2 data were obtained from the European Space Agency (https://earth.esa.int/web/guest/data-access/) and processed at CPOM (UCL). The NASA Team ice concentration and sea ice drift data are available from the National Snow and Ice Data Center at https://nsidc.org/data/nsidc-0051/and https://nsidc.org/data/nsidc-0116/, respectively. ERA-Interim data are available from ECMWF (https://apps.ecmwf.int/datasets/data/interim-full-daily/levtype= sfc/). The SAM index is available from NOAA/CPC (https://www.cpc.ncep.noaa.gov/products/precip/CWlink/daily_ao_index/aao/aao_index.html).GRACE data are available from CSR (http://www2.csr.utexas.edu/grace/RL05_mascons.html).J.Hooley acknowledges support by the U.K. Natural Environment Research Council (NERC) SPITFIRE Doctoral Training Partnership and T.S. Dotto by a CNPq/Brazil PhD scholarship (grant 232792/2014-3). The participation of A. C. Naveira Garabato was supported by the Royal Society and the Wolfson Foundation. This work was supported by the NERC ORCHESTRA program (grant NE/N018095/1). Geostrophic flow data presented in this manuscript can be accessed via http://www.cpom.ucl.ac.uk/dynamic_topography.</t>
  </si>
  <si>
    <t>10.1029/2019GL082850</t>
  </si>
  <si>
    <t>WOS:000477616200043</t>
  </si>
  <si>
    <t>Del Castillo, CE; Signorini, SR; Karaköylü, EM; Rivero-Calle, S</t>
  </si>
  <si>
    <t>Del Castillo, Carlos E.; Signorini, Sergio R.; Karakoylu, Erdem M.; Rivero-Calle, Sara</t>
  </si>
  <si>
    <t>Is the Southern Ocean Getting Greener?</t>
  </si>
  <si>
    <t>Souther Ocean; Remote Sensing; Chlorophyll; Global Warming</t>
  </si>
  <si>
    <t>CHLOROPHYLL; CARBON</t>
  </si>
  <si>
    <t>The Southern Ocean is a key player in regulating the planet's biogeochemistry, productivity, and climate. Ocean color data from two National Aeronautics and Space Administration satellites show statistically significant increases in the concentration of chlorophyll in all sectors of the Southern Ocean, particularly in the Sub-Antarctic Zone and Permanently Open Ocean Zone. The smallest changes were observed in the Atlantic and Pacific sectors of the Sub-Tropical Zone. These trends seem accentuated by higher chlorophyll concentrations during the austral winter. Increases in the annual and wintertime chlorophyll concentrations can have implications for the Southern Ocean biological pump and ocean productivity and higher trophic levels.</t>
  </si>
  <si>
    <t>[Del Castillo, Carlos E.; Signorini, Sergio R.; Karakoylu, Erdem M.] NASA, Ocean Ecol Lab, Goddard Space Flight, Greenbelt, MD 20771 USA; [Rivero-Calle, Sara] Univ N Carolina, Ctr Marine Sci, Wilmington, NC USA</t>
  </si>
  <si>
    <t>National Aeronautics &amp; Space Administration (NASA); University of North Carolina; University of North Carolina Wilmington</t>
  </si>
  <si>
    <t>Del Castillo, CE (corresponding author), NASA, Ocean Ecol Lab, Goddard Space Flight, Greenbelt, MD 20771 USA.</t>
  </si>
  <si>
    <t>carlos.e.delcastillo@nasa.gov</t>
  </si>
  <si>
    <t>Rivero-Calle, Sara/M-2197-2019</t>
  </si>
  <si>
    <t>Rivero-Calle, Sara/0000-0002-7538-0429; Signorini, Sergio/0000-0002-8094-7514</t>
  </si>
  <si>
    <t>NASA Goddard Space Flight Center Research and Development Multiple Support funds; Gordon and Betty Moore Foundation [GBMF4526.01]; NASA [17-TASNPP17-0065]</t>
  </si>
  <si>
    <t>NASA Goddard Space Flight Center Research and Development Multiple Support funds; Gordon and Betty Moore Foundation(Gordon and Betty Moore Foundation); NASA(National Aeronautics &amp; Space Administration (NASA))</t>
  </si>
  <si>
    <t>C. E. D. was funded by NASA Goddard Space Flight Center Research and Development Multiple Support funds. S. S. and E. M. K. where funded by NASA grant 17-TASNPP17-0065. S. R-C is funded in part by the Gordon and Betty Moore Foundation through grant GBMF4526.01 to University of North Carolina Wilmington.</t>
  </si>
  <si>
    <t>10.1029/2019GL083163</t>
  </si>
  <si>
    <t>WOS:000477616200044</t>
  </si>
  <si>
    <t>Li, GS; Li, X; Yao, TD; Che, T; Yang, H; Ma, MG; Zhao, HP; Pan, XD</t>
  </si>
  <si>
    <t>Li, Guoshuai; Li, Xin; Yao, Tandong; Che, Tao; Yang, Hong; Ma, Mingguo; Zhao, Haipeng; Pan, Xiaoduo</t>
  </si>
  <si>
    <t>Heterogeneous sea-level rises along coastal zones and small islands</t>
  </si>
  <si>
    <t>SCIENCE BULLETIN</t>
  </si>
  <si>
    <t>Sea-level rise; Coastal zones; Small islands; Heterogeneity</t>
  </si>
  <si>
    <t>Coastal zones and many small islands are highly susceptible to sea-level rise (SLR). Coastal zones have a large exposed population and integrated high-value assets, and islands provide diverse ecosystem services to millions of people worldwide. The coastal zones and small islands affected by SLR are likely to suffer from submergence, flooding and erosion in the future. However, very few studies have addressed the heterogeneity in SLR changes and the potential risk to coastal zones and small islands. Here we used the mean sea level (MSL) derived from satellite altimetry data to analyse the trends and accelerations of SLRs along global coastal zones and small islands. We found that except for the Antarctic coastal zone, the annual MSL within 50 km of the coasts presented an increasing trend of 3.09 +/- 0.13 mm a(-1) but a decreasing acceleration of -0.02 +/- 0.02 mm a(-2) from 1993 to 2017. The highest coastal MSL trend of 3.85 +/- 0.60 mm a(-1) appeared in Oceania, and the lowest trend of 2.32 +/- 0.37 mm a(-1) occured in North America. Africa, North America and South America showed acceleration trends, and Eurasia, Australia and Oceania had deceleration trends. Further, MSLs around global small islands reflected an increasing trend with a rate of 3.01 +/- 0.16 mm a(-1) but a negative acceleration of -0.02 +/- 0.02 mm a(-2). Regional heterogeneity in the trends and accelerations of MSLs along the coasts and small islands suggests that stakeholders should take discriminating precautions to cope with future disadvantageous impacts of the SLR. (C) 2019 Science China Press. Published by Elsevier B.V. and Science China Press. All rights reserved.</t>
  </si>
  <si>
    <t>[Li, Guoshuai; Li, Xin; Yao, Tandong; Pan, Xiaoduo] Chinese Acad Sci, Inst Tibetan Plateau Res, Beijing 100101, Peoples R China; [Li, Guoshuai; Li, Xin; Yao, Tandong; Che, Tao] Chinese Acad Sci, Ctr Excellence Tibetan Plateau Earth Sci, Beijing 100101, Peoples R China; [Li, Guoshuai; Che, Tao] Chinese Acad Sci, Northwest Inst Ecoenvironm &amp; Resources, Lanzhou 730000, Gansu, Peoples R China; [Yang, Hong] Univ Reading, Dapartment Geog &amp; Environm Sci, Reading RG6 6AB, Berks, England; [Ma, Mingguo] Southwest Univ, Sch Geog Sci, Minist Nat Resources, Res Base Karst Ecoenvironm Nanchuan Chongqing, Chongqing 400715, Peoples R China; [Zhao, Haipeng] Indiana State Univ, Dept Earth &amp; Environm Syst, Terre Haute, IN 47809 USA</t>
  </si>
  <si>
    <t>Chinese Academy of Sciences; Institute of Tibetan Plateau Research, CAS; Chinese Academy of Sciences; Chinese Academy of Sciences; University of Reading; Southwest University - China; Ministry of Natural Resources of the People's Republic of China; Indiana State University</t>
  </si>
  <si>
    <t>Li, X (corresponding author), Chinese Acad Sci, Inst Tibetan Plateau Res, Beijing 100101, Peoples R China.;Li, X (corresponding author), Chinese Acad Sci, Ctr Excellence Tibetan Plateau Earth Sci, Beijing 100101, Peoples R China.</t>
  </si>
  <si>
    <t>xinli@itpcas.ac.cn</t>
  </si>
  <si>
    <t>Li, Xin/F-7473-2011; Mingguo, Ma/A-8087-2013; Yang, Hong/C-1739-2008; Pan, Xiaoduo/AAA-6234-2022; li, xin/HHS-9461-2022; Li, Guoshuai/Q-8658-2016; Pan, Xiaoduo/R-2132-2016; Che, Tao/K-7136-2013</t>
  </si>
  <si>
    <t>Li, Xin/0000-0003-2999-9818; Pan, Xiaoduo/0000-0002-0573-1625; Che, Tao/0000-0001-6848-7271</t>
  </si>
  <si>
    <t>Strategic Priority Research Program of Chinese Academy of Sciences [XDA20100104, XDA20100300]; 13th Five-year Informatization Plan of Chinese Academy of Sciences [XXH13505-06]</t>
  </si>
  <si>
    <t>Strategic Priority Research Program of Chinese Academy of Sciences(Chinese Academy of Sciences); 13th Five-year Informatization Plan of Chinese Academy of Sciences</t>
  </si>
  <si>
    <t>This work was supported jointly by the Strategic Priority Research Program of Chinese Academy of Sciences (XDA20100104 and XDA20100300), and the 13th Five-year Informatization Plan of Chinese Academy of Sciences (XXH13505-06). We thank Ying Zhang, Yanzhao Zhou and Hanqing Ma for helping with data processing.</t>
  </si>
  <si>
    <t>2095-9273</t>
  </si>
  <si>
    <t>2095-9281</t>
  </si>
  <si>
    <t>SCI BULL</t>
  </si>
  <si>
    <t>Sci. Bull.</t>
  </si>
  <si>
    <t>JUN 15</t>
  </si>
  <si>
    <t>10.1016/j.scib.2019.04.023</t>
  </si>
  <si>
    <t>IF2YX</t>
  </si>
  <si>
    <t>WOS:000472947800005</t>
  </si>
  <si>
    <t>Yang, LJ; Gao, YS; Sun, LG; Xie, ZQ; Yang, WQ; Chu, ZD; Wang, YH; Xu, QB</t>
  </si>
  <si>
    <t>Yang, Lianjiao; Gao, Yuesong; Sun, Liguang; Xie, Zhouqing; Yang, Wenqing; Chu, Zhuding; Wang, Yuhong; Xu, Qibin</t>
  </si>
  <si>
    <t>Enhanced westerlies drove penguin movement at 1000 yr BP on Ardley Island, west Antarctic Peninsula</t>
  </si>
  <si>
    <t>Penguin; Westerly winds; SAM; Topography; Snow accumulation; Ardley island</t>
  </si>
  <si>
    <t>DICHLORO-DIPHENYL-TRICHLOROETHANES; SOUTHERN ANNULAR MODE; LARGE-SCALE CLIMATE; HOLOCENE CLIMATE; LAKE-SEDIMENTS; ROSS SEA; MARINE; RECORD; ICE; VARIABILITY</t>
  </si>
  <si>
    <t>Understanding responses by penguins to climate change in Antarctica is often complicated by other factors including microclimate and landscape effects. Here, we analyze an ornithogenic sediment profile to reconstruct penguin occupation history on the eastern side of Ardley Island, west Antarctic Peninsula, and synthesize the results from various studies on Ardley Island in the past 20 years. Penguins have inhabited the eastern side of this island since about 900 yr BP, with populations significantly increasing from similar to 500 yr BR On the western side, delineated by the Ardley Ridge Line, penguins began to abandon nest or molt sites at similar to 1000 yr BP. By the time of 500 yr BP, the abandonment and population decline became a common tendency on the west side. This shift in occupation areas was likely driven by local microclimate and a change in wind patterns causing more snow to accumulate on the west side of the island. We found a linkage between this penguin movement and the Southern Westerly Winds, which became stronger at similar to 1000 yr BP and impacted local conditions at Ardley Island, likely induced by more positive Southern Annular Mode (SAM). These results indicate that island topography, wind and snow patterns, combined with large-scale climate forcing can be just as important in determining penguin distribution as temperature and other environmental factors. This study provides a new perspective for investigating the possible impact of microclimate and site topography on penguin behavior. (C) 2019 Elsevier Ltd. All rights reserved.</t>
  </si>
  <si>
    <t>[Yang, Lianjiao; Gao, Yuesong; Sun, Liguang; Xie, Zhouqing; Yang, Wenqing; Chu, Zhuding; Wang, Yuhong; Xu, Qibin] Univ Sci &amp; Technol China, Sch Earth &amp; Space Sci, Inst Polar Environm, Hefei 230026, Anhui, Peoples R China; [Yang, Lianjiao; Gao, Yuesong; Sun, Liguang; Xie, Zhouqing; Yang, Wenqing; Chu, Zhuding; Wang, Yuhong; Xu, Qibin] Univ Sci &amp; Technol China, Sch Earth &amp; Space Sci, Anhui Key Lab Polar Environm &amp; Global Change, Hefei 230026, Anhui, Peoples R China</t>
  </si>
  <si>
    <t>Chinese Academy of Sciences; University of Science &amp; Technology of China, CAS; Chinese Academy of Sciences; University of Science &amp; Technology of China, CAS</t>
  </si>
  <si>
    <t>Sun, LG; Xie, ZQ (corresponding author), Univ Sci &amp; Technol China, Sch Earth &amp; Space Sci, Inst Polar Environm, Hefei 230026, Anhui, Peoples R China.</t>
  </si>
  <si>
    <t>slg@ustc.edu.cn; zqxie@ustc.edu.cn</t>
  </si>
  <si>
    <t>Gao, Yuesong/GRE-7726-2022; Wang, Yu/GZL-9655-2022; Yang, Wenqing/F-7026-2011</t>
  </si>
  <si>
    <t>National Key RAMP;D Program of the MOST of China [2018YFC1406905]; Chinese Polar Environment Comprehensive Investigation AMP; Assessment Programs [CHI-NARE2011-2018]; International Cooperation in Polar Research [IC201604]; External Cooperation Program of BIC, CAS [211134KYSB20130012]; NSFC [41806224]; Polar Geospatial Center under NSF-OPP [1543501, 1810976, 1542736, 1559691, 1043681, 1541332, 0753663, 1548562, 1238993]; NASA [NNX10AN61G]</t>
  </si>
  <si>
    <t>National Key RAMP;D Program of the MOST of China; Chinese Polar Environment Comprehensive Investigation AMP; Assessment Programs; International Cooperation in Polar Research; External Cooperation Program of BIC, CAS; NSFC(National Natural Science Foundation of China (NSFC)); Polar Geospatial Center under NSF-OPP; NASA(National Aeronautics &amp; Space Administration (NASA))</t>
  </si>
  <si>
    <t>This study was funded by the National Key R&amp;D Program of the MOST of China (2018YFC1406905), Chinese Polar Environment Comprehensive Investigation &amp; Assessment Programs (CHI-NARE2011-2018), the International Cooperation in Polar Research (IC201604), the External Cooperation Program of BIC, CAS (No. 211134KYSB20130012) and NSFC (No. 41806224). We also thank S. D. Emslie for his valuable assistance in the field and constructive comments on the discussions. Samples were provided by the Polar Sediment Repository of Polar Research Institute of China. DEMs used in this study were provided by the Byrd Polar and Climate Research Center and the Polar Geospatial Center under NSF-OPP awards 1543501, 1810976, 1542736, 1559691, 1043681, 1541332, 0753663, 1548562, 1238993 and NASA award NNX10AN61G. Computer time provided through a Blue Waters Innovation Initiative. DEMs produced using data from Digital Globe, Inc.</t>
  </si>
  <si>
    <t>10.1016/j.quascirev.2019.04.026</t>
  </si>
  <si>
    <t>ID5TL</t>
  </si>
  <si>
    <t>WOS:000471738800003</t>
  </si>
  <si>
    <t>Witkowski, SJ; Carter, CG; Grünenwald, M; Hadley, S; MacLeod, CKA; Townsend, AT; Adams, LR</t>
  </si>
  <si>
    <t>Witkowski, Stephen J.; Carter, Chris G.; Grunenwald, Martin; Hadley, Scott; MacLeod, Catriona K. A.; Townsend, Ashley T.; Adams, Louise R.</t>
  </si>
  <si>
    <t>Development and assessment of novel endogenous markers in commercial aquafeeds to measure apparent digestibility in large Atlantic salmon (Salmo salar) on salmon farms</t>
  </si>
  <si>
    <t>Apparent digestibility; Digestibility marker; Lutetium; Nitrogen; Protein</t>
  </si>
  <si>
    <t>ACID-INSOLUBLE ASH; MEAL BASED DIET; YTTRIUM-OXIDE; FISH-MEAL; NUTRIENT DIGESTIBILITY; TRANSITION-METALS; CHROMIC OXIDE; INERT MARKERS; AMINO-ACIDS; FEED-INTAKE</t>
  </si>
  <si>
    <t>As salmon aquaculture continues to grow, understanding aquafeed conversion is imperative for making informed strategic growth planning and management decisions. Accurately measuring the apparent digestibility (AD) of commercial aquafeeds on farms requires greater understanding and method development, including the validation of one or more inert endogenous AD markers. Laboratory and commercial experiments assessed the potential of elements that naturally occur in aquafeeds as potential endogenous AD markers. Two commonly used and validated AD markers, acid insoluble ash (an endogenous marker) and ytterbium oxide (an exogenous marker) were compared using protein AD calculated from a range of endogenous elements. Using a Percentage Similarity Analysis, comparison of protein digestibility calculated with recognised AD markers demonstrated lutetium (Lu) was the most accurate endogenous AD marker. Identification of Lu as an effective endogenous AD marker in commercial salmon aquafeeds will facilitate the straightforward measurement of AD under commercial conditions. This work has important applications in salmon aquaculture where protein AD is fundamental to growth efficiency.</t>
  </si>
  <si>
    <t>[Witkowski, Stephen J.; Carter, Chris G.; Grunenwald, Martin; Hadley, Scott; MacLeod, Catriona K. A.; Adams, Louise R.] Univ Tasmania, Inst Marine &amp; Antarctic Studies, Private Bag 49, Hobart, Tas 7001, Australia; [Townsend, Ashley T.] Univ Tasmania, Cent Sci Lab, Bag 74, Hobart, Tas 7001, Australia</t>
  </si>
  <si>
    <t>Adams, LR (corresponding author), Univ Tasmania, Inst Marine &amp; Antarctic Studies, Private Bag 49, Hobart, Tas 7001, Australia.</t>
  </si>
  <si>
    <t>Louise.Adams@utas.edu.au</t>
  </si>
  <si>
    <t>Adams, Louise/AAH-4511-2020; Carter, Chris Guy/A-3438-2008; Townsend, Ashley/J-7445-2014; Macleod, Catriona/J-7176-2014</t>
  </si>
  <si>
    <t>Adams, Louise/0000-0001-5535-5253; Carter, Chris Guy/0000-0001-5210-1282; Townsend, Ashley/0000-0002-2972-2678; Macleod, Catriona/0000-0002-0539-6361</t>
  </si>
  <si>
    <t>IMAS; Sustainable Marine Research Collaboration Agreement</t>
  </si>
  <si>
    <t>The authors gratefully acknowledge the assistance of the following: Polly Hilder and her staff at the Experimental Aquaculture Facility (EAF) IMAS Taroona, University of Tasmania for day to day maintenance of salmon; Zack Wingfield and Christopher Gatward at Tassal for on-farm sampling; Nicole Ruff and Skretting Australia for organising access to various samples; Huon Aquaculture for fish used in Experiment 1; Trevor Lewis, School for Chemistry, Sharee McCammon and Thomas Rodemann at the Central Science Laboratory, University of Tasmania for expert chemical analysis and interpretation. This work was supported by IMAS and by the Sustainable Marine Research Collaboration Agreement. The authors wish to acknowledge the insightful and constructive contributions from two anonymous reviewers.</t>
  </si>
  <si>
    <t>10.1016/j.aquaculture.2019.05.005</t>
  </si>
  <si>
    <t>IB0BM</t>
  </si>
  <si>
    <t>WOS:000469922700023</t>
  </si>
  <si>
    <t>Tong, LX; Liu, Z; Li, ZX; Liu, XH; Zhou, X</t>
  </si>
  <si>
    <t>Tong, Laixi; Liu, Zhao; Li, Zheng-Xiang; Liu, Xiaohan; Zhou, Xin</t>
  </si>
  <si>
    <t>Poly-phase metamorphism of garnet-bearing mafic granulite from the Larsemann Hills, East Antarctica: P-T path, U-Pb ages and tectonic implications</t>
  </si>
  <si>
    <t>Garnet-bearing mafic granulite; Poly-phase metamorphism; P-T path; Zircon U-Pb ages; Larsemann Hills; East Antarctica</t>
  </si>
  <si>
    <t>PRINCE-CHARLES MOUNTAINS; PRYDZ-BAY; FACIES METAMORPHISM; BRATTSTRAND BLUFFS; RAUER GROUP; CONSTRAINTS; EVOLUTION; TEMPERATURE; AREA; GEOCHEMISTRY</t>
  </si>
  <si>
    <t>A rare garnet-bearing mafic granulite boulder has recently been identified from the Larsemann Hills, East Antarctica, with the development of two-stage decompression textures. Detailed petrographic study and P-T estimates suggest three distinct metamorphic stages: (1) peak ultrahigh-temperature (UHT) stage (M1) represented by coarse-grained garnet-orthopyroxene-bearing porphyroblastic assemblage, with P-T conditions of similar to 9.3 kbar and 900-950 degrees C; (2) post-peak decompression stage I (M2) represented by relatively coarse-grained orthopyroxene-plagioclase-ilmenite-bearing corona assemblage, with P-T conditions of 7.2-7.6 kbar and 810-830 degrees C; and (3) post-peak decompression stage II (M3) represented by fine-grained orthopyroxene-plagioclase-ilmenite-bearing symplectite assemblage on garnets and along garnet cracks, with P-T conditions of 6.2-6.9 kbar and 730-770 degrees C. Combined with P-T pseudosection calculation in the NCKFMASHTO system, these P-T data define a clockwise P-T path with post-peak two-stage decompression accompanied by important cooling. LA-ICP-MS zircon U-Pb age dating results show two weighted mean ages of 927 +/- 13 Ma and 547 +/- 30 Ma, suggesting that M1 UHT stage occurred in the early Neoproterozoic Rayner orogeny (990-900 Ma), whereas M2-M3 stages occurred during the early Palaeozoic Pan-African tectonic event (550-500 Ma). The peak P-T conditions, post-peak two-stage decompression P-T path and age data resemble those of the early Neoproterozoic garnet-bearing mafic granulite on Sostrene Island. It is inferred that the mafic granulite boulder may have been derived from the bedrock under inland ice sheet of the Larsemann Hills. Thus, the early Neoproterozoic metamorphism (M1) may reflect crustal thickening followed by post-orogenic extension likely associated with the assembly of Rodinia continent, while the overprinting of early Palaeozoic metamorphism (M2-M3) may reflect an extensive intra-continental reworking.</t>
  </si>
  <si>
    <t>[Tong, Laixi] Northwest Univ, Dept Geol, State Key Lab Continental Dynam, Xian 710069, Shaanxi, Peoples R China; [Tong, Laixi; Liu, Zhao; Zhou, Xin] Chinese Acad Sci, Guangzhou Inst Geochem, State Key Lab Isotope Geochem, Guangzhou 510640, Guangdong, Peoples R China; [Liu, Zhao; Zhou, Xin] Univ Chinese Acad Sci, Beijing 10049, Peoples R China; [Li, Zheng-Xiang] Curtin Univ, Earth Dynam Res Grp, ARC Ctr Excellence Core Crust Fluid Syst CCFS, Perth, WA 6845, Australia; [Li, Zheng-Xiang] Curtin Univ, Dept Appl Geol, Inst Geosci Res TIGeR, Perth, WA 6845, Australia; [Liu, Xiaohan] Chinese Acad Sci, Inst Tibetan Plateau, Beijing 100085, Peoples R China</t>
  </si>
  <si>
    <t>Northwest University Xi'an; Chinese Academy of Sciences; Guangzhou Institute of Geochemistry, CAS; Chinese Academy of Sciences; University of Chinese Academy of Sciences, CAS; University of Western Australia; Curtin University; Curtin University; Chinese Academy of Sciences; Institute of Tibetan Plateau Research, CAS</t>
  </si>
  <si>
    <t>Tong, LX (corresponding author), Northwest Univ, Dept Geol, State Key Lab Continental Dynam, Xian 710069, Shaanxi, Peoples R China.</t>
  </si>
  <si>
    <t>tonglx@nwu.edu.cn</t>
  </si>
  <si>
    <t>Li, Zheng-Xiang/B-8827-2008</t>
  </si>
  <si>
    <t>Li, Zheng-Xiang/0000-0003-4350-5976</t>
  </si>
  <si>
    <t>NSF projects of China [41372070, 41530209]; Sino-Australia Antarctic cooperation project from the Polar Office of the State Oceanic Bureau of China [201603]; Chinese Polar Environment Comprehensive investigation and Assessment Programme [CHINARE2016-02-05]</t>
  </si>
  <si>
    <t>NSF projects of China; Sino-Australia Antarctic cooperation project from the Polar Office of the State Oceanic Bureau of China; Chinese Polar Environment Comprehensive investigation and Assessment Programme</t>
  </si>
  <si>
    <t>This paper is prepared in the honour of the 70th birthday of Acad./Prof M.G. Zhai and his contributions to the Precambrian research of China. We thank the leaders and members of the 27th Chinese National Antarctic Research Expedition (CHINARE) for the logistic support during the 2010-2011 Antarctic fieldwork. This research has been financially supported by the NSF projects of China (41372070, 41530209), a Sino-Australia Antarctic cooperation project (No. 201603) from the Polar Office of the State Oceanic Bureau of China and the Chinese Polar Environment Comprehensive investigation and Assessment Programme (CHINARE2016-02-05). The electron microprobe analysis for mineral composition was finished with help of Ms. Linli Chen at the State Key Laboratory of Isotope Geochemistry, Guangzhou Institute of Geochemistry. Zircon U-Pb age analyses were completed with help of Dr. Chanchan Zhang. We very much appreciate the issue editor Prof. Chunjing Wei and two anonymous reviewers for their helpful and constructive comments on the manuscript of this paper. This is contribution No. IS-2435 from GIG-CAS.</t>
  </si>
  <si>
    <t>10.1016/j.precamres.2017.12.045</t>
  </si>
  <si>
    <t>HZ9DZ</t>
  </si>
  <si>
    <t>WOS:000469157300022</t>
  </si>
  <si>
    <t>Hwang, H; Hur, SD; Lee, J; Han, Y; Hong, S; Motoyama, H</t>
  </si>
  <si>
    <t>Hwang, Heejin; Hur, Soon Do; Lee, Jeonghoon; Han, Yeongcheol; Hong, Sungmin; Motoyama, Hideaki</t>
  </si>
  <si>
    <t>Plutonium fallout reconstructed from an Antarctic Plateau snowpack using inductively coupled plasma sector field mass spectrometry</t>
  </si>
  <si>
    <t>Antarctic snow; Dome Fuji; Atmospheric nuclear test; Radionuclide; Ice core</t>
  </si>
  <si>
    <t>DOME FUJI; ISOTOPES; U-236; ACCUMULATION; DEPOSITION; POLLUTION; RECORDS</t>
  </si>
  <si>
    <t>Anthropogenic plutonium (Pu) in the environment is a result of atmospheric nuclear testing during the second half of the 20th century. In this work, we analyzed a 4-meter deep Antarctic Plateau snowpack characterized by a low snow accumulation rate and negligible snow impurities. These sample conditions enabled us to measure the snowpack Pu fallout by applying inductively coupled plasma sector field mass spectrometry to a few mL of snow melt without purification or preconcentration. Pu concentrations in the reconstructed Pu fallout record for the period after 1956 CE increased and decreased in agreement with past atmospheric nuclear testing. Two peaks and two dips associable with historical events were observed, and the highest peak in 1964(+/- 1) CE approximately coincided with the maximum concentration of non-sea-salt sulfate caused by the Mt. Agung eruption in 1963 CE. Enhanced Pu fallout in the 1970s was attributed the geographical proximity of the Southern Hemispheric nuclear test sites. Our results suggest that by improving the instrumental sensitivity and precision, the potential of the Antarctic ice sheet as an archive of Pu fallout can be further explored and utilized for understanding atmospheric dispersion and for dating ice cores. (C) 2019 Elsevier B.V. All rights reserved.</t>
  </si>
  <si>
    <t>[Hwang, Heejin; Hur, Soon Do; Han, Yeongcheol] Korea Polar Res Inst, Incheon 21990, South Korea; [Lee, Jeonghoon] Ewha Womans Univ, Dept Sci Educ, Seoul 03760, South Korea; [Hong, Sungmin] Inha Univ, Dept Ocean Sci, Incheon 22212, South Korea; [Motoyama, Hideaki] Natl Inst Polar Res, Tokyo 1908518, Japan; [Motoyama, Hideaki] SOKENDAI Grad Univ Adv Studies, Tokyo 1908518, Japan</t>
  </si>
  <si>
    <t>Korea Polar Research Institute (KOPRI); Ewha Womans University; Inha University; Research Organization of Information &amp; Systems (ROIS); National Institute of Polar Research (NIPR) - Japan; Graduate University for Advanced Studies - Japan</t>
  </si>
  <si>
    <t>Han, Y (corresponding author), Korea Polar Res Inst, Incheon 21990, South Korea.</t>
  </si>
  <si>
    <t>yhan@kopri.re.kr</t>
  </si>
  <si>
    <t>Lee, Jeonghoon/E-8116-2010</t>
  </si>
  <si>
    <t>Korea Polar Research Institute (KOPRI) [PE18040]</t>
  </si>
  <si>
    <t>We thank all the field personnel for sampling during the 48th and 49th Japanese Antarctic Research Expedition. This research was supported by a research grant (PE18040) fromthe Korea Polar Research Institute (KOPRI). The authors are grateful to the editor and reviewers for the valuable comments.</t>
  </si>
  <si>
    <t>10.1016/j.scitotenv.2019.03.105</t>
  </si>
  <si>
    <t>HS2AM</t>
  </si>
  <si>
    <t>WOS:000463663500048</t>
  </si>
  <si>
    <t>Batten, SD; Abu-Alhaija, R; Chiba, S; Edwards, M; Grahams, G; Jyothibabu, R; Kitchener, JA; Koubbis, P; McQuatters-Gollop, A; Muxagata, E; Ostle, C; Richardson, AJ; Robinson, KV; Takahashi, KT; Verheye, HM; Wilson, W</t>
  </si>
  <si>
    <t>Batten, Sonia D.; Abu-Alhaija, Rana; Chiba, Sanae; Edwards, Martin; Grahams, George; Jyothibabu, R.; Kitchener, John A.; Koubbis, Philippe; McQuatters-Gollop, Abigail; Muxagata, Erik; Ostle, Clare; Richardson, Anthony J.; Robinson, Karen, V; Takahashi, Kunio T.; Verheye, Hans M.; Wilson, Willie</t>
  </si>
  <si>
    <t>A Global Plankton Diversity Monitoring Program</t>
  </si>
  <si>
    <t>Continuous Plankton Recorder; zooplankton; phytoplankton; global monitoring; biodiversity; ocean observing; essential ocean variables</t>
  </si>
  <si>
    <t>PHYTOPLANKTON BIOMASS; RECORDER SURVEY; NORTH-ATLANTIC; DATA SET; ZOOPLANKTON; COASTAL; BIODIVERSITY; ECOSYSTEMS; CONTRIBUTE; PATTERNS</t>
  </si>
  <si>
    <t>Plankton are the base of marine food webs, essential to sustaining fisheries and other marine life. Continuous Plankton Recorders (CPRs) have sampled plankton for decades in both hemispheres and several regional seas. CPR research has been integral to advancing understanding of plankton dynamics and informing policy and management decisions. We describe how the CPR can contribute to global plankton diversity monitoring, being cost-effective over large scales and providing taxonomically resolved data. At OceanObs09 an integrated network of regional CPR surveys was envisaged and in 2011 the existing surveys formed the Global Alliance of CPR Surveys (GACS). GAGS first focused on strengthening the dataset by identifying and documenting CPR best practices, delivering training workshops, and developing an integrated database. This resulted in the initiation of new surveys and manuals that enable regional surveys to be standardized and integrated. GACS is not yet global, but it could be expanded into the remaining oceans; tropical and Arctic regions are a priority for survey expansion. The capacity building groundwork is done, but funding is required to implement the GACS vision of a global plankton sampling program that supports decision-making for the scientific and policy communities. A key step is an analysis to optimize the global sampling design. Further developments include expanding the CPR for multidisciplinary measurements via additional sensors, thus maximizing the ship-of-opportunity platform. For example, defining pelagic ecoregions based on plankton and ancillary data could support high seas Marine Protected Area design. Fulfillment of Aichi Target 15, the United Nation's Sustainable Development Goals, and delivering the Essential Ocean Variables and Essential Biodiversity Variables that the Global Ocean Observing System and Group on Earth Observation's Biodiversity Observation Network have, respectively, defined requires the taxonomic resolution, spatial scale and time-series data that the CPR approach provides. Synergies with global networks exploiting satellite data and other plankton sensors could be explored, realizing the Survey's capacity to validate earth observation data and to ground-truth emerging plankton observing platforms. This is required for a fully integrated ocean observing system that can understand global ocean dynamics to inform sustainable marine decision-making.</t>
  </si>
  <si>
    <t>[Batten, Sonia D.] Marine Biol Assoc UK, CPR Survey, Nanaimo, BC, Canada; [Abu-Alhaija, Rana] Cyprus Inst, Nicosia, Cyprus; [Chiba, Sanae] Japan Agcy Marine Earth Sci &amp; Technol JAMSTEC, Yokohama, Kanagawa, Japan; [Chiba, Sanae] UNEP WCMC, Cambridge, England; [Edwards, Martin; Grahams, George; Ostle, Clare; Wilson, Willie] Marine Biol Assoc UK, CPR Survey, Plymouth, Devon, England; [Jyothibabu, R.] CSIR, Reg Ctr, Natl Inst Oceanog, Kochi, Kerala, India; [Kitchener, John A.] Australian Antarctic Div, Dept Environm &amp; Energy, Kingston, Tas, Australia; [Koubbis, Philippe] Sorbonne Univ, BOREA Res Unit Biol Aquat Organisms &amp; Ecosyst, Paris, France; [McQuatters-Gollop, Abigail] Univ Plymouth, Ctr Marine &amp; Conservat Policy Res, Plymouth, Devon, England; [Muxagata, Erik] Univ Fed Rio Grande FURG, Lab Zooplancton, Rio Grande, Brazil; [Richardson, Anthony J.] CSIRO Oceans &amp; Atmosphere, Brisbane, Qld, Australia; [Richardson, Anthony J.] Univ Queensland, Fac Sci, Brisbane, Qld, Australia; [Robinson, Karen, V] Natl Inst Water &amp; Atmospher Res, Christchurch, New Zealand; [Takahashi, Kunio T.] Natl Inst Polar Res, Tokyo, Japan; [Verheye, Hans M.] Univ Cape Town, Dept Biol Sci, Marine Res Inst, Cape Town, South Africa; [Verheye, Hans M.] Oceans &amp; Coasts Res, Dept Environm Affairs, Cape Town, South Africa</t>
  </si>
  <si>
    <t>Japan Agency for Marine-Earth Science &amp; Technology (JAMSTEC); United Nations Environment Programme; Marine Biological Association United Kingdom; Council of Scientific &amp; Industrial Research (CSIR) - India; CSIR - National Institute of Oceanography (NIO); Australian Antarctic Division; Sorbonne Universite; University of Plymouth; Universidade Federal do Rio Grande; Commonwealth Scientific &amp; Industrial Research Organisation (CSIRO); University of Queensland; National Institute of Water &amp; Atmospheric Research (NIWA) - New Zealand; Research Organization of Information &amp; Systems (ROIS); National Institute of Polar Research (NIPR) - Japan; University of Cape Town; Department of Environment, Forestry &amp; Fisheries</t>
  </si>
  <si>
    <t>Batten, SD (corresponding author), Marine Biol Assoc UK, CPR Survey, Nanaimo, BC, Canada.</t>
  </si>
  <si>
    <t>sonia.batten@mba.ac.uk</t>
  </si>
  <si>
    <t>Richardson, Anthony J/B-3649-2010; Muxagata, Erik/M-6563-2015</t>
  </si>
  <si>
    <t>Richardson, Anthony J/0000-0002-9289-7366; Muxagata, Erik/0000-0002-4210-5252; Kitchener, John/0000-0003-4642-3044; Abualhaija, Rana/0000-0001-5245-7596</t>
  </si>
  <si>
    <t>Natural Environment Research Council [NE/R015953/1, NE/L002663/1, NE/L002663/2, NE/R002738/1, SAH01001] Funding Source: researchfish; NERC [SAH01001, NE/L002663/1, NE/R015953/1, NE/R002738/1, NE/N006100/1, NE/L002663/2] Funding Source: UKRI</t>
  </si>
  <si>
    <t>JUN 14</t>
  </si>
  <si>
    <t>10.3389/fmars.2019.00321</t>
  </si>
  <si>
    <t>ID5EY</t>
  </si>
  <si>
    <t>WOS:000471700500001</t>
  </si>
  <si>
    <t>Schröter, F; Havermans, C; Kraft, A; Knüppel, N; Beszczynska-Möller, A; Bauerfeind, E; Nöthig, EM</t>
  </si>
  <si>
    <t>Schroeter, Franz; Havermans, Charlotte; Kraft, Angelina; Knueppel, Nadine; Beszczynska-Moeller, Agnieszka; Bauerfeind, Eduard; Noethig, Eva-Maria</t>
  </si>
  <si>
    <t>Pelagic Amphipods in the Eastern Fram Strait With Continuing Presence of Themisto compressa Based on Sediment Trap Time Series</t>
  </si>
  <si>
    <t>sediment traps; hyperiids - pelagic amphipods; Arctic marine ecology; biodiversity; range shifts</t>
  </si>
  <si>
    <t>MARGINAL ICE-ZONE; INTER-SPECIFIC VARIATIONS; WEST SPITSBERGEN CURRENT; ZOOPLANKTON VARIABILITY; ATLANTIC-OCEAN; GREENLAND SEA; BARENTS SEA; LIBELLULA; ABUNDANCE; CLIMATE</t>
  </si>
  <si>
    <t>Pelagic amphipods represent a large fraction of organisms entering sediment traps as so-called swimmers. These swimmers were sampled with sediment traps (similar to 200-300 m water depth) with two mooring arrays deployed at two different positions in the Long-Term Ecological Research observatory HAUSGARTEN in the northeastern Fram Strait. This sampling allowed us to investigate amphipod year-round abundances and inter-annual trends from 2000 onward. In this study, newly analyzed data from a 3-years period (August 2011-June 2014) are presented, extending this long-term investigation. In our results, the species Themisto abyssorum, T libellula, and T compressa dominated the swimmer biomass, corroborating previous studies. The observed increase of amphipod abundances persisted in all three species, additionally implying that Themisto compressa maintained its population off Svalbard, which appeared for the first time here after a warm anomaly in 2004-2007. This study provides evidence for changes in amphipod community patterns that can mainly be attributed to growing abundances of T. compressa. Similarly, another hyperiid, Lanceola clausii, also increased in abundance over the investigated period. For T. libellula, almost no juvenile individuals were recorded in the sampling period 2013/14, even though juveniles of this species were common in earlier records. The three more years of observations clearly suggest that recently documented environmental shifts persist in the eastern Fram Strait. They also highlight the merit of using sediment trap time series to obtain year-round data sets needed to reveal processes and range shift dynamics in the pelagic system on a long-term basis.</t>
  </si>
  <si>
    <t>[Schroeter, Franz; Havermans, Charlotte; Kraft, Angelina; Knueppel, Nadine; Bauerfeind, Eduard; Noethig, Eva-Maria] Alfred Wegener Inst, Dept Polar Biol Oceanog, Bremerhaven, Germany; [Schroeter, Franz] Eberhard Karls Univ Tubingen, Geo &amp; Umweltwissensch, Tubingen, Germany; [Havermans, Charlotte] Univ Bremen, Bremen Marine Ecol, Marine Zool, Bremen, Germany; [Kraft, Angelina] Tech Informat Bibliothek, Hannover, Germany; [Beszczynska-Moeller, Agnieszka] Polish Acad Sci, Inst Oceanol, Sopot, Poland</t>
  </si>
  <si>
    <t>Helmholtz Association; Alfred Wegener Institute, Helmholtz Centre for Polar &amp; Marine Research; Eberhard Karls University of Tubingen; University of Bremen; Technische Informationsbibliothek (TIB); Polish Academy of Sciences; Institute of Oceanology of the Polish Academy of Sciences</t>
  </si>
  <si>
    <t>Nöthig, EM (corresponding author), Alfred Wegener Inst, Dept Polar Biol Oceanog, Bremerhaven, Germany.</t>
  </si>
  <si>
    <t>Eva-Maria.Noethig@awi.de</t>
  </si>
  <si>
    <t>Nöthig, Eva-Maria/AAS-7253-2021; Kraft, Angelina/E-5011-2016</t>
  </si>
  <si>
    <t>Beszczynska-Moller, Agnieszka/0000-0002-8108-6306; Kraft, Angelina/0000-0002-6454-335X; Nothig, Eva-Maria/0000-0002-7527-7827; Havermans, Charlotte/0000-0002-1126-4074</t>
  </si>
  <si>
    <t>German Federal Ministry of Education and Research [03F0629A]; German Science Foundation/Deutsche Forschungsgemeinschaft (DFG) [HA 7627/1-1, SPP-1158]</t>
  </si>
  <si>
    <t>German Federal Ministry of Education and Research(Federal Ministry of Education &amp; Research (BMBF)); German Science Foundation/Deutsche Forschungsgemeinschaft (DFG)(German Research Foundation (DFG))</t>
  </si>
  <si>
    <t>This study was funded by the German Federal Ministry of Education and Research (project: 03F0629A). CH was funded by the German Science Foundation/Deutsche Forschungsgemeinschaft (DFG) with the project HA 7627/1-1 within the Priority Programme SPP-1158 on Antarctic Research with Comparable Investigations in Arctic Sea Ice Areas.</t>
  </si>
  <si>
    <t>10.3389/fmars.2019.00311</t>
  </si>
  <si>
    <t>ID5EU</t>
  </si>
  <si>
    <t>WOS:000471700100001</t>
  </si>
  <si>
    <t>van der Merwe, P; Wuttig, K; Holmes, T; Trull, TW; Chase, Z; Townsend, AT; Goemann, K; Bowie, AR</t>
  </si>
  <si>
    <t>van der Merwe, Pier; Wuttig, Kathrin; Holmes, Thomas; Trull, Thomas W.; Chase, Zanna; Townsend, Ashley T.; Goemann, Karsten; Bowie, Andrew R.</t>
  </si>
  <si>
    <t>High Lability Fe Particles Sourced From Glacial Erosion Can Meet Previously Unaccounted Biological Demand: Heard Island, Southern Ocean</t>
  </si>
  <si>
    <t>particulate trace metals; McDonald Island; suspended particles; chemical leach; hydrothermal; iron; labile particulate Fe; GEOTRACES</t>
  </si>
  <si>
    <t>NATURAL IRON FERTILIZATION; KERGUELEN PLATEAU; PHYTOPLANKTON BLOOMS; HYDROTHERMAL IRON; INDIAN-OCEAN; TRACE-METALS; DISSOLUTION; TRANSPORT; SILICA; SCALE</t>
  </si>
  <si>
    <t>Iron (Fe) is an essential micronutrient that controls phytoplankton growth in the Southern Ocean. Dissolved Fe (&lt;0.4 mu m) has been extensively studied due to its relatively high bioavailability. However, particulate Fe (&gt; 0.4 mu m) is far more abundant and may also become bioavailable through biogeochemical processing. To assess natural Fe fertilisation from the particulate fraction, we surveyed suspended particles in the water column at 11 stations in the vicinity of Heard and McDonald Islands (HIMI), in the Indian sector of the Southern Ocean and compared these to downstream plateau and reference stations. We quantified the labile (potentially bioavailable) fraction using a chemical leach. Suspended particles sourced from glacial erosion and fluvial outflow, including nanoparticulate Fe oxides near Heard Island, contained a significantly higher fraction of labile Fe (18 +/- 2.8% of total Fe, or 115 +/- 34 nM, n = 9) than all other coastal areas surveyed. In contrast, waters around McDonald Island, proximal to diffuse gasohydrothermal sites, contained poorly labile, highly refractory titanium and Fe bearing minerals such as ilmenite. We conclude that glacial erosion of Heard Island in combination with a unique elemental signature of the source rock, is an important mechanism of Fe supply to downstream waters. Our calculations show that the labile Fe supplied from primarily glacial erosion on Heard Island is sufficient to satisfy previously unmet estimates of phytoplankton demand for the region, and therefore critical to the area's productivity. As we move into a world facing major ecosystem shifts under a changing climate, it is important to understand those ecosystem services that may change into the future. At the current rate of glacier retreat, this ecosystem service of glacial erosion and Fe supply to coastal waters will cease with the eventual loss of glacial cover with direct impacts for this historically highly productive region.</t>
  </si>
  <si>
    <t>[van der Merwe, Pier; Wuttig, Kathrin; Holmes, Thomas; Trull, Thomas W.; Bowie, Andrew R.] Univ Tasmania, Antarctic Climate &amp; Ecosyst Cooperat Res Ctr, Hobart, Tas, Australia; [Holmes, Thomas; Chase, Zanna; Bowie, Andrew R.] Univ Tasmania, Coll Sci &amp; Engn, Inst Marine &amp; Antarctic Studies, Hobart, Tas, Australia; [Trull, Thomas W.] CSIRO, Hobart, Tas, Australia; [Townsend, Ashley T.; Goemann, Karsten] Univ Tasmania, Cent Sci Lab, Hobart, Tas, Australia</t>
  </si>
  <si>
    <t>University of Tasmania; Antarctic Climate &amp; Ecosystems Cooperative Research Centre (ACE CRC); University of Tasmania; Commonwealth Scientific &amp; Industrial Research Organisation (CSIRO); University of Tasmania</t>
  </si>
  <si>
    <t>Townsend, Ashley/J-7445-2014; Kamenetsky, Vadim/CAF-7424-2022; Holmes, Thomas M/J-4950-2015; Holmes, Thomas M/JAC-5887-2023; Wuttig, Kathrin/O-2888-2019; van der Merwe, Pier/C-9210-2015; Goemann, Karsten/J-7812-2014; Chase, Zanna/E-9232-2013; Bowie, Andrew/C-8677-2013</t>
  </si>
  <si>
    <t>Townsend, Ashley/0000-0002-2972-2678; Holmes, Thomas M/0000-0001-8061-4325; Wuttig, Kathrin/0000-0003-4010-5918; van der Merwe, Pier/0000-0002-7428-8030; Goemann, Karsten/0000-0002-8136-3617; Chase, Zanna/0000-0001-5060-779X; Bowie, Andrew/0000-0002-5144-7799</t>
  </si>
  <si>
    <t>Australian Research Council [DP150100345]; Australian Antarctic Science [AAS4338]; Australian Commonwealth Government through the Antarctic Climate and Ecosystem Co-operative Research Centre; Australian Research Council, Linkage Infrastructure, Equipment and Facilities funding [LE0989539, LE100100107]; Australian Research Council [LE100100107] Funding Source: Australian Research Council</t>
  </si>
  <si>
    <t>Australian Research Council(Australian Research Council); Australian Antarctic Science; Australian Commonwealth Government through the Antarctic Climate and Ecosystem Co-operative Research Centre; Australian Research Council, Linkage Infrastructure, Equipment and Facilities funding(Australian Research Council); Australian Research Council(Australian Research Council)</t>
  </si>
  <si>
    <t>This work was funded by the Australian Research Council Discovery (DP150100345) and Australian Antarctic Science (AAS4338) grants, and the Australian Commonwealth Government through the Antarctic Climate and Ecosystem Co-operative Research Centre. Access to sector-field inductively coupled plasma-mass spectroscopy and scanning electron microscopy instrumentation was supported through the Australian Research Council, Linkage Infrastructure, Equipment and Facilities funding (LE0989539 and LE100100107, respectively).</t>
  </si>
  <si>
    <t>10.3389/fmars.2019.00332</t>
  </si>
  <si>
    <t>ID5FD</t>
  </si>
  <si>
    <t>WOS:000471701000001</t>
  </si>
  <si>
    <t>Holbrook, NJ; Scannell, HA; Sen Gupta, A; Benthuysen, JA; Feng, M; Oliver, ECJ; Alexander, LV; Burrows, MT; Donat, MG; Hobday, AJ; Moore, PJ; Perkins-Kirkpatrick, SE; Smale, DA; Straub, SC; Wernberg, T</t>
  </si>
  <si>
    <t>Holbrook, Neil J.; Scannell, Hillary A.; Sen Gupta, Alexander; Benthuysen, Jessica A.; Feng, Ming; Oliver, Eric C. J.; Alexander, Lisa, V; Burrows, Michael T.; Donat, Markus G.; Hobday, Alistair J.; Moore, Pippa J.; Perkins-Kirkpatrick, Sarah E.; Smale, Dan A.; Straub, Sandra C.; Wernberg, Thomas</t>
  </si>
  <si>
    <t>A global assessment of marine heatwaves and their drivers</t>
  </si>
  <si>
    <t>SEA-SURFACE TEMPERATURE; EL-NINO; NORTH PACIFIC; INDONESIAN THROUGHFLOW; INCREASED FREQUENCY; STREAM VARIABILITY; WESTERN-AUSTRALIA; NINGALOO NINO; RANGE SHIFTS; GULF-STREAM</t>
  </si>
  <si>
    <t>Marine heatwaves (MHWs) can cause devastating impacts to marine life. Despite the serious consequences of MHWs, our understanding of their drivers is largely based on isolated case studies rather than any systematic unifying assessment. Here we provide the first global assessment under a consistent framework by combining a confidence assessment of the historical refereed literature from 1950 to February 2016, together with the analysis of MHWs determined from daily satellite sea surface temperatures from 1982-2016, to identify the important local processes, large-scale climate modes and teleconnections that are associated with MHWs regionally. Clear patterns emerge, including coherent relationships between enhanced or suppressed MHW occurrences with the dominant climate modes across most regions of the globe - an important exception being western boundary current regions where reports of MHW events are few and ocean-climate relationships are complex. These results provide a global baseline for future MHW process and prediction studies.</t>
  </si>
  <si>
    <t>[Holbrook, Neil J.; Oliver, Eric C. J.] Univ Tasmania, Inst Marine &amp; Antarctic Studies, Hobart, Tas 7001, Australia; [Holbrook, Neil J.; Oliver, Eric C. J.] Univ Tasmania, Australian Res Council Ctr Excellence Climate Ext, Hobart, Tas 7001, Australia; [Scannell, Hillary A.] Univ Washington, Sch Oceanog, Seattle, WA 98105 USA; [Sen Gupta, Alexander; Alexander, Lisa, V; Perkins-Kirkpatrick, Sarah E.] Univ New South Wales, Climate Change Res Ctr, Sydney, NSW 2052, Australia; [Sen Gupta, Alexander; Alexander, Lisa, V; Donat, Markus G.; Perkins-Kirkpatrick, Sarah E.] Univ New South Wales, Australian Res Council Ctr Excellence Climate Ext, Sydney, NSW 2052, Australia; [Benthuysen, Jessica A.] Australian Inst Marine Sci, Townsville, Qld 4810, Australia; [Feng, Ming] CSIRO Oceans &amp; Atmosphere, Indian Ocean Marine Res Ctr, Crawley, WA 6009, Australia; [Oliver, Eric C. J.] Dalhousie Univ, Dept Oceanog, Halifax, NS B3H 4R2, Canada; [Burrows, Michael T.] Scottish Assoc Marine Sci, Scottish Marine Inst, Oban PA37 1QA, Argyll, Scotland; [Donat, Markus G.] Barcelona Supercomp Ctr, Barcelona 08034, Spain; [Hobday, Alistair J.] CSIRO Oceans &amp; Atmosphere, Hobart, Tas 7000, Australia; [Moore, Pippa J.] Aberystwyth Univ, Ist Biol Environm &amp; Rural Sci, Aberystwyth SY23 3DA, Dyfed, Wales; [Smale, Dan A.] Marine Biol Assoc UK, Citadel Hill, Plymouth PL1 2PB, Devon, England; [Smale, Dan A.; Straub, Sandra C.; Wernberg, Thomas] Univ Western Australia, UWA Oceans Inst, Crawley, WA 6009, Australia; [Smale, Dan A.; Straub, Sandra C.; Wernberg, Thomas] Univ Western Australia, Sch Biol Sci, Crawley, WA 6009, Australia</t>
  </si>
  <si>
    <t>University of Tasmania; University of Tasmania; University of Washington; University of Washington Seattle; University of New South Wales Sydney; University of New South Wales Sydney; Australian Institute of Marine Science; University of Western Australia; Commonwealth Scientific &amp; Industrial Research Organisation (CSIRO); Dalhousie University; UHI Millennium Institute; Universitat Politecnica de Catalunya; Barcelona Supercomputer Center (BSC-CNS); Commonwealth Scientific &amp; Industrial Research Organisation (CSIRO); Aberystwyth University; Marine Biological Association United Kingdom; University of Western Australia; University of Western Australia</t>
  </si>
  <si>
    <t>Holbrook, NJ (corresponding author), Univ Tasmania, Inst Marine &amp; Antarctic Studies, Hobart, Tas 7001, Australia.;Holbrook, NJ (corresponding author), Univ Tasmania, Australian Res Council Ctr Excellence Climate Ext, Hobart, Tas 7001, Australia.</t>
  </si>
  <si>
    <t>neil.holbrook@utas.edu.au</t>
  </si>
  <si>
    <t>Donat, Markus/J-8331-2012; Moore, Pippa/H-8079-2013; Smale, Dan A/B-3240-2011; Perkins-Kirkpatrick, Sarah E/O-5042-2015; Moore, Pippa/HCH-3738-2022; Burrows, Michael/ABF-4844-2020; Feng, Ming/F-5411-2010; Wernberg, Thomas/B-4172-2010; Oliver, Eric/G-5118-2014; Sen Gupta, Alexander/B-7995-2011; Alexander, Lisa/A-8477-2011; Hobday, Alistair/A-1460-2012; Holbrook, Neil/M-7544-2013</t>
  </si>
  <si>
    <t>Donat, Markus/0000-0002-0608-7288; Moore, Pippa/0000-0002-9889-2216; Burrows, Michael/0000-0003-4620-5899; Wernberg, Thomas/0000-0003-1185-9745; Oliver, Eric/0000-0002-4006-2826; Sen Gupta, Alexander/0000-0001-5226-871X; Benthuysen, Jessica/0000-0001-7615-6587; Scannell, Hillary/0000-0002-6604-1695; Straub, Sandra/0000-0003-2450-4978; Perkins-Kirkpatrick, Sarah/0000-0001-9443-4915; Alexander, Lisa/0000-0002-5635-2457; Hobday, Alistair/0000-0002-3194-8326; Holbrook, Neil/0000-0002-3523-6254</t>
  </si>
  <si>
    <t>UWA Research Collaboration Award; UWA School of Plant Biology synthesis grant; ARC Centre of Excellence for Climate System Science [ARCCSS: CE110001028]; National Environmental Science Programme (NESP) Earth Systems and Climate Change Hub (ESCC) Hub Project 2.3 [B0024391]; ARC Centre of Excellence for Climate Extremes [CE170100023]; ARC [FS110200029, DE140100952, DE150100456, FT110100174, DP170100023]; NERC [NE/J024082/1, NE/K008439/1, CE110001028]; Marie Curie CIG [PCIG10-GA-2011-303685]; Australian Government RTP scholarship; NERC [NE/H017151/1, NE/J024082/1, NE/J022446/1, NE/J021938/1, NE/N00678X/1] Funding Source: UKRI; Australian Research Council [FS110200029] Funding Source: Australian Research Council</t>
  </si>
  <si>
    <t>UWA Research Collaboration Award; UWA School of Plant Biology synthesis grant; ARC Centre of Excellence for Climate System Science(Australian Research Council); National Environmental Science Programme (NESP) Earth Systems and Climate Change Hub (ESCC) Hub Project 2.3; ARC Centre of Excellence for Climate Extremes; ARC(Australian Research Council); NERC(UK Research &amp; Innovation (UKRI)Natural Environment Research Council (NERC)); Marie Curie CIG(European Union (EU)); Australian Government RTP scholarship(Australian Government); NERC(UK Research &amp; Innovation (UKRI)Natural Environment Research Council (NERC)); Australian Research Council(Australian Research Council)</t>
  </si>
  <si>
    <t>This contribution is an outcome from the working group 'Marine Heatwaves-physical drivers and properties' (www.marineheatwaves.org) hosted at the University of Western Australia (UWA) Oceans Institute by T.W., D.A.S., N.J.H., and E.C.J.O. in January 2015. The working group received support for the workshop from a UWA Research Collaboration Award, a UWA School of Plant Biology synthesis grant, and the ARC Centre of Excellence for Climate System Science (ARCCSS: CE110001028). This work contributes to the World Climate Research Program (WCRP) Grand Challenge on Extremes. This paper makes a contribution to the interests and activities of the International Commission on Climate of IAMAS/IUGG and National Environmental Science Programme (NESP) Earth Systems and Climate Change Hub (ESCC) Hub Project 2.3 (Grant No. B0024391). N.J.H. and L.V.A. acknowledge support from the ARC Centre of Excellence for Climate Extremes (Grant No. CE170100023), S.E.P. was supported by ARC grant DE140100952, M.G.D. by ARC grant DE150100456, D.S. by NERC grant IRF NE/K008439/1, T.W. by ARC grant FT110100174 and DP170100023. M.T.B. by NERC grant NE/J024082/1, J.B. acknowledges support from CE110001028, E.C.J.O. by ARC grant FS110200029, P.J.M. by Marie Curie CIG PCIG10-GA-2011-303685 and NERC grant NE/J024082/1, S.C.S. by an Australian Government RTP scholarship. Thanks to Dr Axel Durand for assistance with the Mendeley database. The daily 0.25 degrees resolution and the weekly 1 degrees resolution NOAA OI SST V2 data are provided by the NOAA/OAR/ESRLPSD, Boulder, Colorado, USA, at http://www.esrl.noaa.gov/psd/. Finally, we would like to thank the three reviewers (Nathan Mantua and two anonymous) for their detailed and constructive comments, which led to significant improvements in the final manuscript.</t>
  </si>
  <si>
    <t>10.1038/s41467-019-10206-z</t>
  </si>
  <si>
    <t>ID3OS</t>
  </si>
  <si>
    <t>WOS:000471586700001</t>
  </si>
  <si>
    <t>Simoes, CL; Rosa, KK; Simoes, JC; Vieira, R; Costa, RM; Silva, AB</t>
  </si>
  <si>
    <t>Simoes, Carolina L.; Rosa, Katia K.; Simoes, Jefferson C.; Vieira, Rosemary; Costa, Rafaela M.; Silva, Aline B.</t>
  </si>
  <si>
    <t>Recent changes in two outlet glaciers in the Antarctic Peninsula using multi-temporal Landsat and Sentinel-1 data</t>
  </si>
  <si>
    <t>GEOCARTO INTERNATIONAL</t>
  </si>
  <si>
    <t>West Antarctic Peninsula; ice front retreat; climate change; tidewater calving glaciers</t>
  </si>
  <si>
    <t>RETREAT</t>
  </si>
  <si>
    <t>This work investigates the dynamics of the ice front retreat of two tidewater glaciers in adjacent valleys, Drummond and Widdowson (66 degrees 43'S, 65 degrees 46'W), on the western coast of the Antarctic Peninsula over the past six decades. The Widdowson Glacier had a more significant area loss (36.37 km(2) or 16.97%) and a higher snow line elevation (200 m above sea level (a.s.l.) in 2016) than the Drummond Glacier (19.11 km(2), or 4.33%; snow line at 100 m a.s.l. in 2016). This difference in the retreat of the two glaciers is attributed slopes and accumulation areas values. The glacier with a smaller area, Widdowson, has been shown to be more sensitive to environmental changes Their steeper glacier front may have influenced the calving rate and generated a more efficient basal slip, increasing the ice flow rate and consequently increasing the retreat rate.</t>
  </si>
  <si>
    <t>[Simoes, Carolina L.; Rosa, Katia K.; Simoes, Jefferson C.; Costa, Rafaela M.] Univ Fed Rio Grande do Sul, Ctr Polar &amp; Climat, Porto Alegre, RS, Brazil; [Vieira, Rosemary] Univ Fed Fluminense, Inst Geociencias, Rio De Janeiro, Brazil; [Silva, Aline B.] Univ Fed Rio Grande FURG, Lab Monitoramento Criosfera LaCrio, Rio Grande, Brazil</t>
  </si>
  <si>
    <t>Universidade Federal do Rio Grande do Sul; Universidade Federal Fluminense; Universidade Federal do Rio Grande</t>
  </si>
  <si>
    <t>Simoes, CL (corresponding author), Univ Fed Rio Grande do Sul, Ctr Polar &amp; Climat, Porto Alegre, RS, Brazil.</t>
  </si>
  <si>
    <t>carolina.lsimoes@gmail.com</t>
  </si>
  <si>
    <t>da Rosa, Kátia Kellem/AAO-8367-2020; Silva, Aline Barbosa Barbosa/AAI-2392-2020; Simoes, Jefferson Cardia/D-7232-2013</t>
  </si>
  <si>
    <t>da Rosa, Kátia Kellem/0000-0003-0977-9658; Silva, Aline Barbosa Barbosa/0000-0002-4026-4591; Simoes, Jefferson Cardia/0000-0001-5555-3401; Vieira, Rosemary/0000-0003-0312-2890</t>
  </si>
  <si>
    <t>Foundation for Research Support of the State of Rio Grande do Sul (FAPERGS); Brazilian National Council for Scientific and Technological Development (CNPq); Brazilian Coordination for the Improvement of Higher Education Personnel (CAPES)</t>
  </si>
  <si>
    <t>Foundation for Research Support of the State of Rio Grande do Sul (FAPERGS)(Fundacao de Amparo a Ciencia e Tecnologia do Estado do Rio Grande do Sul (FAPERGS)); Brazilian National Council for Scientific and Technological Development (CNPq)(Conselho Nacional de Desenvolvimento Cientifico e Tecnologico (CNPQ)); Brazilian Coordination for the Improvement of Higher Education Personnel (CAPES)(Coordenacao de Aperfeicoamento de Pessoal de Nivel Superior (CAPES))</t>
  </si>
  <si>
    <t>This work is a contribution of the Brazilian Antarctic Program (PROANTAR) and is supported by research grants from the Foundation for Research Support of the State of Rio Grande do Sul (FAPERGS) and the Brazilian National Council for Scientific and Technological Development (CNPq). C.L. Simoes thanks the Brazilian Coordination for the Improvement of Higher Education Personnel (CAPES) for a scholarship.</t>
  </si>
  <si>
    <t>1010-6049</t>
  </si>
  <si>
    <t>1752-0762</t>
  </si>
  <si>
    <t>GEOCARTO INT</t>
  </si>
  <si>
    <t>Geocarto Int.</t>
  </si>
  <si>
    <t>AUG 17</t>
  </si>
  <si>
    <t>10.1080/10106049.2019.1576776</t>
  </si>
  <si>
    <t>MN6PR</t>
  </si>
  <si>
    <t>WOS:000472416300001</t>
  </si>
  <si>
    <t>Michielsen, RJ; Ausems, ANMA; Jakubas, D; Petlicki, M; Plenzler, J; Shamoun-Baranes, J; Wojczulanis-Jakubas, K</t>
  </si>
  <si>
    <t>Michielsen, Rosanne J.; Ausems, Anne N. M. A.; Jakubas, Dariusz; Petlicki, Michal; Plenzler, Joanna; Shamoun-Baranes, Judy; Wojczulanis-Jakubas, Katarzyna</t>
  </si>
  <si>
    <t>Nest characteristics determine nest microclimate and affect breeding output in an Antarctic seabird, the Wilson's storm-petrel</t>
  </si>
  <si>
    <t>KING-GEORGE-ISLAND; OCEANITES-OCEANICUS; SNOW ACCUMULATION; TREE SWALLOWS; SITE CHARACTERISTICS; CLUTCH TEMPERATURE; THERMAL-PROPERTIES; SOUTH SHETLAND; GROWTH-RATE; SUCCESS</t>
  </si>
  <si>
    <t>The importance of nest characteristics for birds breeding in the extreme climate conditions of polar regions, has been greatly understudied. Nest parameters, like nest orientation, exposure and insulation, could strongly influence microclimate and protection against precipitation of the nest, thereby affecting breeding success. A burrow nesting seabird, the Wilson's storm-petrel (Oceanites oceanicus) is an excellent model species to investigate the importance of nest characteristics, as it is the smallest endotherm breeding in the Antarctic. Here, we investigated the effects of nest parameters such as internal nest dimensions, nest micro-topography and thermal properties of the nest burrow and the influence of weather conditions on breeding output, measured as hatching success, chick survival, and chick growth. We collected data during the austral summers of 2017 and 2018, on King George Island, maritime Antarctica. Our results showed that the thermal microclimate of the nest burrow was significantly improved by a small entrance size, a low nest height, and insulation and tended to be enhanced by a low wind exposition index and an eastern nest site orientation. In addition, an eastern nest site orientation significantly reduced the chance of snow blocking. However, the relationships between nest characteristics and breeding output were complex and might be affected by other parameters like food availability and parental quality. The relation between chick growth and nest air temperature remained especially indistinct. Nevertheless, our results indicate that nest characteristics that enhance the thermal microclimate and reduce the risk of snow blocking favoured both hatching success and chick survival. Due to climate change in the Antarctic, snowfall is expected to increase in the future, which will likely enhance the importance of nest characteristics that determine snow blocking. Additionally, despite global warming, thermally favourable nest burrows will likely still be advantageous in the highly variable and challenging Antarctic climate.</t>
  </si>
  <si>
    <t>[Michielsen, Rosanne J.; Shamoun-Baranes, Judy] Univ Amsterdam, Inst Biodivers &amp; Ecosyst Dynam, Amsterdam, Netherlands; [Michielsen, Rosanne J.; Ausems, Anne N. M. A.; Jakubas, Dariusz; Wojczulanis-Jakubas, Katarzyna] Univ Gdansk, Dept Vertebrate Ecol &amp; Zool, Gdansk, Poland; [Petlicki, Michal] Ctr Estudios Cient, Valdivia, Chile; [Plenzler, Joanna] Polish Acad Sci, Inst Biochem &amp; Biophys, Warsaw, Poland</t>
  </si>
  <si>
    <t>University of Amsterdam; Fahrenheit Universities; University of Gdansk; Polish Academy of Sciences; Institute of Biochemistry &amp; Biophysics - Polish Academy of Sciences</t>
  </si>
  <si>
    <t>Michielsen, RJ (corresponding author), Univ Amsterdam, Inst Biodivers &amp; Ecosyst Dynam, Amsterdam, Netherlands.;Michielsen, RJ (corresponding author), Univ Gdansk, Dept Vertebrate Ecol &amp; Zool, Gdansk, Poland.</t>
  </si>
  <si>
    <t>r.j.michielsen@gmail.com</t>
  </si>
  <si>
    <t>Michielsen, Rosanne/GQZ-3629-2022; Shamoun-Baranes, Judy/Q-1311-2019; Jakubas, Dariusz/N-3680-2019; Michielsen, Rosanne/AFK-4794-2022; Wojczulanis-Jakubas, Katarzyna/AAO-4126-2021; Petlicki, Michal/GPC-5755-2022; Ausems, Anne N.M.A./AAP-6725-2021; Petlicki, Michal/H-7901-2016</t>
  </si>
  <si>
    <t>Shamoun-Baranes, Judy/0000-0002-1652-7646; Jakubas, Dariusz/0000-0002-1879-4342; Michielsen, Rosanne/0000-0002-3136-4048; Wojczulanis-Jakubas, Katarzyna/0000-0001-6230-0509; Ausems, Anne N.M.A./0000-0002-6683-6674; Petlicki, Michal/0000-0003-3383-2586; Plenzler, Joanna/0000-0002-0566-0062</t>
  </si>
  <si>
    <t>National Science Centre, Poland [2015/19/B/NZ8/01981]; Centers of Excellence Base Financing Program, Comision Nacional de Investigacion Cientifica y Tecnologica (CONICYT-Chile); Stichting dr. Hendrik Muller's Vaderlandsch Fonds; Stichting Fundatie van de Vrijvrouwe van Renswoude; Amsterdams Universiteitsfonds, Graeve Francken Fonds; Stichting Fonds Dr. Christine Buisman</t>
  </si>
  <si>
    <t>National Science Centre, Poland(National Science Centre, Poland); Centers of Excellence Base Financing Program, Comision Nacional de Investigacion Cientifica y Tecnologica (CONICYT-Chile); Stichting dr. Hendrik Muller's Vaderlandsch Fonds; Stichting Fundatie van de Vrijvrouwe van Renswoude; Amsterdams Universiteitsfonds, Graeve Francken Fonds; Stichting Fonds Dr. Christine Buisman</t>
  </si>
  <si>
    <t>DJ, KWJ, AA received funding from 2015/19/B/NZ8/01981, National Science Centre, Poland, https://www.ncn.gov.pl/?language=en.MP received funding from Centers of Excellence Base Financing Program, Comision Nacional de Investigacion Cientifica y Tecnologica (CONICYT-Chile), https://www.conicyt.cl/.RM received funding from Seabird Group, http://www.seabirdgroup.org.uk/; Stichting dr. Hendrik Muller's Vaderlandsch Fonds, http://www.mullerfonds.nl; Stichting Fundatie van de Vrijvrouwe van Renswoude, https://www.fundatievanrenswoude.nl/fvr/index.php?id=1; Amsterdams Universiteitsfonds, Graeve Francken Fonds, http://www.auf.nl/;, Stichting Fonds Dr. Christine Buisman, https://stichtingfonds-drchristinebuisman.sites.uu.nl/Stichting Bekker-la Bastide-Fonds, https://volkskracht.nl/Stichtingen/Stichting-Bekker-la-Bastide-Fonds.The funders had no role in study design, data collection and analysis, decision to publish, or preparation of the manuscript.</t>
  </si>
  <si>
    <t>JUN 13</t>
  </si>
  <si>
    <t>e0217708</t>
  </si>
  <si>
    <t>10.1371/journal.pone.0217708</t>
  </si>
  <si>
    <t>IC8NN</t>
  </si>
  <si>
    <t>WOS:000471238300022</t>
  </si>
  <si>
    <t>Levermann, A; Feldmann, J</t>
  </si>
  <si>
    <t>Levermann, Anders; Feldmann, Johannes</t>
  </si>
  <si>
    <t>Scaling of instability timescales of Antarctic outlet glaciers based on one-dimensional similitude analysis</t>
  </si>
  <si>
    <t>MARINE ICE-SHEET; SEA-LEVEL RISE; PINE ISLAND GLACIER; WEST ANTARCTICA; GROUNDING LINE; THWAITES GLACIERS; SHELF; RETREAT; FLOW; BENEATH</t>
  </si>
  <si>
    <t>Recent observations and ice-dynamic modeling suggest that a marine ice-sheet instability (MISI) might have been triggered in West Antarctica. The corresponding outlet glaciers, Pine Island Glacier (PIG) and Thwaites Glacier (TG), showed significant retreat during at least the last 2 decades. While other regions in Antarctica have the topographic predisposition for the same kind of instability, it is so far unclear how fast these instabilities would unfold if they were initiated. Here we employ the concept of similitude to estimate the characteristic timescales of several potentially MISI-prone outlet glaciers around the Antarctic coast. Our results suggest that TG and PIG have the fastest response time of all investigated outlets, with TG responding about 1.25 to 2 times as fast as PIG, while other outlets around Antarctica would be up to 10 times slower if destabilized. These results have to be viewed in light of the strong assumptions made in their derivation. These include the absence of ice-shelf buttressing, the one-dimensionality of the approach and the uncertainty of the available data. We argue however that the current topographic situation and the physical conditions of the MISI-prone outlet glaciers carry the information of their respective timescale and that this information can be partially extracted through a similitude analysis.</t>
  </si>
  <si>
    <t>[Levermann, Anders; Feldmann, Johannes] Potsdam Inst Climate Impact Res PIK, Potsdam, Germany; [Levermann, Anders] Columbia Univ, LDEO, New York, NY 10027 USA; [Levermann, Anders] Univ Potsdam, Inst Phys, Potsdam, Germany</t>
  </si>
  <si>
    <t>Levermann, A (corresponding author), Potsdam Inst Climate Impact Res PIK, Potsdam, Germany.;Levermann, A (corresponding author), Columbia Univ, LDEO, New York, NY 10027 USA.;Levermann, A (corresponding author), Univ Potsdam, Inst Phys, Potsdam, Germany.</t>
  </si>
  <si>
    <t>Deutsche Forschungsgemeinschaft (DFG) [LE 1448/8-1]</t>
  </si>
  <si>
    <t>Deutsche Forschungsgemeinschaft (DFG)(German Research Foundation (DFG))</t>
  </si>
  <si>
    <t>This work was supported by the Deutsche Forschungsgemeinschaft (DFG) in the framework of the priority program Antarctic Research with comparative investigations in Arctic ice areas by grant LE 1448/8-1.</t>
  </si>
  <si>
    <t>10.5194/tc-13-1621-2019</t>
  </si>
  <si>
    <t>ID3TV</t>
  </si>
  <si>
    <t>WOS:000471600900001</t>
  </si>
  <si>
    <t>Alvizu, A; Xavier, JR; Rapp, HT</t>
  </si>
  <si>
    <t>Alvizu, Adriana; Xavier, Joana R.; Rapp, Hans Tore</t>
  </si>
  <si>
    <t>Description of new chiactine-bearing sponges provides insights into the higher classification of Calcaronea (Porifera: Calcarea)</t>
  </si>
  <si>
    <t>Achramorpha; Antarctic; Baerida; C-region; Megapogon; Nordic Seas; Petrobionidae; Sarsinella; Taxonomy</t>
  </si>
  <si>
    <t>SUBSTITUTION MODELS; PHYLOGENY; CLATHRINA; EVOLUTION; CHARACTER; SOFTWARE; CALCINEA; SHELF</t>
  </si>
  <si>
    <t>A recent phylogenetic study revealed a close relationship between chiactine-bearing (family Achramorphidae, order Leucosolenida) and pugiole-bearing (order Baerida) calcaronean sponges as well as new putative taxa within Achramorphidae. In this study, we present a revision of chiactine-bearing sponges based on morphological re-examination of type material and recently collected specimens. in addition to new molecular data for the ribosomal 18S and C-region of the 28S. We provide re-descriptions for all known chiactine-bearing species, and further describe two new species from the Antarctic (Achramorpha antarctica sp. nov. and Megapogon schiaparellii sp. nov.) and two new species and a new genus from the Nordic Seas (Achramorpha ingolfi sp. nov. and Sarsinella karasikensis gen. nov. sp. nov.). The new phylogenetic reconstruction based on ribosomal 18S and C-region of the 28S confirms previous findings about the close relationship of some members of Baerida and the family Achramorphidae of the order Leucosolenida. However, new material and the addition of molecular data from the type species of both taxa would be required to formally propose changes at (sub-)ordinal levels within the classification of Calcaronean sponges.</t>
  </si>
  <si>
    <t>[Alvizu, Adriana; Xavier, Joana R.; Rapp, Hans Tore] Univ Bergen, Dept Biol Sci, POB 7803, N-5020 Bergen, Norway; [Alvizu, Adriana; Xavier, Joana R.; Rapp, Hans Tore] Univ Bergen, KG Jehsen Ctr Deep Sea Res, POB 7803, N-5020 Bergen, Norway; [Xavier, Joana R.] Univ Porto, CIIMAR Interdisciplinary Ctr Marine &amp; Environm Re, Ave Gen Norton Matos, P-4450208 Matosinhos, Portugal; [Rapp, Hans Tore] NORCE Norwegian Res Ctr AS, NORCE Environm, Nygardsgaten 112, N-5008 Bergen, Norway</t>
  </si>
  <si>
    <t>University of Bergen; University of Bergen; Universidade do Porto; Norwegian Research Centre (NORCE)</t>
  </si>
  <si>
    <t>Alvizu, A (corresponding author), Univ Bergen, Dept Biol Sci, POB 7803, N-5020 Bergen, Norway.;Alvizu, A (corresponding author), Univ Bergen, KG Jehsen Ctr Deep Sea Res, POB 7803, N-5020 Bergen, Norway.</t>
  </si>
  <si>
    <t>adriana.alvizu@uib.no</t>
  </si>
  <si>
    <t>Xavier, Joana/J-8387-2012</t>
  </si>
  <si>
    <t>Xavier, Joana/0000-0003-1386-4492</t>
  </si>
  <si>
    <t>Norwegian Biodiversity Information Centre [70184219]; Norwegian Academy of Science and Letters; Research Council of Norway [179560]; H2020 EU Framework Programme for Research and Innovation Project SponGES (Deep-sea Sponge Grounds Ecosystems of the North Atlantic: an integrated approach towards their preservation and sustainable exploitation) [679849]</t>
  </si>
  <si>
    <t>Norwegian Biodiversity Information Centre; Norwegian Academy of Science and Letters; Research Council of Norway(Research Council of Norway); H2020 EU Framework Programme for Research and Innovation Project SponGES (Deep-sea Sponge Grounds Ecosystems of the North Atlantic: an integrated approach towards their preservation and sustainable exploitation)</t>
  </si>
  <si>
    <t>This study was supported by the Norwegian Biodiversity Information Centre (grant to HTR, project number 70184219), the Norwegian Academy of Science and Letters (grant to HTR), the Research Council of Norway (through contract number 179560) and H2020 EU Framework Programme for Research and Innovation Project SponGES (Deep-sea Sponge Grounds Ecosystems of the North Atlantic: an integrated approach towards their preservation and sustainable exploitation) (Grant Agreement no. 679849). The authors are grateful to a number of people and institutions that have provided material and support during this study: Stefano Schiaparelli (MNA) for sending us samples from the Antarctic and Antje Boetius and Beate Slaby (GEOMAR) for providing material from the Karasik expedition (PS101). Isabelle Domart-Coulon (MNHN), Ole Secher Tendal (Zoological Museum of Copenhagen, SNM) and Tom White (BMNH) are thanked for providing material from their collections. Special thanks to: Ana Riesgo (NHM London) for hosting us in her lab during our visit to the museum, David Rees (University of Bergen) for helping us in the molecular lab, Irene Heggstad (University of Bergen) for all her help in the SEM-lab, and Harold Lopez for the edition of the figures.</t>
  </si>
  <si>
    <t>10.11646/zootaxa.4615.2.1</t>
  </si>
  <si>
    <t>IC8JQ</t>
  </si>
  <si>
    <t>WOS:000471226200001</t>
  </si>
  <si>
    <t>Jerosch, K; Scharf, FK; Deregibus, D; Campana, GL; Zacher, K; Pehlke, H; Falk, U; Hass, HC; Quartinou, ML; Abele, D</t>
  </si>
  <si>
    <t>Jerosch, Kerstin; Scharf, Frauke K.; Deregibus, Dolores; Campana, Gabriela L.; Zacher, Katharina; Pehlke, Hendrik; Falk, Ulrike; Hass, H. Christian; Quartinou, Maria L.; Abele, Doris</t>
  </si>
  <si>
    <t>Ensemble Modeling of Antarctic Macroalgal Habitats Exposed to Glacial Melt in a Polar Fjord</t>
  </si>
  <si>
    <t>FRONTIERS IN ECOLOGY AND EVOLUTION</t>
  </si>
  <si>
    <t>seaweed distribution modeling; bioclimatic ecosystem change; distribution shift; macroalgae summer production; South Shetland Islands; Antarctica</t>
  </si>
  <si>
    <t>SPECIES DISTRIBUTION MODELS; KING-GEORGE ISLAND; SOUTH SHETLAND ISLANDS; LONG-TERM CULTURE; POTTER COVE; CLIMATE-CHANGE; ICE SCOUR; SUBLITTORAL MACROALGAE; CROSS-VALIDATION; MASS-BALANCE</t>
  </si>
  <si>
    <t>Macroalgae are the main primary producers in polar coastal regions and of major importance for the associated heterotrophic communities. On King George Island/Isla 25 de Mayo, West Antarctic Peninsula (WAP) several fjords undergo rapid glacial retreat in response to increasing atmospheric temperatures. Hence, extended meltwater plumes laden with suspended particulate matter (SPM) are generated that hamper primary production during the austral summer season. We used ensemble modeling to approximate changes in the benthic productivity of an Antarctic fjord as a function of SPM discharge. A set of environmental variables was statistically selected and an ensemble of correlative species-distribution models was devised to project scattered georeferenced observation data to a spatial distribution of macroalgae for a time of measurement (tom) scenario (2008-2015). The model achieved statistically reliable validation results (true scale statistics 0.833, relative operating characteristics 0.975) and explained more than 60% of the modeled macroalgae distribution with the variables hard substrate and SPM. This tom scenario depicts a macroalgae cover of similar to 8% (63 ha) for the total study area (8 km(2)) and a summer production of similar to 350 t dry weight. Assuming a linear increase of meltwater SPM load over time, two past (1991 and 1998), and two future (2019 and 2026) simulations with varying SPM intensities were applied. The simulation using only 50% of the tom scenario SPM amount (simulating 1991) resulted in increased macroalgal distribution (143 ha) and a higher summer production (792 t) compared to the tom status and could be validated using historical data. Forecasting the year 2019 from the tom status, an increase of 25% SPM results in a predicted reduction of macroalgae summer production to similar to 60% (141 t). We present a first quantitative model for changing fjordic macroalgal production under continued melt conditions at WAP. As meltwater influenced habitats are extending under climate change conditions, our approach can serve to approximate future productivity shifts for WAP fjord systems. The reduction of macroalgal productivity as predicted for Potter Cove may have significant consequences for polar coastal ecosystems under continuing climate change.</t>
  </si>
  <si>
    <t>[Jerosch, Kerstin; Scharf, Frauke K.; Zacher, Katharina; Pehlke, Hendrik; Abele, Doris] Alfred Wegener Inst Helmholtz Ctr Polar &amp; Marine, Funct Ecol, Bremerhaven, Germany; [Deregibus, Dolores; Campana, Gabriela L.; Quartinou, Maria L.] Argentinean Antarctic Inst, Dept Coastal Biol, Buenos Aires, DF, Argentina; [Campana, Gabriela L.] Natl Univ Lujan, Dept Basic Sci, Lujan, Argentina; [Falk, Ulrike] Univ Bremen, Dept Geog FB08, Bremen, Germany; [Hass, H. Christian] Alfred Wegener Inst Helmholtz Ctr Polar &amp; Marine, Wadden Sea Res Stn, List Auf Sylt, Germany; [Quartinou, Maria L.] Museo Argentino Ciencias Nat Bernardino Rivadavia, Buenos Aires, DF, Argentina</t>
  </si>
  <si>
    <t>Helmholtz Association; Alfred Wegener Institute, Helmholtz Centre for Polar &amp; Marine Research; Universidad Nacional de Lujan; University of Bremen; Helmholtz Association; Alfred Wegener Institute, Helmholtz Centre for Polar &amp; Marine Research; Museo Argentino de Ciencias Naturales Bernardino Rivadavia (MACN)</t>
  </si>
  <si>
    <t>Jerosch, K (corresponding author), Alfred Wegener Inst Helmholtz Ctr Polar &amp; Marine, Funct Ecol, Bremerhaven, Germany.</t>
  </si>
  <si>
    <t>kerstin.jerosch@awi.de</t>
  </si>
  <si>
    <t>Jerosch, Kerstin/ABC-8913-2020</t>
  </si>
  <si>
    <t>Jerosch, Kerstin/0000-0003-0728-2154; Pehlke, Hendrik/0000-0003-1916-7831; Abele, Doris/0000-0002-5766-5017</t>
  </si>
  <si>
    <t>German Research Foundation (DFG) [JE 680/1-1, ZA 753/1-1, SPP 1158]; Marie Curie Action IRSES, within the Seventh Framework Programme (FP7 IRSES) [318718]</t>
  </si>
  <si>
    <t>German Research Foundation (DFG)(German Research Foundation (DFG)); Marie Curie Action IRSES, within the Seventh Framework Programme (FP7 IRSES)(European Union (EU))</t>
  </si>
  <si>
    <t>The research was supported by Grants JE 680/1-1 and ZA 753/1-1 of the priority programme SPP 1158 Antarctic Research with Comparative Investigations in Arctic Ice Areas of the German Research Foundation (DFG). The present manuscript also presents an outcome of the EU research network IMCONet funded by the Marie Curie Action IRSES, within the Seventh Framework Programme (FP7 IRSES, Action No. 318718).</t>
  </si>
  <si>
    <t>2296-701X</t>
  </si>
  <si>
    <t>FRONT ECOL EVOL</t>
  </si>
  <si>
    <t>Front. Ecol. Evol.</t>
  </si>
  <si>
    <t>10.3389/fevo.2019.00207</t>
  </si>
  <si>
    <t>ID5ID</t>
  </si>
  <si>
    <t>WOS:000471709000001</t>
  </si>
  <si>
    <t>Boyd, P; Vivian, C</t>
  </si>
  <si>
    <t>Boyd, Philip; Vivian, Chris</t>
  </si>
  <si>
    <t>Should we fertilize oceans or seed clouds? No one knows</t>
  </si>
  <si>
    <t>[Boyd, Philip] Univ Tasmania, Inst Marine &amp; Antarctic Studies, Marine Biogeochem, Hobart, Tas, Australia; [Vivian, Chris] Ctr Environm Fisheries &amp; Aquaculture Sci, Lowestoft, Suffolk, England</t>
  </si>
  <si>
    <t>University of Tasmania; Centre for Environment Fisheries &amp; Aquaculture Science</t>
  </si>
  <si>
    <t>Boyd, P (corresponding author), Univ Tasmania, Inst Marine &amp; Antarctic Studies, Marine Biogeochem, Hobart, Tas, Australia.</t>
  </si>
  <si>
    <t>philip.boyd@utas.edu.au</t>
  </si>
  <si>
    <t>10.1038/d41586-019-01790-7</t>
  </si>
  <si>
    <t>IC9JB</t>
  </si>
  <si>
    <t>WOS:000471297600023</t>
  </si>
  <si>
    <t>Sikora, M; Pitulko, VV; Sousa, VC; Allentoft, ME; Vinner, L; Rasmussen, S; Margaryan, A; Damgaard, PD; de la Fuente, C; Renaud, G; Yang, MA; Fu, QM; Dupanloup, I; Giampoudakis, K; Nogués-Bravo, D; Rahbek, C; Kroonen, G; Peyrot, M; McColl, H; Vasilyev, SV; Veselovskaya, E; Gerasimova, M; Pavlova, EY; Chasnyk, VG; Nikolskiy, PA; Gromov, AV; Khartanovich, VI; Moiseyev, V; Grebenyuk, PS; Fedorchenko, AY; Lebedintsev, AI; Slobodin, SB; Malyarchuk, BA; Martiniano, R; Meldgaard, M; Arppe, L; Palo, JU; Sundell, T; Mannermaa, K; Putkonen, M; Alexandersen, V; Primeau, C; Baimukhanov, N; Malhi, RS; Sjögren, KG; Kristiansen, K; Wessman, A; Sajantila, A; Lahr, MM; Durbin, R; Nielsen, R; Meltzer, DJ; Excoffier, L; Willerslev, E</t>
  </si>
  <si>
    <t>Sikora, Martin; Pitulko, Vladimir V.; Sousa, Vitor C.; Allentoft, Morten E.; Vinner, Lasse; Rasmussen, Simon; Margaryan, Ashot; Damgaard, Peter de Barros; de la Fuente, Constanza; Renaud, Gabriel; Yang, Melinda A.; Fu, Qiaomei; Dupanloup, Isabelle; Giampoudakis, Konstantinos; Nogues-Bravo, David; Rahbek, Carsten; Kroonen, Guus; Peyrot, Michael; McColl, Hugh; Vasilyev, Sergey V.; Veselovskaya, Elizaveta; Gerasimova, Margarita; Pavlova, Elena Y.; Chasnyk, Vyacheslav G.; Nikolskiy, Pavel A.; Gromov, Andrei V.; Khartanovich, Valeriy I.; Moiseyev, Vyacheslav; Grebenyuk, Pavel S.; Fedorchenko, Alexander Yu.; Lebedintsev, Alexander I.; Slobodin, Sergey B.; Malyarchuk, Boris A.; Martiniano, Rui; Meldgaard, Morten; Arppe, Laura; Palo, Jukka U.; Sundell, Tarja; Mannermaa, Kristiina; Putkonen, Mikko; Alexandersen, Verner; Primeau, Charlotte; Baimukhanov, Nurbol; Malhi, Ripan S.; Sjogren, Karl-Goran; Kristiansen, Kristian; Wessman, Anna; Sajantila, Antti; Lahr, Marta Mirazon; Durbin, Richard; Nielsen, Rasmus; Meltzer, David J.; Excoffier, Laurent; Willerslev, Eske</t>
  </si>
  <si>
    <t>The population history of northeastern Siberia since the Pleistocene</t>
  </si>
  <si>
    <t>GENOME SEQUENCE; ARCHAEOLOGICAL RECORD; YANA RHS; ANCIENT; ADMIXTURE; DNA; DISPERSAL; FRAMEWORK; NEANDERTHAL; DISCOVERY</t>
  </si>
  <si>
    <t>Northeastern Siberia has been inhabited by humans for more than 40,000 years but its deep population history remains poorly understood. Here we investigate the late Pleistocene population history of northeastern Siberia through analyses of 34 newly recovered ancient genomes that date to between 31,000 and 600 years ago. We document complex population dynamics during this period, including at least three major migration events: an initial peopling by a previously unknown Palaeolithic population of 'Ancient North Siberians' who are distantly related to early West Eurasian hunter-gatherers; the arrival of East Asian-related peoples, which gave rise to 'Ancient Palaeo-Siberians' who are closely related to contemporary communities from far-northeastern Siberia (such as the Koryaks), as well as Native Americans; and a Holocene migration of other East Asian-related peoples, who we name 'Neo-Siberians', and from whom many contemporary Siberians are descended. Each of these population expansions largely replaced the earlier inhabitants, and ultimately generated the mosaic genetic make-up of contemporary peoples who inhabit a vast area across northern Eurasia and the Americas.</t>
  </si>
  <si>
    <t>[Sikora, Martin; Allentoft, Morten E.; Vinner, Lasse; Margaryan, Ashot; Damgaard, Peter de Barros; de la Fuente, Constanza; Renaud, Gabriel; McColl, Hugh; Meldgaard, Morten; Lahr, Marta Mirazon; Nielsen, Rasmus; Meltzer, David J.; Willerslev, Eske] Univ Copenhagen, Lundbeck Fdn, GeoGenet Ctr, Copenhagen, Denmark; [Pitulko, Vladimir V.; Pavlova, Elena Y.; Nikolskiy, Pavel A.] Russian Acad Sci, Inst Hist Mat Culture, Palaeolith Dept, St Petersburg, Russia; [Sousa, Vitor C.] Univ Lisbon, Fac Ciencias, Ctr Ecol Evolut &amp; Environm Changes, Lisbon, Portugal; [Sousa, Vitor C.; Excoffier, Laurent] Univ Bern, Inst Ecol &amp; Evolut, Bern, Switzerland; [Sousa, Vitor C.; Excoffier, Laurent] Swiss Inst Bioinformat, Lausanne, Switzerland; [Rasmussen, Simon] Tech Univ Denmark, Dept Syst Biol, Ctr Biol Sequence Anal, Copenhagen, Denmark; [Yang, Melinda A.; Fu, Qiaomei] Chinese Acad Sci, Inst Vertebrate Paleontol &amp; Paleoanthropol, Ctr Excellence Life &amp; Paleoenvironm, Key Lab Vertebrate Evolut &amp; Human Origins, Beijing, Peoples R China; [Dupanloup, Isabelle] Swiss Integrat Ctr Human Hlth SA, Fribourg, Switzerland; [Giampoudakis, Konstantinos; Nogues-Bravo, David; Rahbek, Carsten] Univ Copenhagen, Nat Hist Museum Denmark, Ctr Macroecol Evolut &amp; Climate, Copenhagen, Denmark; [Kroonen, Guus] Univ Copenhagen, Dept Nord Studies &amp; Linguist, Copenhagen, Denmark; [Kroonen, Guus; Peyrot, Michael] Leiden Univ, Ctr Linguist, Leiden, Netherlands; [Vasilyev, Sergey V.; Veselovskaya, Elizaveta; Gerasimova, Margarita] Russian Acad Sci, Inst Ethnol &amp; Anthropol, Moscow, Russia; [Veselovskaya, Elizaveta] RSUH, Moscow, Russia; [Pavlova, Elena Y.] Arctic &amp; Antarctic Res Inst, Polar Geog Dept, St Petersburg, Russia; [Chasnyk, Vyacheslav G.] St Petersburg Pediat Med Univ, St Petersburg, Russia; [Nikolskiy, Pavel A.] Russian Acad Sci, Geol Inst, Moscow, Russia; [Gromov, Andrei V.; Khartanovich, Valeriy I.; Moiseyev, Vyacheslav] Russian Acad Sci, Peter Great Museum Anthropol &amp; Ethnog, St Petersburg, Russia; [Grebenyuk, Pavel S.; Lebedintsev, Alexander I.; Slobodin, Sergey B.] Russian Acad Sci, Far East Branch, North East Interdisciplinary Sci Res Inst, Magadan, Russia; [Grebenyuk, Pavel S.] Northeast State Univ, Magadan, Russia; [Fedorchenko, Alexander Yu.] Russian Acad Sci, Siberian Branch, Inst Archaeol &amp; Ethnog, Novosibirsk, Russia; [Malyarchuk, Boris A.] Russian Acad Sci, Far East Branch, Inst Biol Problems North, Magadan, Russia; [Martiniano, Rui; Durbin, Richard] Univ Cambridge, Dept Genet, Cambridge, England; [Meldgaard, Morten] Univ Greenland, Nuuk, Greenland; [Arppe, Laura] Univ Helsinki, Finnish Museum Nat Hist, Helsinki, Finland; [Palo, Jukka U.; Putkonen, Mikko; Sajantila, Antti] Univ Helsinki, Dept Forens Med, Helsinki, Finland; [Palo, Jukka U.] Natl Inst Hlth &amp; Welf, Forens Genet Unit, Helsinki, Finland; [Sundell, Tarja; Mannermaa, Kristiina; Wessman, Anna] Univ Helsinki, Dept Cultures, Archaeol, Helsinki, Finland; [Sundell, Tarja] Univ Helsinki, Inst Biotechnol, Helsinki, Finland; [Alexandersen, Verner; Primeau, Charlotte] Univ Copenhagen, Dept Forens Med, Lab Biol Anthropol, Copenhagen, Denmark; [Baimukhanov, Nurbol] Shejire DNA, Alma Ata, Kazakhstan; [Malhi, Ripan S.] Univ Illinois, Dept Anthropol, Urbana, IL USA; [Malhi, Ripan S.] Univ Illinois, Carl R Woese Inst Genom Biol, Urbana, IL USA; [Sjogren, Karl-Goran; Kristiansen, Kristian] Univ Gothenburg, Dept Hist Studies, Gothenburg, Sweden; [Wessman, Anna] Univ Turku, Dept Archaeol, Turku, Finland; [Lahr, Marta Mirazon] Univ Cambridge, Dept Archaeol, Leverhulme Ctr Human Evolutionary Studies, Cambridge, England; [Durbin, Richard; Willerslev, Eske] Wellcome Sanger Inst, Cambridge, England; [Nielsen, Rasmus] Univ Calif Berkeley, Dept Integrat Biol, Berkeley, CA 94720 USA; [Meltzer, David J.] Southern Methodist Univ, Dept Anthropol, Dallas, TX 75275 USA; [Willerslev, Eske] Univ Cambridge, Dept Zool, GeoGenet Grp, Cambridge, England; [Willerslev, Eske] Univ Southern Denmark, Danish Inst Adv Study, Odense, Denmark; [Rasmussen, Simon] Univ Copenhagen, Fac Hlth &amp; Med Sci, Novo Nordisk Fdn, Ctr Prot Res, Copenhagen, Denmark; [de la Fuente, Constanza] Univ Chicago, Human Genet Dept, Chicago, IL 60637 USA</t>
  </si>
  <si>
    <t>Lundbeckfonden; University of Copenhagen; Russian Academy of Sciences; St. Petersburg Scientific Centre of the Russian Academy of Sciences; Institute for the History of Material Culture, Russian Academy of Sciences; Universidade de Lisboa; University of Bern; Swiss Institute of Bioinformatics; Technical University of Denmark; Chinese Academy of Sciences; Institute of Vertebrate Paleontology &amp; Paleoanthropology, CAS; University of Copenhagen; University of Copenhagen; Leiden University - Excl LUMC; Leiden University; Russian Academy of Sciences; N.N. Miklukho-Maklai Institute of Ethnology &amp; Anthropology; Russian State University for the Humanities; Arctic &amp; Antarctic Research Institute; Saint Petersburg State Pediatric Medical University; Geological Institute, Russian Academy of Sciences; Russian Academy of Sciences; Russian Academy of Sciences; The Kunstkamera; Russian Academy of Sciences; Russian Academy of Sciences; Institute of Archaeology &amp; Ethnography, Siberian Branch of Russian Academy of Sciences; Institute of Biological Problems of the North; Russian Academy of Sciences; University of Cambridge; University of Helsinki; University of Helsinki; Finland National Institute for Health &amp; Welfare; University of Helsinki; University of Helsinki; University of Copenhagen; University of Illinois System; University of Illinois Urbana-Champaign; University of Illinois System; University of Illinois Urbana-Champaign; University of Gothenburg; University of Turku; University of Cambridge; Wellcome Trust Sanger Institute; University of California System; University of California Berkeley; Southern Methodist University; University of Cambridge; University of Southern Denmark; University of Copenhagen; Novo Nordisk Foundation; University of Chicago</t>
  </si>
  <si>
    <t>Sikora, M; Willerslev, E (corresponding author), Univ Copenhagen, Lundbeck Fdn, GeoGenet Ctr, Copenhagen, Denmark.;Pitulko, VV (corresponding author), Russian Acad Sci, Inst Hist Mat Culture, Palaeolith Dept, St Petersburg, Russia.;Excoffier, L (corresponding author), Univ Bern, Inst Ecol &amp; Evolut, Bern, Switzerland.;Excoffier, L (corresponding author), Swiss Inst Bioinformat, Lausanne, Switzerland.;Willerslev, E (corresponding author), Wellcome Sanger Inst, Cambridge, England.;Willerslev, E (corresponding author), Univ Cambridge, Dept Zool, GeoGenet Grp, Cambridge, England.;Willerslev, E (corresponding author), Univ Southern Denmark, Danish Inst Adv Study, Odense, Denmark.</t>
  </si>
  <si>
    <t>martin.sikora@bio.ku.dk; pitulko.vladimir@gmail.com; laurent.excoffier@iee.unibe.ch; ewillerslev@bio.ku.dk</t>
  </si>
  <si>
    <t>Rasmussen, Simon/AAA-2308-2020; Moiseyev, Vyacheslav/AAD-2659-2019; Pitulko, Vladimir/N-4009-2019; Martiniano, Rui/AAE-7748-2020; Lebedintsev, Alexander/ABA-1873-2021; Rahbek, Carsten/GVQ-0752-2022; Willerslev, Eske/AAA-5686-2019; Khartanovich, Valeri I/H-1872-2017; Rasmussen, Simon/G-6258-2016; Sajantila, Antti/AAY-9084-2021; Durbin, Richard/AAE-7178-2019; Dupanloup, Isabelle/AAD-5372-2020; Pavlova, Elena/AAA-3291-2019; Vasilyev, Sergey/ABI-5494-2020; Veselovskaya, Elizaveta/AAU-9721-2020; de la Fuente, Constanza/HHS-7309-2022; Willerslev, Eske/A-9619-2011; Renaud, Gabriel/I-6662-2015; Gromov, Andrey/AAD-2989-2019; Nikolskiy, Pavel/JNT-4697-2023; Excoffier, Laurent/D-3498-2013; Castro, Constanza/KHV-4626-2024; Sousa, Vitor C/P-1871-2016; Nikolskiy, Pavel A/C-5041-2012; Grebenyuk, Pavel S/F-6257-2017; Wessman, Anna/AAL-6694-2021; Sikora, Martin/C-8609-2015; Gerasimova, Margarita/AAU-5386-2020; Fedorchenko, Alexander/D-5485-2016; Pitulko, Vladimir/E-2200-2015; Malyarchuk, Boris/D-5783-2018</t>
  </si>
  <si>
    <t>Rasmussen, Simon/0000-0001-6323-9041; Martiniano, Rui/0000-0003-0216-778X; Rahbek, Carsten/0000-0003-4585-0300; Khartanovich, Valeri I/0000-0002-5533-0686; Durbin, Richard/0000-0002-9130-1006; Vasilyev, Sergey/0000-0003-0128-6568; de la Fuente, Constanza/0000-0002-2857-3615; Willerslev, Eske/0000-0002-7081-6748; Excoffier, Laurent/0000-0002-7507-6494; Sousa, Vitor C/0000-0003-3575-0875; Wessman, Anna/0000-0001-6886-5455; Sikora, Martin/0000-0003-2818-8319; Gerasimova, Margarita/0000-0002-4502-3586; Meltzer, David/0000-0001-8084-9802; Peyrot, Michael/0000-0002-5983-9690; Mannermaa, Kristiina/0000-0002-8510-1120; Fedorchenko, Alexander/0000-0001-7812-8037; Nogues-Bravo, David/0000-0002-4060-0153; Pavlova, Elena/0000-0002-3010-6290; Primeau, Charlotte/0000-0001-9648-7607; Gromov, Andrey/0000-0002-3263-3801; McColl, Hugh/0000-0002-7568-4270; Renaud, Gabriel/0000-0002-0630-027X; Kroonen, Guus/0000-0002-3708-0476; BAIMUKHANOV, NURBOL/0000-0003-3617-1007; Pitulko, Vladimir/0000-0001-5672-2756; Sjogren, Karl-Goran/0000-0003-1791-3175; Margaryan, Ashot/0000-0002-2576-2429; Sajantila, Antti/0000-0003-4117-5248; Allentoft, Morten/0000-0003-4424-3568; Vinner, Lasse/0000-0002-3081-3702; Mirazon Lahr, Marta/0000-0001-5752-5770; Malyarchuk, Boris/0000-0002-0304-0652</t>
  </si>
  <si>
    <t>Lundbeck Foundation; Danish National Research Foundation [KU2016]; Novo Nordisk Foundation; Wellcome Trust (GeoGenetics); Swiss NSF [310030B-166605, 31003A-143393]; Portuguese FCT [UID/BIA/00329/2013]; Russian Science Foundation [16-18-10265-RNF]; Rock Foundation of New York, USA; Quest Archaeological Research Program; RFBR [19-09-00144, 18-09-00349]; IAET SB RAS [0329-2019-0001]; EMBO [ALTF 133-2017]; Wellcome grant [WT207492]; ERC [ERC-2017-STG 758855, 295907]; Novo Nordisk Foundation [NNF14CC0001]; NSFC [91731303, 41672021, 41630102]; Medicinska understodsforeningen Liv och Halsa r.f.; Finnish Society of Sciences and Letters; Villum Foundation [10120]; [0135-2016-0024]; Russian Science Foundation [19-18-13025] Funding Source: Russian Science Foundation; European Research Council (ERC) [295907] Funding Source: European Research Council (ERC)</t>
  </si>
  <si>
    <t>Lundbeck Foundation(Lundbeckfonden); Danish National Research Foundation(Danmarks Grundforskningsfond); Novo Nordisk Foundation(Novo Nordisk FoundationNovocure Limited); Wellcome Trust (GeoGenetics)(Wellcome Trust); Swiss NSF(Swiss National Science Foundation (SNSF)); Portuguese FCT(Fundacao para a Ciencia e a Tecnologia (FCT)); Russian Science Foundation(Russian Science Foundation (RSF)); Rock Foundation of New York, USA; Quest Archaeological Research Program; RFBR(Russian Foundation for Basic Research (RFBR)); IAET SB RAS; EMBO(European Molecular Biology Organization (EMBO)); Wellcome grant(Wellcome Trust); ERC(European Research Council (ERC)); Novo Nordisk Foundation(Novo Nordisk FoundationNovocure Limited); NSFC(National Natural Science Foundation of China (NSFC)); Medicinska understodsforeningen Liv och Halsa r.f.; Finnish Society of Sciences and Letters; Villum Foundation(Villum Fonden); ; Russian Science Foundation(Russian Science Foundation (RSF)); European Research Council (ERC)(European Research Council (ERC)Spanish Government)</t>
  </si>
  <si>
    <t>We thank F. Shidlovskiy (Ice Age Museum, Moscow) for providing access to the Kolyma1 sample. E.W., D.J.M. and M.S. thank St. John's College (Cambridge University) for providing a congenial environment for scientific discussions. This work was supported by the Lundbeck Foundation, the Danish National Research Foundation, KU2016, the Novo Nordisk Foundation and the Wellcome Trust (GeoGenetics). I.D. and V.C.S. were supported by Swiss NSF grants 310030B-166605 and 31003A-143393 to L.E., and V.C.S. was further supported by Portuguese FCT (UID/BIA/00329/2013). V.V.P., E.Y.P. and P.A.N. are supported by Russian Science Foundation project N 16-18-10265-RNF. P.A.N. is supported by the Federal research program no. 0135-2016-0024. V.V.P., E.Y.P. and V.G. C thank the Rock Foundation of New York, USA for long-term support of the Yana research. D.J.M. is supported by the Quest Archaeological Research Program. P.S.G., A.I.L. and B.A.M. are funded by RFBR (19-09-00144). A.Y.F. was supported by the IAET SB RAS project no. 0329-2019-0001. R.M. was supported by an EMBO Long-Term Fellowship (ALTF 133-2017) and R.D. by Wellcome grant WT207492. M. Peyrot is supported by an ERC starting grant ERC-2017-STG 758855. S.R. was supported by the Novo Nordisk Foundation (NNF14CC0001). Q.F. was supported by NSFC (91731303, 41672021, 41630102). V.I.K. and V. M. are funded by RFBR (18-09-00349), A. S. thanks Medicinska understodsforeningen Liv och Halsa r.f. and the Finnish Society of Sciences and Letters for financial support. M.E.A. was funded by the Villum Foundation (Young Investigator, grant no. 10120). M.M.L. was supported by an ERC advanced grant (no. 295907).</t>
  </si>
  <si>
    <t>10.1038/s41586-019-1279-z</t>
  </si>
  <si>
    <t>WOS:000471297600041</t>
  </si>
  <si>
    <t>Grecian, WJ; Williams, HJ; Votier, SC; Bearhop, S; Cleasby, IR; Grémillet, D; Hamer, KC; Le Nuz, M; Lescroël, A; Newton, J; Patrick, SC; Phillips, RA; Wakefield, ED; Bodey, TW</t>
  </si>
  <si>
    <t>Grecian, W. James; Williams, Hannah J.; Votier, Stephen C.; Bearhop, Stuart; Cleasby, Ian R.; Gremillet, David; Hamer, Keith C.; Le Nuz, Melanie; Lescroel, Amelie; Newton, Jason; Patrick, Samantha C.; Phillips, Richard A.; Wakefield, Ewan D.; Bodey, Thomas W.</t>
  </si>
  <si>
    <t>Individual Spatial Consistency and Dietary Flexibility in the Migratory Behavior of Northern Gannets Wintering in the Northeast Atlantic</t>
  </si>
  <si>
    <t>individual variation; carry-over effects; Geolocator (GLS); stable isotope analysis (SIA); animal migration</t>
  </si>
  <si>
    <t>STABLE-ISOTOPES; FORAGING BEHAVIOR; MARINE PREDATOR; BODY CONDITION; SITE FIDELITY; SULA-BASSANA; R PACKAGE; SPECIALIZATION; CONSEQUENCES; SEABIRDS</t>
  </si>
  <si>
    <t>Migration is a fundamental behavioral process prevalent among a wide variety of animal taxa. As individuals are increasingly shown to present consistent responses to environmental cues for breeding or foraging, it may be expected that approaches to migration would present similar among-individual consistencies. Seabirds frequently show consistent individual differences in a range of traits related to foraging and space-use during both the breeding and non-breeding seasons, but the causes and consequences of this consistency are poorly understood. In this study, we combined analysis of geolocation and stable isotope data across multiple years to investigate individual variation in the non-breeding movements and diets of northern gannets Morus bassanus, and the consequences for changes in body condition. We found that individuals were highly repeatable in their non-breeding destination over consecutive years even though the population-level non-breeding distribution spanned &gt;35 degrees of latitude. Isotopic signatures were also strongly repeatable, with individuals assigned to one of two dietary clusters defined by their distinct trophic (delta N-15) and spatial (delta C-13) position. The only non-breeding destination in which the two dietary clusters co-occurred was off the coast of northwest Africa. The majority of individuals adopted a consistent foraging strategy, as they remained within the same dietary cluster across years, with little variation in body mass corrected for size among these consistent individuals. In contrast, the few individuals that switched clusters between years were in better condition relative to the rest of the population, suggesting there may be benefits to flexibility during the non-breeding period. Our results indicate that a consistent migratory strategy can be effective regardless of wintering region or diet, but that there may be benefits to those individuals able to display flexibility. This appears to be an important behavioral strategy that may enhance individual condition.</t>
  </si>
  <si>
    <t>[Grecian, W. James] Univ St Andrews, Scottish Oceans Inst, Sea Mammal Res Unit, St Andrews, Fife, Scotland; [Williams, Hannah J.; Bearhop, Stuart; Cleasby, Ian R.; Bodey, Thomas W.] Univ Exeter, Ctr Ecol &amp; Conservat, Penryn, Cornwall, England; [Williams, Hannah J.] Swansea Univ, Coll Sci, Swansea Lab Anim Movement, Dept Biosci, Swansea, W Glam, Wales; [Votier, Stephen C.] Univ Exeter, Environm &amp; Sustainabil Inst, Penryn, Cornwall, England; [Cleasby, Ian R.] RSPB Ctr Conservat Sci, Inverness, Scotland; [Gremillet, David; Lescroel, Amelie] Univ Montpellier, Univ Paul Valery Montpelller, EPHE, Ctr Ecol Fonct &amp; Evolut,UMR 5175 CNRS, Montpellier, France; [Gremillet, David] Univ Cape Town, Percy FitzPatrick Inst African Ornithol, DST NRF Ctr Excellence, Cape Town, South Africa; [Hamer, Keith C.] Univ Leeds, Sch Biol, Leeds, W Yorkshire, England; [Le Nuz, Melanie] Reserve Nat Sept Iles, Ligue Protect Oiseaux, Pleumeur Bodou, France; [Lescroel, Amelie] Point Blue Conservat Sci, Petaluma, CA USA; [Newton, Jason] Scottish Univ Environm Res Ctr, Nat Environm Res Council, Life Sci Mass Spectrometry Facil, East Kilbride, Scotland; [Patrick, Samantha C.] Univ Liverpool, Sch Environm Sci, Liverpool, Merseyside, England; [Phillips, Richard A.] British Antarctic Survey, Nat Environm Res Council, Cambridge, England; [Wakefield, Ewan D.] Univ Glasgow, Inst Biodivers Anim Hlth &amp; Comparat Med, Coll Med Vet &amp; Life Sci, Glasgow, Lanark, Scotland; [Bodey, Thomas W.] Univ Auckland, Sch Biol Sci, Auckland, New Zealand</t>
  </si>
  <si>
    <t>University of St Andrews; University of Exeter; Swansea University; University of Exeter; Royal Society for Protection of Birds; Universite PSL; Ecole Pratique des Hautes Etudes (EPHE); Institut Agro; Montpellier SupAgro; CIRAD; Centre National de la Recherche Scientifique (CNRS); Institut de Recherche pour le Developpement (IRD); Universite Paul-Valery; Universite de Montpellier; University of Cape Town; National Research Foundation - South Africa; University of Leeds; University of Liverpool; UK Research &amp; Innovation (UKRI); Natural Environment Research Council (NERC); NERC British Antarctic Survey; University of Glasgow; University of Auckland</t>
  </si>
  <si>
    <t>Grecian, WJ (corresponding author), Univ St Andrews, Scottish Oceans Inst, Sea Mammal Res Unit, St Andrews, Fife, Scotland.;Williams, HJ; Bodey, TW (corresponding author), Univ Exeter, Ctr Ecol &amp; Conservat, Penryn, Cornwall, England.;Williams, HJ (corresponding author), Swansea Univ, Coll Sci, Swansea Lab Anim Movement, Dept Biosci, Swansea, W Glam, Wales.;Bodey, TW (corresponding author), Univ Auckland, Sch Biol Sci, Auckland, New Zealand.</t>
  </si>
  <si>
    <t>wjg5@st-andrews.ac.uk; h.williams@swansea.ac.uk; t.w.bodey@exeter.ac.uk</t>
  </si>
  <si>
    <t>Bearhop, Stuart/G-3105-2012; Votier, Stephen/IUO-0154-2023; Newton, Jason/A-9536-2009; williams, hannah Jane/X-6156-2019; Grecian, James/A-7689-2012</t>
  </si>
  <si>
    <t>Votier, Stephen/0000-0002-0976-0167; Newton, Jason/0000-0001-7594-3693; williams, hannah Jane/0000-0002-6338-529X; Grecian, James/0000-0002-6428-719X; Bodey, Thomas/0000-0002-5334-9615</t>
  </si>
  <si>
    <t>UK Natural Environment Research Council (NERC Standard Grant) [NE/H007466/1]; ERC consolidator's grant [310820: STATEMIG]; NERC (Independent Research Fellowship) [NE/M017990/1]; NERC [lsmsf010002, NE/M017990/1, bas0100035, NBAF010001] Funding Source: UKRI</t>
  </si>
  <si>
    <t>UK Natural Environment Research Council (NERC Standard Grant)(UK Research &amp; Innovation (UKRI)Natural Environment Research Council (NERC)); ERC consolidator's grant; NERC (Independent Research Fellowship)(UK Research &amp; Innovation (UKRI)Natural Environment Research Council (NERC)); NERC(UK Research &amp; Innovation (UKRI)Natural Environment Research Council (NERC))</t>
  </si>
  <si>
    <t>This study was funded by the UK Natural Environment Research Council (NERC Standard Grant NE/H007466/1). SB is currently funded by an ERC consolidator's grant (310820: STATEMIG). EW is funded by the NERC (Independent Research Fellowship NE/M017990/1). Tissue samples were collected under license from the UK Home Office (PPL 40/3408).</t>
  </si>
  <si>
    <t>JUN 12</t>
  </si>
  <si>
    <t>10.3389/fevo.2019.00214</t>
  </si>
  <si>
    <t>ID5HR</t>
  </si>
  <si>
    <t>WOS:000471707800001</t>
  </si>
  <si>
    <t>Lisé-Pronovost, A; Fletcher, MS; Mallett, T; Mariani, M; Lewis, R; Gadd, PS; Herries, AIR; Blaauw, M; Heijnis, H; Hodgson, DA; Pedro, JB</t>
  </si>
  <si>
    <t>Lise-Pronovost, Agathe; Fletcher, Michael-Shawn; Mallett, Tom; Mariani, Michela; Lewis, Richard; Gadd, Patricia S.; Herries, Andy I. R.; Blaauw, Maarten; Heijnis, Hendrik; Hodgson, Dominic A.; Pedro, Joel B.</t>
  </si>
  <si>
    <t>Scientific drilling of sediments at Darwin Crater, Tasmania</t>
  </si>
  <si>
    <t>SCIENTIFIC DRILLING</t>
  </si>
  <si>
    <t>WESTERN TASMANIA; CLIMATE-CHANGE; DIAGENETIC MINERALS; LAKE; VEGETATION; CO2; HISTORY</t>
  </si>
  <si>
    <t>A 70 m long continental sediment record was recovered at Darwin Crater in western Tasmania, Australia. The sediment succession includes a pre-lake silty sand deposit overlain by lacustrine silts that have accumulated in the similar to 816 ka meteorite impact crater. A total of 160 m of overlapping sediment cores were drilled from three closely spaced holes. Here we report on the drilling operations at Darwin Crater and present the first results from petrophysical whole core logging, lithological core description, and multi-proxy pilot analysis of core end samples. The multi-proxy dataset includes spectrophotometry, grain size, natural gamma rays, paleo- and rock magnetism, loss on ignition, and pollen analyses. The results provide clear signatures of alternating, distinctly different lithologies likely representing glacial and interglacial sediment facies. Initial paleomagnetic analysis indicate normal magnetic polarity in the deepest core at Hole B. If acquired at the time of deposition, this result indicates that the sediment 1 m below commencement of lacustrine deposition post-date the Matuyama-Brunhes geomagnetic reversal similar to 773 ka.</t>
  </si>
  <si>
    <t>[Lise-Pronovost, Agathe] Univ Melbourne, Sch Earth Sci, Melbourne, Vic, Australia; [Lise-Pronovost, Agathe; Mallett, Tom; Herries, Andy I. R.] La Trobe Univ, Dept Archaeol &amp; Hist, Australian Archaeomagnetism Lab, Melbourne Campus, Bundoora, Vic 3086, Australia; [Fletcher, Michael-Shawn; Mariani, Michela] Univ Melbourne, Sch Geog, Melbourne, Vic, Australia; [Mariani, Michela] Univ Nottingham, Sch Geog, Nottingham, England; [Lewis, Richard] Univ Adelaide, Sch Earth &amp; Environm Sci, Adelaide, SA, Australia; [Gadd, Patricia S.; Heijnis, Hendrik] Australian Nucl Sci &amp; Technol Org, Lucas Heights, NSW, Australia; [Blaauw, Maarten] Queens Univ Belfast, Sch Nat &amp; Built Environm, Belfast, Antrim, North Ireland; [Hodgson, Dominic A.] British Antarctic Survey, Cambridge CB3 0ET, England; [Hodgson, Dominic A.] Univ Durham, Dept Geog, Durham DH1 3LE, England; [Pedro, Joel B.] Univ Tasmania, Antarctic Climate &amp; Ecosyst CRC, Hobart, Tas 7001, Australia</t>
  </si>
  <si>
    <t>University of Melbourne; Melbourne Bioinformatics; La Trobe University; Melbourne Genomics Health Alliance; University of Melbourne; University of Nottingham; University of Adelaide; Australian Nuclear Science &amp; Technology Organisation; Queens University Belfast; UK Research &amp; Innovation (UKRI); Natural Environment Research Council (NERC); NERC British Antarctic Survey; Durham University; University of Tasmania</t>
  </si>
  <si>
    <t>Lisé-Pronovost, A (corresponding author), Univ Melbourne, Sch Earth Sci, Melbourne, Vic, Australia.;Lisé-Pronovost, A (corresponding author), La Trobe Univ, Dept Archaeol &amp; Hist, Australian Archaeomagnetism Lab, Melbourne Campus, Bundoora, Vic 3086, Australia.</t>
  </si>
  <si>
    <t>agathe.lise@unimelb.edu.au</t>
  </si>
  <si>
    <t>Heijnis, Hendrik/A-6673-2010; Pedro, Joel Benjamin/L-8918-2019; Blaauw, Maarten/E-4539-2011; MARIANI, MICHELA/P-9787-2019; Fletcher, Michael-Shawn/AFR-2451-2022</t>
  </si>
  <si>
    <t>Pedro, Joel Benjamin/0000-0002-0728-2712; Blaauw, Maarten/0000-0002-5680-1515; MARIANI, MICHELA/0000-0003-1996-3694; Fletcher, Michael-Shawn/0000-0002-1854-5629; Herries, Andy/0000-0002-2905-2002; Gadd, Patricia/0000-0001-6725-1603; Heijnis, Hendrik/0000-0002-7601-3452; Lise-Pronovost, Agathe/0000-0002-7977-0512</t>
  </si>
  <si>
    <t>Australian Research Council (ARC) [IN170100062]; McKenzie Fellowship at the University of Melbourne; La Trobe University's Deputy Vice Chancellor Research (DVCR); La Trobe University Postgraduate Research Scholarship; European Research Council under the European Union; ERC [610055]; NERC [bas0100030] Funding Source: UKRI; European Research Council (ERC) [610055] Funding Source: European Research Council (ERC); Australian Research Council [IN170100062] Funding Source: Australian Research Council</t>
  </si>
  <si>
    <t>Australian Research Council (ARC)(Australian Research Council); McKenzie Fellowship at the University of Melbourne; La Trobe University's Deputy Vice Chancellor Research (DVCR); La Trobe University Postgraduate Research Scholarship; European Research Council under the European Union(European Research Council (ERC)); ERC(European Research Council (ERC)); NERC(UK Research &amp; Innovation (UKRI)Natural Environment Research Council (NERC)); European Research Council (ERC)(European Research Council (ERC)Spanish Government); Australian Research Council(Australian Research Council)</t>
  </si>
  <si>
    <t>Thanks to Max Harvey and Adam Debresteli for drilling operations and Bruce Maxwell for helicopter transport. Thanks to Malcolm Wallace and David Belton for fruitful discussions, Brad Dodrill from Lake Shore for performing FORC analysis, Rachael Fletcher for pollen sample preparation, and Chee Hoe Chuan for LOI analysis. This project is funded by the Australian Research Council (ARC) Discovery Indigenous project IN170100062 to Michael S. Fletcher and Agathe Lise-Pronovost. Agathe Lise-Pronovost is supported by a McKenzie Fellowship at the University of Melbourne and funding from La Trobe University's Deputy Vice Chancellor Research (DVCR). Tom Mallett is supported by a La Trobe University Postgraduate Research Scholarship. Joel B. Pedro acknowledges support from the European Research Council under the European Union's Seventh Framework Programme (FP7/2007-2013) and ERC grant agreement no. 610055 (the ice2ice project).</t>
  </si>
  <si>
    <t>1816-8957</t>
  </si>
  <si>
    <t>1816-3459</t>
  </si>
  <si>
    <t>SCI DRILL</t>
  </si>
  <si>
    <t>Sci. Drill.</t>
  </si>
  <si>
    <t>10.5194/sd-25-1-2019</t>
  </si>
  <si>
    <t>ID3TG</t>
  </si>
  <si>
    <t>Green Published, Green Accepted, gold, Green Submitted</t>
  </si>
  <si>
    <t>WOS:000471599400001</t>
  </si>
  <si>
    <t>Hara, K; Sudo, K; Ohnishi, T; Osada, K; Yabuki, M; Shiobara, M; Yamanouchi, T</t>
  </si>
  <si>
    <t>Hara, Keiichiro; Sudo, Kengo; Ohnishi, Takato; Osada, Kazuo; Yabuki, Masanori; Shiobara, Masataka; Yamanouchi, Takashi</t>
  </si>
  <si>
    <t>Seasonal features and origins of carbonaceous aerosols at Syowa Station, coastal Antarctica</t>
  </si>
  <si>
    <t>MODERN DUST TRANSPORT; BLACK-CARBON; ICE CORE; ATMOSPHERIC CIRCULATION; ATLANTIC SECTOR; BROWN CARBON; MINERAL DUST; SOUTHERN; SNOW; SOOT</t>
  </si>
  <si>
    <t>We have measured black carbon (BC) concentrations at Syowa Station, Antarctica, since February 2005. The measured BC concentrations in 2005-2016 were corrected to equivalent BC (EBC) concentrations using Weingartner's method. Seasonal features of EBC concentrations, long-range transport from mid-latitudes to the Antarctic coast, and their origins were characterized. Results show that daily median EBC concentrations were below the detection limit (0.2 ng m(-3)) to 63.8 ng m(-3) at Syowa Station (median, 1.8 ng m(-3); mean, 2.7 ng m(-3) during the measurement period of February 2005-December 2016). Although seasonal features and year-to-year variations in EBC concentrations were observed, no long-term trend of EBC concentrations was clear during our measurement period. Seasonal features of EBC concentrations showed a spring maximum during September-October at Syowa Station. To elucidate EBC transport processes, origins, and the potential source area (PSA), we compared EBC data to backward trajectory analysis and chemical transport model simulation. From comparison with backward trajectory, high EBC concentrations were found in air masses from the marine boundary layer. This finding implies that transport via the marine boundary layer was the most important transport pathway to EBC concentrations at Antarctic coasts. Some EBC was supplied to the Antarctic region by transport via the upper free troposphere. Chemical transport model simulation demonstrated that the most important origins and PSA of EBC at Syowa Station were biomass burning in South America and southern Africa. Fossil fuel combustion in South America and southern Africa also have important contributions. The absorption Angstrom exponent (AAE) showed clear seasonal features with 0.5-1.0 during April-October and maximum (1.0-1.5) in December-February. The AAE features might be associated with organic aerosols and mixing states of EBC.</t>
  </si>
  <si>
    <t>[Hara, Keiichiro] Fukuoka Univ, Fac Sci, Dept Earth Syst Sci, Fukuoka, Fukuoka 8140180, Japan; [Sudo, Kengo; Ohnishi, Takato; Osada, Kazuo] Nagoya Univ, Grad Sch Environm Studies, Nagoya, Aichi 4648601, Japan; [Yabuki, Masanori] Kyoto Univ, Res Inst Sustainable Humanosphere, Kyoto 6110011, Japan; [Shiobara, Masataka; Yamanouchi, Takashi] Natl Inst Polar Res, Tokyo 1900014, Japan</t>
  </si>
  <si>
    <t>Fukuoka University; Nagoya University; Kyoto University; Research Organization of Information &amp; Systems (ROIS); National Institute of Polar Research (NIPR) - Japan</t>
  </si>
  <si>
    <t>Hara, K (corresponding author), Fukuoka Univ, Fac Sci, Dept Earth Syst Sci, Fukuoka, Fukuoka 8140180, Japan.</t>
  </si>
  <si>
    <t>harakei@fukuoka-u.ac.jp</t>
  </si>
  <si>
    <t>Sudo, Kengo/I-6394-2014; Yamanouchi, Takashi/P-2041-2015; Osada, Kazuo/I-6395-2014; Hara, Keiichiro/N-8264-2018</t>
  </si>
  <si>
    <t>Sudo, Kengo/0000-0002-5013-4168; Osada, Kazuo/0000-0003-3100-5835; Hara, Keiichiro/0000-0001-7440-7776; Yamanouchi, Takashi/0000-0001-6803-1901</t>
  </si>
  <si>
    <t>National Institute of Polar Research (NIPR) under MEXT; JSPS [22310013, 25, 15H02806]; Grants-in-Aid for Scientific Research [22310013, 15H02806] Funding Source: KAKEN</t>
  </si>
  <si>
    <t>National Institute of Polar Research (NIPR) under MEXT;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</si>
  <si>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study is a part of the Science Program of the Japanese Antarctic Research Expedition (JARE). It was supported by the National Institute of Polar Research (NIPR) under MEXT. This research has been supported by the JSPS Grants-in-Aid for Scientific Research (B) (grant no. 22310013) 25 and the JSPS Grants-in-Aid for Scientific Research (B) (grant no. 15H02806).</t>
  </si>
  <si>
    <t>10.5194/acp-19-7817-2019</t>
  </si>
  <si>
    <t>IC9FX</t>
  </si>
  <si>
    <t>WOS:000471288300002</t>
  </si>
  <si>
    <t>Favier, L; Jourdain, NC; Jenkins, A; Merino, N; Durand, G; Gagliardini, O; Gillet-Chaulet, F; Mathiot, P</t>
  </si>
  <si>
    <t>Favier, Lionel; Jourdain, Nicolas C.; Jenkins, Adrian; Merino, Nacho; Durand, Gael; Gagliardini, Olivier; Gillet-Chaulet, Fabien; Mathiot, Pierre</t>
  </si>
  <si>
    <t>Assessment of sub-shelf melting parameterisations using the ocean-ice-sheet coupled model NEMO(v3.6)-Elmer/Ice(v8.3)</t>
  </si>
  <si>
    <t>PINE ISLAND GLACIER; AMUNDSEN SEA EMBAYMENT; GROUNDING-LINE MIGRATION; WEST ANTARCTICA; THERMOHALINE CIRCULATION; THWAITES GLACIER; RETREAT; SENSITIVITY; STABILITY; BENEATH</t>
  </si>
  <si>
    <t>Oceanic melting beneath ice shelves is the main driver of the current mass loss of the Antarctic ice sheet and is mostly parameterised in stand-alone ice-sheet modelling. Parameterisations are crude representations of reality, and their response to ocean warming has not been compared to 3D ocean-ice-sheet coupled models. Here, we assess various melting parameterisations ranging from simple scalings with far-field thermal driving to emulators of box and plume models, using a new coupling framework combining the ocean model NEMO and the ice-sheet model Elmer/Ice. We define six idealised one-century scenarios for the far-field ocean ranging from cold to warm, and representative of potential futures for typical Antarctic ice shelves. The scenarios are used to constrain an idealised geometry of the Pine Island glacier representative of a relatively small cavity. Melt rates and sea-level contributions obtained with the parameterised stand-alone ice-sheet model are compared to the coupled model results. The plume parameterisations give good results for cold scenarios but fail and underestimate sea level contribution by tens of percent for warm(ing) scenarios, which may be improved by adapting its empirical scaling. The box parameterisation with five boxes compares fairly well to the coupled results for almost all scenarios, but further work is needed to grasp the correct number of boxes. For simple scalings, the comparison to the coupled framework shows that a quadratic as opposed to linear dependency on thermal forcing is required. In addition, the quadratic dependency is improved when melting depends on both local and non-local, i.e. averaged over the ice shelf, thermal forcing. The results of both the box and the two quadratic parameterisations fall within or close to the coupled model uncertainty. All parameterisations overestimate melting for thin ice shelves while underestimating melting in deep water near the grounding line. Further work is therefore needed to assess the validity of these melting parameteriations in more realistic set-ups.</t>
  </si>
  <si>
    <t>[Favier, Lionel; Jourdain, Nicolas C.; Merino, Nacho; Durand, Gael; Gagliardini, Olivier; Gillet-Chaulet, Fabien] Univ Grenoble Alpes, CNRS, IRD, IGE, F-38000 Grenoble, France; [Jenkins, Adrian] British Antarctic Survey, Cambridge CB3 0ET, England; [Mathiot, Pierre] Met Off, Exeter, Devon, England</t>
  </si>
  <si>
    <t>Centre National de la Recherche Scientifique (CNRS); Institut de Recherche pour le Developpement (IRD); Communaute Universite Grenoble Alpes; Universite Grenoble Alpes (UGA); UK Research &amp; Innovation (UKRI); Natural Environment Research Council (NERC); NERC British Antarctic Survey; Met Office - UK</t>
  </si>
  <si>
    <t>Favier, L (corresponding author), Univ Grenoble Alpes, CNRS, IRD, IGE, F-38000 Grenoble, France.</t>
  </si>
  <si>
    <t>lionel.favier@univ-grenoble-alpes.fr</t>
  </si>
  <si>
    <t>Jenkins, Adrian/IUN-2406-2023; Gagliardini, Olivier/GQQ-1222-2022; Jourdain, Nicolas/B-6899-2015</t>
  </si>
  <si>
    <t>Gagliardini, Olivier/0000-0001-9162-3518; Jenkins, Adrian/0000-0002-9117-0616; Mathiot, Pierre/0000-0002-2001-0762; Jourdain, Nicolas/0000-0002-1372-2235; favier, lionel/0000-0002-5392-3031</t>
  </si>
  <si>
    <t>French National Research Agency (ANR) [ANR-15-CE01-0005-01, ANR-15-IDEX-02]; NERC [bas0100033] Funding Source: UKRI</t>
  </si>
  <si>
    <t>French National Research Agency (ANR)(Agence Nationale de la Recherche (ANR)Norwegian Agency for Development Cooperation - NORAD); NERC(UK Research &amp; Innovation (UKRI)Natural Environment Research Council (NERC))</t>
  </si>
  <si>
    <t>This work was funded by the French National Research Agency (ANR) through the TROIS-AS (ANR-15-CE01-0005-01) and the ANR-15-IDEX-02 projects.</t>
  </si>
  <si>
    <t>10.5194/gmd-12-2255-2019</t>
  </si>
  <si>
    <t>IC9FZ</t>
  </si>
  <si>
    <t>Green Submitted, gold, Green Accepted</t>
  </si>
  <si>
    <t>WOS:000471288500001</t>
  </si>
  <si>
    <t>Kaleda, A; Haleva, L; Sarusi, G; Pinsky, T; Mangiagalli, M; Bar Dolev, M; Lotti, M; Nardini, M; Braslavsky, I</t>
  </si>
  <si>
    <t>Kaleda, Aleksei; Haleva, Lotem; Sarusi, Guy; Pinsky, Tova; Mangiagalli, Marco; Bar Dolev, Maya; Lotti, Marina; Nardini, Marco; Braslavsky, Ido</t>
  </si>
  <si>
    <t>Saturn-Shaped Ice Burst Pattern and Fast Basal Binding of an Ice-Binding Protein from an Antarctic Bacterial Consortium</t>
  </si>
  <si>
    <t>LANGMUIR</t>
  </si>
  <si>
    <t>ANTIFREEZE PROTEIN; EPIPHYTIC BACTERIA; CRYSTAL; GROWTH; ADSORPTION; MOSS; SITE</t>
  </si>
  <si>
    <t>Ice-binding proteins (IBPs) bind to ice crystals and control their growth, enabling host organisms to adapt to subzero temperatures. By binding to ice, IBPs can affect the shape and recrystallization of ice crystals. The shapes of ice crystals produced by IBPs vary and are partially due to which ice planes the IBPs are bound to. Previously, we have described a bacterial IBP found in the metagenome of the symbionts of Euplotes focardii (EfcIBP). EfcIBP shows remarkable ice recrystallization inhibition activity. As recrystallization inhibition of IBPs and other materials are important to the cryopreservation of cells and tissues, we speculate that the EfcIBP can play a future role as an ice recrystallization inhibitor in cryopreservation applications. Here we show that EfcIBP results in a Saturn-shaped ice burst pattern, which may be due to the unique ice-plane affinity of the protein that we elucidated using the fluorescent-based ice-plane affinity analysis. EfcIBP binds to ice at a speed similar to that of other moderate IBPs (5 +/- 2 mM(-1) s(-1)); however, it is unique in that it binds to the basal and previously unobserved pyramidal near-basal planes, while other moderate IBPs typically bind to the prism and pyramidal planes and not basal or near basal planes. These insights into EfcIBP allow a better understanding of the recrystallization inhibition for this unique protein.</t>
  </si>
  <si>
    <t>[Kaleda, Aleksei; Haleva, Lotem; Sarusi, Guy; Pinsky, Tova; Bar Dolev, Maya; Braslavsky, Ido] Hebrew Univ Jerusalem, Robert H Smith Fac Agr Food &amp; Environm, Inst Biochem Food Sci &amp; Nutr, IL-7610001 Rehovot, Israel; [Kaleda, Aleksei] Tallinn Univ Technol, Sch Sci, Dept Chem &amp; Biotechnol, Ehitajate Tee 5, EE-19086 Tallinn, Estonia; [Mangiagalli, Marco; Lotti, Marina] Univ Milano Bicocca, Dept Biotechnol &amp; Biosci, Piazza Sci 2, I-20126 Milan, Italy; [Nardini, Marco] Univ Milan, Dept Biosci, Via Celoria 26, I-20133 Milan, Italy</t>
  </si>
  <si>
    <t>Hebrew University of Jerusalem; Tallinn University of Technology; University of Milano-Bicocca; University of Milan</t>
  </si>
  <si>
    <t>Braslavsky, I (corresponding author), Hebrew Univ Jerusalem, Robert H Smith Fac Agr Food &amp; Environm, Inst Biochem Food Sci &amp; Nutr, IL-7610001 Rehovot, Israel.</t>
  </si>
  <si>
    <t>Ido.braslavsky@mail.huji.ac.il</t>
  </si>
  <si>
    <t>Lotti, Marina/AAU-1630-2020; Dolev, Maya Bar/AAG-7771-2020; MANGIAGALLI, MARCO/Q-9988-2018; Braslavsky, Ido/O-1859-2013; Nardini, Marco/B-7842-2017</t>
  </si>
  <si>
    <t>Lotti, Marina/0000-0001-5419-7572; MANGIAGALLI, MARCO/0000-0001-8211-165X; Kaleda, Aleksei/0000-0001-9003-130X; Bar Dolev, Maya/0000-0001-8619-8481; Braslavsky, Ido/0000-0001-8985-8211; Pinsky, Tova/0000-0001-9165-092X; Nardini, Marco/0000-0002-3718-2165</t>
  </si>
  <si>
    <t>grant Progetto Nazionale di Ricerche in Antartide PEA 2014-2016; RISE-MSCA Project Metable; European Research Council [281595]; Israel Science Foundation [930/16]; European Regional Development Fund; European Research Council (ERC) [281595] Funding Source: European Research Council (ERC)</t>
  </si>
  <si>
    <t>grant Progetto Nazionale di Ricerche in Antartide PEA 2014-2016; RISE-MSCA Project Metable; European Research Council(European Research Council (ERC)); Israel Science Foundation(Israel Science Foundation); European Regional Development Fund(European Union (EU)); European Research Council (ERC)(European Research Council (ERC)Spanish Government)</t>
  </si>
  <si>
    <t>This work was partly supported by a grant Progetto Nazionale di Ricerche in Antartide PEA 2014-2016 and the RISE-MSCA Project Metable to M.L. I.B. acknowledges support by European Research Council (grant No. 281595) and by Israel Science Foundation (grant No. 930/16). A.K. acknowledges support by European Regional Development Fund. We thank Sivan Ben Bassat for TH measurements.</t>
  </si>
  <si>
    <t>0743-7463</t>
  </si>
  <si>
    <t>Langmuir</t>
  </si>
  <si>
    <t>JUN 11</t>
  </si>
  <si>
    <t>10.1021/acs.langmuir.8b01914</t>
  </si>
  <si>
    <t>Chemistry, Multidisciplinary; Chemistry, Physical; Materials Science, Multidisciplinary</t>
  </si>
  <si>
    <t>Chemistry; Materials Science</t>
  </si>
  <si>
    <t>ID5PO</t>
  </si>
  <si>
    <t>WOS:000471728600003</t>
  </si>
  <si>
    <t>DeVries, T; Le Quéré, C; Andrews, O; Berthet, S; Hauck, J; Ilyina, T; Landschützer, P; Lenton, A; Lima, ID; Nowicki, M; Schwinger, J; Séférian, R</t>
  </si>
  <si>
    <t>DeVries, Tim; Le Quere, Corinne; Andrews, Oliver; Berthet, Sarah; Hauck, Judith; Ilyina, Tatiana; Landschuetzer, Peter; Lenton, Andrew; Lima, Ivan D.; Nowicki, Michael; Schwinger, Jorg; Seferian, Roland</t>
  </si>
  <si>
    <t>Decadal trends in the ocean carbon sink</t>
  </si>
  <si>
    <t>carbon dioxide; ocean carbon sink; terrestrial carbon sink; climate variability; carbon budget</t>
  </si>
  <si>
    <t>ATMOSPHERIC CO2; VARIABILITY; CLIMATE; DRIVEN; FLUXES; LAND</t>
  </si>
  <si>
    <t>Measurements show large decadal variability in the rate of CO2 accumulation in the atmosphere that is not driven by CO2 emissions. The decade of the 1990s experienced enhanced carbon accumulation in the atmosphere relative to emissions, while in the 2000s, the atmospheric growth rate slowed, even though emissions grew rapidly. These variations are driven by natural sources and sinks of CO2 due to the ocean and the terrestrial biosphere. In this study, we compare three independent methods for estimating oceanic CO2 uptake and find that the ocean carbon sink could be responsible for up to 40% of the observed decadal variability in atmospheric CO2 accumulation. Data-based estimates of the ocean carbon sink from pCO(2) mapping methods and decadal ocean inverse models generally agree on the magnitude and sign of decadal variability in the ocean CO2 sink at both global and regional scales. Simulations with ocean biogeochemical models confirm that climate variability drove the observed decadal trends in ocean CO2 uptake, but also demonstrate that the sensitivity of ocean CO2 uptake to climate variability may be too weak in models. Furthermore, all estimates point toward coherent decadal variability in the oceanic and terrestrial CO2 sinks, and this variability is not well-matched by current global vegetation models. Reconciling these differences will help to constrain the sensitivity of oceanic and terrestrial CO2 uptake to climate variability and lead to improved climate projections and decadal climate predictions.</t>
  </si>
  <si>
    <t>[DeVries, Tim; Nowicki, Michael] Univ Calif Santa Barbara, Dept Geog, Santa Barbara, CA 93106 USA; [DeVries, Tim; Nowicki, Michael] Univ Calif Santa Barbara, Earth Res Inst, Santa Barbara, CA 93106 USA; [Le Quere, Corinne; Andrews, Oliver] Univ East Anglia, Sch Environm Sci, Tyndall Ctr Climate Change Res, Norwich NR4 7TJ, Norfolk, England; [Andrews, Oliver] Univ Bristol, Sch Geog Sci, Bristol BS8 1TH, Avon, England; [Berthet, Sarah; Seferian, Roland] Ctr Natl Rech Meteorol, Unite Mixte Rech, F-31100 Toulouse, France; [Hauck, Judith] Alfred Wegener Inst, Helmholtz Zentrum Polar &amp; Meeresforsch, D-27570 Bremerhaven, Germany; [Ilyina, Tatiana; Landschuetzer, Peter] Max Planck Inst Meteorol, D-20146 Hamburg, Germany; [Lenton, Andrew] CSIRO, Oceans &amp; Atmosphere, Battery Point, Tas 7004, Australia; [Lenton, Andrew] CSIRO Marine Labs, Ctr Southern Hemisphere Oceans Res, Hobart, Tas 7000, Australia; [Lenton, Andrew] Antarctic Climate &amp; Ecosyst Cooperat Res Ctr, Hobart, Tas 7001, Australia; [Lima, Ivan D.] Woods Hole Oceanog Inst, Dept Marine Chem &amp; Geochem, Woods Hole, MA 02543 USA; [Schwinger, Jorg] NORCE Norwegian Res Ctr, Bjerknes Ctr Climate Res, NO-5007 Bergen, Norway</t>
  </si>
  <si>
    <t>University of California System; University of California Santa Barbara; University of California System; University of California Santa Barbara; University of East Anglia; University of Bristol; Helmholtz Association; Alfred Wegener Institute, Helmholtz Centre for Polar &amp; Marine Research; Max Planck Society; Commonwealth Scientific &amp; Industrial Research Organisation (CSIRO); Commonwealth Scientific &amp; Industrial Research Organisation (CSIRO); Antarctic Climate &amp; Ecosystems Cooperative Research Centre (ACE CRC); Woods Hole Oceanographic Institution; Norwegian Research Centre (NORCE); Bjerknes Centre for Climate Research</t>
  </si>
  <si>
    <t>DeVries, T (corresponding author), Univ Calif Santa Barbara, Dept Geog, Santa Barbara, CA 93106 USA.;DeVries, T (corresponding author), Univ Calif Santa Barbara, Earth Res Inst, Santa Barbara, CA 93106 USA.</t>
  </si>
  <si>
    <t>tdevries@geog.ucsb.edu</t>
  </si>
  <si>
    <t>Schwinger, Jörg/AAN-6573-2021; Landschützer, Peter/IQU-3835-2023; Le Quéré, Corinne/C-2631-2017; Lenton, Andrew/D-2077-2012; Séférian, Roland/ABD-5465-2021; Hauck, Judith/AAC-3967-2019; Ilyina, Tatiana/ABE-9164-2020; Lima, Ivan/A-6823-2016</t>
  </si>
  <si>
    <t>Schwinger, Jörg/0000-0002-7525-6882; Landschützer, Peter/0000-0002-7398-3293; Le Quéré, Corinne/0000-0003-2319-0452; Séférian, Roland/0000-0002-2571-2114; Hauck, Judith/0000-0003-4723-9652; Ilyina, Tatiana/0000-0002-3475-4842; Berthet, Sarah/0000-0001-5782-2855; Andrews, Oliver/0000-0002-1921-475X; Lima, Ivan/0000-0001-5345-0652; DeVries, Tim/0000-0002-7771-9430</t>
  </si>
  <si>
    <t>NSF [OCE-1658392]; UK Natural Environment Research Council [NE/P021417/1]; Max Planck Society for the Advancement of Science; Helmholtz Young Investigator Group Marine Carbon and Ecosystem Feedbacks in the Earth System (MarESys) [VH-NG-1301]; H2020 project CRESCENDO Coordinated Research in Earth Systems and Climate: Experiments, Knowledge, Dissemination and Outreach - European Union's Horizon 2020 research and innovation program [641816]; NERC [NE/P021417/1] Funding Source: UKRI</t>
  </si>
  <si>
    <t>NSF(National Science Foundation (NSF)); UK Natural Environment Research Council(UK Research &amp; Innovation (UKRI)Natural Environment Research Council (NERC)); Max Planck Society for the Advancement of Science(Max Planck Society); Helmholtz Young Investigator Group Marine Carbon and Ecosystem Feedbacks in the Earth System (MarESys); H2020 project CRESCENDO Coordinated Research in Earth Systems and Climate: Experiments, Knowledge, Dissemination and Outreach - European Union's Horizon 2020 research and innovation program; NERC(UK Research &amp; Innovation (UKRI)Natural Environment Research Council (NERC))</t>
  </si>
  <si>
    <t>We thank Rebecca Wright and Erik Buitenhuis at University of East Anglia, Norwich, for providing updated runs from the NEMO-PlankTOM5 model. T.D. was supported by NSF Grant OCE-1658392. C.L.Q. thanks the UK Natural Environment Research Council for supporting the SONATA Project (Grant NE/P021417/1). P.L. was supported by the Max Planck Society for the Advancement of Science. J.H. was supported under Helmholtz Young Investigator Group Marine Carbon and Ecosystem Feedbacks in the Earth System (MarESys) Grant VH-NG-1301. S.B. and R.S. were supported by the H2020 project CRESCENDO Coordinated Research in Earth Systems and Climate: Experiments, Knowledge, Dissemination and Outreach, which received funding from the European Union's Horizon 2020 research and innovation program under Grant No 641816. SOCAT is an international effort, endorsed by the International Ocean Carbon Coordination Project, the Surface Ocean-Lower Atmosphere Study, and the Integrated Marine Biosphere Research program, to deliver a uniformly quality-controlled surface ocean CO2 database. The many researchers and funding agencies responsible for the collection of data and quality control are thanked for their contributions to SOCAT.</t>
  </si>
  <si>
    <t>10.1073/pnas.1900371116</t>
  </si>
  <si>
    <t>IC5WM</t>
  </si>
  <si>
    <t>Green Submitted, Green Published, Green Accepted, Bronze</t>
  </si>
  <si>
    <t>WOS:000471039700019</t>
  </si>
  <si>
    <t>Gorham, PW; Allison, P; Banerjee, O; Batten, L; Beatty, JJ; Belov, K; Besson, DZ; Binns, WR; Bugaev, V; Cao, P; Chen, CH; Chen, P; Chen, Y; Clem, JM; Connolly, A; Cremonesi, L; Dailey, B; Deaconu, C; Dowkontt, PF; Fox, BD; Gordon, JWH; Hast, C; Hill, B; Hsu, SY; Huang, JJ; Hughes, K; Hupe, R; Israel, MH; Liewer, KM; Liu, TC; Ludwig, AB; Macchiarulo, L; Matsuno, S; McBride, K; Miki, C; Mulrey, K; Nam, J; Naudet, C; Nichol, RJ; Novikov, A; Oberla, E; Prohira, S; Rauch, BF; Ripa, J; Roberts, JM; Romero-Wolf, A; Rotter, B; Russell, JW; Saltzberg, D; Seckel, D; Schoorlemmer, H; Shiao, J; Stafford, S; Stockham, J; Stockham, M; Strutt, B; Sutherland, MS; Varner, GS; Vieregg, AG; Wang, N; Wang, SH; Wissel, SA</t>
  </si>
  <si>
    <t>Gorham, P. W.; Allison, P.; Banerjee, O.; Batten, L.; Beatty, J. J.; Belov, K.; Besson, D. Z.; Binns, W. R.; Bugaev, V; Cao, P.; Chen, C. H.; Chen, P.; Chen, Y.; Clem, J. M.; Connolly, A.; Cremonesi, L.; Dailey, B.; Deaconu, C.; Dowkontt, P. F.; Fox, B. D.; Gordon, J. W. H.; Hast, C.; Hill, B.; Hsu, S. Y.; Huang, J. J.; Hughes, K.; Hupe, R.; Israel, M. H.; Liewer, K. M.; Liu, T. C.; Ludwig, A. B.; Macchiarulo, L.; Matsuno, S.; McBride, K.; Miki, C.; Mulrey, K.; Nam, J.; Naudet, C.; Nichol, R. J.; Novikov, A.; Oberla, E.; Prohira, S.; Rauch, B. F.; Ripa, J.; Roberts, J. M.; Romero-Wolf, A.; Rotter, B.; Russell, J. W.; Saltzberg, D.; Seckel, D.; Schoorlemmer, H.; Shiao, J.; Stafford, S.; Stockham, J.; Stockham, M.; Strutt, B.; Sutherland, M. S.; Varner, G. S.; Vieregg, A. G.; Wang, N.; Wang, S. H.; Wissel, S. A.</t>
  </si>
  <si>
    <t>Constraints on the ultrahigh-energy cosmic neutrino flux from the fourth flight of ANITA</t>
  </si>
  <si>
    <t>RAYS; CHARGE; LIMIT</t>
  </si>
  <si>
    <t>The ANtarctic Impulsive Transient Antenna (ANITA) NASA long-duration balloon payload completed its fourth flight in December 2016, after 28 days of flight time. ANITA is sensitive to impulsive broadband radio emission from interactions of ultrahigh-energy neutrinos in polar ice (Askaryan emission). We present the results of two separate blind analyses searching for signals from Askaryan emission in the data from the fourth flight of ANITA. The more sensitive analysis, with a better expected limit, has a background estimate of 0.64(-0.45)(+0.69) and an analysis efficiency of 82 +/- 2%. The second analysis has a background estimate of 0.34(-0.16)(+0.66) and an analysis efficiency of 71 +/- 6%. Each analysis found one event in the signal region, consistent with the background estimate for each analysis. The resulting limit further tightens the constraints on the diffuse flux of ultrahigh-energy neutrinos at energies above 10(19.5) eV.</t>
  </si>
  <si>
    <t>[Gorham, P. W.; Fox, B. D.; Hill, B.; Macchiarulo, L.; Matsuno, S.; Miki, C.; Roberts, J. M.; Rotter, B.; Russell, J. W.; Schoorlemmer, H.; Varner, G. S.] Univ Hawaii, Dept Phys &amp; Astron, Manoa, HI 96822 USA; [Allison, P.; Banerjee, O.; Beatty, J. J.; Connolly, A.; Dailey, B.; Gordon, J. W. H.; Hughes, K.; Hupe, R.; McBride, K.; Prohira, S.; Stafford, S.; Sutherland, M. S.] Ohio State Univ, Ctr Cosmol &amp; AstroParticle Phys, Dept Phys, Columbus, OH 43210 USA; [Batten, L.; Cremonesi, L.; Nichol, R. J.] UCL, Dept Phys &amp; Astron, London WC1E 6BT, England; [Belov, K.; Liewer, K. M.; Naudet, C.; Romero-Wolf, A.] Jet Prop Lab, Pasadena, CA 91109 USA; [Besson, D. Z.; Novikov, A.; Prohira, S.; Stockham, J.; Stockham, M.] Univ Kansas, Dept Phys &amp; Astron, Lawrence, KS 66045 USA; [Besson, D. Z.; Novikov, A.] Moscow Engn Phys Inst, Moscow 115409, Russia; [Binns, W. R.; Bugaev, V; Dowkontt, P. F.; Israel, M. H.; Rauch, B. F.] Washington Univ, McDonnell Ctr Space Sci, Dept Phys, St Louis, MO 63130 USA; [Cao, P.; Clem, J. M.; Mulrey, K.; Seckel, D.] Univ Delaware, Dept Phys, Newark, DE 19716 USA; [Chen, C. H.; Chen, P.; Chen, Y.; Hsu, S. Y.; Huang, J. J.; Liu, T. C.; Nam, J.; Ripa, J.; Shiao, J.; Wang, S. H.] Natl Taiwan Univ, Dept Phys, Grad Inst Astrophys, Taipei 10617, Taiwan; [Chen, C. H.; Chen, P.; Chen, Y.; Hsu, S. Y.; Huang, J. J.; Liu, T. C.; Nam, J.; Ripa, J.; Shiao, J.; Wang, S. H.] Natl Taiwan Univ, Leung Ctr Cosmol &amp; Particle Astrophys, Taipei 10617, Taiwan; [Deaconu, C.; Hughes, K.; Ludwig, A. B.; Oberla, E.; Vieregg, A. G.] Univ Chicago, Enrico Fermi Inst, Dept Phys, Kavli Inst Cosmol Phys, Chicago, IL 60637 USA; [Hast, C.] SLAC Natl Accelerator Lab, Menlo Pk, CA 94025 USA; [Roberts, J. M.] Univ Calif San Diego, Ctr Astrophys &amp; Space Sci, La Jolla, CA 92093 USA; [Saltzberg, D.; Strutt, B.; Wang, N.] Univ Calif Los Angeles, Dept Phys &amp; Astron, Los Angeles, CA 90095 USA; [Wissel, S. A.] Calif Polytech State Univ San Luis Obispo, Phys Dept, San Luis Obispo, CA 93407 USA</t>
  </si>
  <si>
    <t>University of Hawaii System; University of Hawaii Manoa; University System of Ohio; Ohio State University; University of London; University College London; National Aeronautics &amp; Space Administration (NASA); NASA Jet Propulsion Laboratory (JPL); University of Kansas; National Research Nuclear University MEPhI (Moscow Engineering Physics Institute); Washington University (WUSTL); University of Delaware; National Taiwan University; National Taiwan University; University of Chicago; Stanford University; United States Department of Energy (DOE); SLAC National Accelerator Laboratory; University of California System; University of California San Diego; University of California System; University of California Los Angeles; California State University System; California Polytechnic State University San Luis Obispo</t>
  </si>
  <si>
    <t>Gorham, PW (corresponding author), Univ Hawaii, Dept Phys &amp; Astron, Manoa, HI 96822 USA.</t>
  </si>
  <si>
    <t>Beatty, James/D-9310-2011; Jakub, Ripa/F-7526-2017; Chen, Pisin/IAO-8769-2023; Belov, Konstantin V/D-2520-2013; Novikov, Alexander S/L-7538-2016; Huang, Jian Jang/L-9953-2016; Nichol, Ryan/C-1645-2008</t>
  </si>
  <si>
    <t>Beatty, James/0000-0003-0481-4952; Jakub, Ripa/0000-0003-3994-7528; Chen, Pisin/0000-0001-5251-7210; Belov, Konstantin V/0000-0002-8861-110X; Nichol, Ryan/0000-0003-0557-0443; Mulrey, Katharine/0000-0001-8026-8020; Allison, Patrick/0000-0001-8141-2653; Cremonesi, Linda/0000-0003-0711-1056; Gorham, Peter/0000-0002-0923-9363; Romero-Wolf, Andrew/0000-0002-4992-4162; Hughes, Kaeli/0000-0002-4551-9581; Wissel, Stephanie/0000-0003-0569-6978; Deaconu, Cosmin/0000-0002-4953-6397; Macchiarulo, Luca/0009-0004-1141-0344; Novikov, Alexander/0000-0002-1086-7252</t>
  </si>
  <si>
    <t>NASA [NNX15AC24G]; National Science Foundation through CAREER Grant [1255557]; Kavli Institute for Cosmological Physics at the University of Chicago; Cosmology and Astroparticle Student and Postdoc Exchange Network (CASPEN); Leverhulme Trust; Taiwan's Ministry of Science and Technology (MOST) under its Vanguard Program [106-2119-M-002-011]; NASA [809081, NNX15AC24G] Funding Source: Federal RePORTER; Direct For Mathematical &amp; Physical Scien; Division Of Physics [1255557] Funding Source: National Science Foundation; STFC [ST/N000285/1, PP/E006876/1] Funding Source: UKRI</t>
  </si>
  <si>
    <t>NASA(National Aeronautics &amp; Space Administration (NASA)); National Science Foundation through CAREER Grant; Kavli Institute for Cosmological Physics at the University of Chicago(University of Chicago); Cosmology and Astroparticle Student and Postdoc Exchange Network (CASPEN); Leverhulme Trust(Leverhulme Trust); Taiwan's Ministry of Science and Technology (MOST) under its Vanguard Program; NASA(National Aeronautics &amp; Space Administration (NASA)); Direct For Mathematical &amp; Physical Scien; Division Of Physics(National Science Foundation (NSF)NSF - Directorate for Mathematical &amp; Physical Sciences (MPS)); STFC(UK Research &amp; Innovation (UKRI)Science &amp; Technology Facilities Council (STFC))</t>
  </si>
  <si>
    <t>ANITA-IV was supported through NASA Grant No. NNX15AC24G. We are especially grateful to the staff of the Columbia Scientific Balloon Facility for their generous support. We thank NASA, the National Science Foundation, and those who dedicate their careers to making our science possible in Antarctica. This work was supported by the Kavli Institute for Cosmological Physics at the University of Chicago. Computing resources were provided by the Research Computing Center at the University of Chicago and the Ohio Supercomputing Center at The Ohio State University. A.C. thanks the National Science Foundation for their support through CAREER Grant No. 1255557. The work of O.B. and L.C. was supported by collaborative visits funded by the Cosmology and Astroparticle Student and Postdoc Exchange Network (CASPEN). The University College London group was also supported by the Leverhulme Trust. The National Taiwan University group is supported by Taiwan's Ministry of Science and Technology (MOST) under its Vanguard Program No. 106-2119-M-002-011.</t>
  </si>
  <si>
    <t>1550-7998</t>
  </si>
  <si>
    <t>1550-2368</t>
  </si>
  <si>
    <t>10.1103/PhysRevD.99.122001</t>
  </si>
  <si>
    <t>ID9CR</t>
  </si>
  <si>
    <t>WOS:000471985500001</t>
  </si>
  <si>
    <t>Baylis, AMM; Tierney, M; Orben, RA; Warwick-Evans, V; Wakefield, E; Grecian, WJ; Trathan, P; Reisinger, R; Ratcliffe, N; Croxall, J; Campioni, L; Catry, P; Crofts, S; Boersma, PD; Galimberti, F; Granadeiro, J; Handley, J; Hayes, S; Hedd, A; Masello, JF; Montevecchi, WA; Pütz, K; Quillfeldt, P; Rebstock, GA; Sanvito, S; Stanilands, IJ; Brickle, P</t>
  </si>
  <si>
    <t>Baylis, Alastair M. M.; Tierney, Megan; Orben, Rachael A.; Warwick-Evans, Victoria; Wakefield, Ewan; Grecian, W. James; Trathan, Phil; Reisinger, Ryan; Ratcliffe, Norman; Croxall, John; Campioni, Letizia; Catry, Paulo; Crofts, Sarah; Boersma, P. Dee; Galimberti, Filippo; Granadeiro, Jose; Handley, Jonathan; Hayes, Sean; Hedd, April; Masello, Juan F.; Montevecchi, William A.; Putz, Klemens; Quillfeldt, Petra; Rebstock, Ginger A.; Sanvito, Simona; Stanilands, Iain J.; Brickle, Paul</t>
  </si>
  <si>
    <t>Important At-Sea Areas of Colonial Breeding Marine Predators on the Southern Patagonian Shelf</t>
  </si>
  <si>
    <t>PENGUINS PYGOSCELIS-PAPUA; AMERICAN FUR SEALS; FORAGING BEHAVIOR; FALKLAND ISLANDS; HABITAT USE; BOTTOM-UP; TOP-DOWN; ECOSYSTEM; DIET; TRACKING</t>
  </si>
  <si>
    <t>The Patagonian Shelf Large Marine Ecosystem supports high levels of biodiversity and endemism and is one of the most productive marine ecosystems in the world. Despite the important role marine predators play in structuring the ecosystems, areas of high diversity where multiple predators congregate remains poorly known on the Patagonian Shelf. Here, we used biotelemetry and biologging tags to track the movements of six seabird species and three pinniped species breeding at the Falkland Islands. Using Generalized Additive Models, we then modelled these animals' use of space as functions of dynamic and static environmental indices that described their habitat. Based on these models, we mapped the predicted distribution of animals from both sampled and unsampled colonies and thereby identified areas where multiple species were likely to overlap at sea. Maximum foraging trip distance ranged from 79 to 1,325 km. However, most of the 1,891 foraging trips by 686 animals were restricted to the Patagonian Shelf and shelf slope, which highlighted a preference for these habitats. Of the seven candidate explanatory covariates used to predict distribution, distance from the colony was retained in models for all species and negatively affected the probability of occurrence. Predicted overlap among species was highest on the Patagonian Shelf around the Falkland Islands and the Burdwood Bank. The predicted area of overlap is consistent with areas that are also important habitat for marine predators migrating from distant breeding locations. Our findings provide comprehensive multi-species predictions for some of the largest marine predator populations on the Patagonian Shelf, which will contribute to future marine spatial planning initiatives. Crucially, our findings highlight that spatially explicit conservation measures are likely to benefit multiple species, while threats are likely to impact multiple species.</t>
  </si>
  <si>
    <t>[Baylis, Alastair M. M.; Tierney, Megan; Grecian, W. James; Brickle, Paul] South Atlantic Environm Res Inst, Stanley FIQQ 1ZZ, Falkland Island; [Baylis, Alastair M. M.] Macquarie Univ, Dept Biol Sci, Sydney, NSW 2109, Australia; [Tierney, Megan] Joint Nat Conservat Comm, Peterborough PE1 1JY, Cambs, England; [Orben, Rachael A.] Oregon State Univ, Hatfield Marine Sci Ctr, Dept Fisheries &amp; Wildlife, Newport, OR 97365 USA; [Warwick-Evans, Victoria; Trathan, Phil; Ratcliffe, Norman; Stanilands, Iain J.] British Antarctic Survey NERC, Madingley Rd, Cambridge CB3 0ET, England; [Wakefield, Ewan] Univ Glasgow, Inst Biodivers Anim Hlth &amp; Comparat Med, Graham Kerr Bldg, Glasgow G12 8QQ, Lanark, Scotland; [Grecian, W. James] Univ St Andrews, Scottish Oceans Inst, Sea Mammal Res Unit, St Andrews KY16 8LB, Fife, Scotland; [Reisinger, Ryan] La Rochelle Univ, CNRS, Ctr Etud Biol Chize, UMR 7372, F-79170 Villiers En Bois, France; [Reisinger, Ryan] Fdn Rech Biodiversite CESAB FRB, Ctr Synth &amp; Anal Biodiversite, Batiment Henri Poincare, F-13100 Aix En Provence, France; [Croxall, John] BirdLife Int, David Attenborough Bldg,Pembroke St, Cambridge CB2 3QZ, England; [Campioni, Letizia; Catry, Paulo] ISPA Inst Univ, MARE Marine &amp; Environm Sci Ctr, Lisbon, Portugal; [Crofts, Sarah; Rebstock, Ginger A.] Falklands Conservat, Stanley FIQQ 1ZZ, Falkland Island; [Boersma, P. Dee] Univ Washington, Ctr Ecosyst Sentinels, Dept Biol, Seattle, WA 98195 USA; [Galimberti, Filippo; Sanvito, Simona] Elephant Seal Res Grp, Stanley FIQQ 1ZZ, Falkland Island; [Granadeiro, Jose] Environm &amp; Climate Change Canada, Wildlife Res Div, Mt Pearl, NF, Canada; [Handley, Jonathan] Nelson Mandela Univ, DST NRF Ctr Excellence, Dept Zool, FitzPatrick Inst African Ornithol, South Campus, ZA-6031 Port Elizabeth, South Africa; [Hayes, Sean] More Energy LTD, Aberdeen AB14 0RP, Scotland; [Hedd, April] Justus Liebig Univ, Dept Anim Ecol &amp; Systemat, Giessen, Germany; [Masello, Juan F.; Quillfeldt, Petra] Univ Lisbon, Fac Ciencias, Dept Biol Anim, CESAM, Lisbon, Portugal; [Montevecchi, William A.] Mem Univ Newfoundland, Psycholgy Dept, St John, NF, Canada; [Putz, Klemens] Antarctic Res Trust, Stanley FIQQ 1ZZ, Falkland Island; [Brickle, Paul] Univ Aberdeen, Sch Biol Sci Zool, Tillydrone Ave, Aberdeen AB24 2TZ, Scotland</t>
  </si>
  <si>
    <t>Macquarie University; Oregon State University; UK Research &amp; Innovation (UKRI); Natural Environment Research Council (NERC); NERC British Antarctic Survey; University of Glasgow; University of St Andrews; Centre National de la Recherche Scientifique (CNRS); CNRS - Institute of Ecology &amp; Environment (INEE); BirdLife International; Instituto Superior Psicologia Aplicada (ISPA); University of Washington; University of Washington Seattle; Environment &amp; Climate Change Canada; Canadian Wildlife Service; Wildlife Research Division - Environment Canada; Nelson Mandela University; National Research Foundation - South Africa; Justus Liebig University Giessen; Universidade de Lisboa; Memorial University Newfoundland; University of Aberdeen</t>
  </si>
  <si>
    <t>Baylis, AMM (corresponding author), South Atlantic Environm Res Inst, Stanley FIQQ 1ZZ, Falkland Island.;Baylis, AMM (corresponding author), Macquarie Univ, Dept Biol Sci, Sydney, NSW 2109, Australia.</t>
  </si>
  <si>
    <t>al_baylis@yahoo.com.au</t>
  </si>
  <si>
    <t>Grecian, James/A-7689-2012; campioni, letizia/AAZ-2888-2020; Baylis, Alastair/H-9471-2019; Granadeiro, José Pedro/E-8060-2011; Orben, Rachael A./H-9460-2019; Masello, Juan Francisco/C-7133-2009; Catry, Paulo/I-5408-2013; Quillfeldt, Petra/A-9549-2009; Reisinger, Ryan/D-6151-2014</t>
  </si>
  <si>
    <t>Grecian, James/0000-0002-6428-719X; campioni, letizia/0000-0002-6319-6931; Baylis, Alastair/0000-0002-5167-0472; Granadeiro, José Pedro/0000-0002-7207-3474; Orben, Rachael A./0000-0002-0802-407X; Puetz, Klemens/0000-0003-1375-2669; Masello, Juan Francisco/0000-0002-6826-4016; Handley, Jonathan/0000-0001-6468-338X; Catry, Paulo/0000-0003-3000-0522; Brickle, Paul/0000-0002-9870-3518; Hedd, April/0000-0003-2222-2627; Quillfeldt, Petra/0000-0002-4450-8688; Reisinger, Ryan/0000-0002-8933-6875</t>
  </si>
  <si>
    <t>Falkland Islands Government; Falkland Islands Petroleum Licensees Association; NERC [bas0100035] Funding Source: UKRI</t>
  </si>
  <si>
    <t>Falkland Islands Government; Falkland Islands Petroleum Licensees Association; NERC(UK Research &amp; Innovation (UKRI)Natural Environment Research Council (NERC))</t>
  </si>
  <si>
    <t>This manuscript forms part of the South Atlantic Environmental Research Institute's GAP project, an initiative of the Falkland Islands Offshore Hydrocarbons Environmental Forum, funded by the Falkland Islands Government and Falkland Islands Petroleum Licensees Association. We are grateful to the many colleagues who assisted with field work, David Blockley for his contribution to the management of the GAP project and Amelie Auge and Ben Lascelles who assisted with data compilation. All animal handling was approved by the Falkland Islands Environmental Committee and research was undertaken under permit issued by the Falkland Islands Government.</t>
  </si>
  <si>
    <t>10.1038/s41598-019-44695-1</t>
  </si>
  <si>
    <t>IC4UT</t>
  </si>
  <si>
    <t>WOS:000470962800015</t>
  </si>
  <si>
    <t>Souza, PE; Sohbati, R; Murray, AS; Kroon, A; Clemmensen, LB; Hede, MU; Nielsen, L</t>
  </si>
  <si>
    <t>Souza, Priscila E.; Sohbati, Reza; Murray, Andrew S.; Kroon, Aart; Clemmensen, Lars B.; Hede, Mikkel U.; Nielsen, Lars</t>
  </si>
  <si>
    <t>Luminescence dating of buried cobble surfaces from sandy beach ridges: a case study from Denmark</t>
  </si>
  <si>
    <t>BOREAS</t>
  </si>
  <si>
    <t>OPTICALLY STIMULATED LUMINESCENCE; RELATIVE SEA-LEVEL; GLACIOFLUVIAL DEPOSITS; ANTARCTIC PENINSULA; COASTAL MORPHOLOGY; HOLOCENE; QUARTZ; SEDIMENTS; SYSTEM; THERMOLUMINESCENCE</t>
  </si>
  <si>
    <t>Here we investigate the use of optically stimulated luminescence (OSL) for dating cobbles from the body of successive beach ridges and compare cobble surface-derived ages to standard quartz OSL ages from sand. Between four and eight cobbles and sand samples (age control) were dated with the luminescence method, taken from the modern beach and from beach ridges on the south and north extremes of a prograding spit on the westernmost coast of Lolland, Denmark. Luminescence-depth profiles perpendicular to the surfaces of the cobbles show that the feldspar infrared signals stimulated at 50 degrees C were fully reset to various depths into the cobbles prior to final deposition; as a result, the equivalent doses determined from close to the surface of such cobbles can be used to calculate burial ages. Beach-ridge burial ages given by the average of ages of individual cobbles taken from the same site are consistent, within errors, with the ages derived from the sand samples. Cobble- and sand-derived ages show that the southernmost beach ridge at Albuen was formed around 2 ka ago, indicating that this sandy spit is younger than other coastal systems in Denmark. The agreement between ages derived from clasts and from standard quartz OSL in this study confirms that, even in the absence of sandy sediments, we can reliably date sites using OSL by targeting larger clasts. In addition, the record of prior light exposure contained in the shape of the cobbles' luminescence-depth profile removes one of the major uncertainties (i.e. the degree of signal reset prior to burial) in the luminescence dating of high latitude sites.</t>
  </si>
  <si>
    <t>[Souza, Priscila E.; Kroon, Aart; Clemmensen, Lars B.; Hede, Mikkel U.; Nielsen, Lars] Univ Copenhagen, Fac Sci, Dept Geosci &amp; Nat Resource Management, Oster Voldgade 10, DK-1350 Copenhagen, Denmark; [Hede, Mikkel U.] Tarnby Gymnasium &amp; HF, Tejn Alle 5, DK-2770 Kastrup, Denmark; [Sohbati, Reza] Tech Univ Denmark, DTU Nutech, DK-4000 Roskilde, Denmark; [Murray, Andrew S.] Aarhus Univ, Dept Geosci, Nord Lab Luminescence Dating, RisoDTU campus, DK-4000 Roskilde, Denmark</t>
  </si>
  <si>
    <t>University of Copenhagen; Technical University of Denmark; Aarhus University</t>
  </si>
  <si>
    <t>Souza, PE (corresponding author), Univ Copenhagen, Fac Sci, Dept Geosci &amp; Nat Resource Management, Oster Voldgade 10, DK-1350 Copenhagen, Denmark.</t>
  </si>
  <si>
    <t>pes@ign.ku.dk</t>
  </si>
  <si>
    <t>Murray, Andrew S/A-4388-2012; Kroon, Aart/P-9148-2014; Sohbati, Reza/N-1239-2013; Nielsen, Lars/C-7142-2015</t>
  </si>
  <si>
    <t>Murray, Andrew/0000-0001-5559-1862; Emerich Souza, Priscila/0000-0001-9975-2074; Kroon, Aart/0000-0002-9419-2327; Sohbati, Reza/0000-0002-2382-0103; Nielsen, Lars/0000-0003-2024-2288</t>
  </si>
  <si>
    <t>Brazilian Government's program Science without Borders (CNPq); Independent Research Fund Denmark; Geocenter Denmark</t>
  </si>
  <si>
    <t>Brazilian Government's program Science without Borders (CNPq); Independent Research Fund Denmark(Det Frie Forskningsrad (DFF)); Geocenter Denmark</t>
  </si>
  <si>
    <t>We acknowledge funding by the Brazilian Government's program Science without Borders (CNPq), the Independent Research Fund Denmark and Geocenter Denmark. We thank Sigurd Bohr and Peer Torben Jorgensen for their assistance during the fieldwork. Further, we thank Dr. Regina DeWitt and an anonymous reviewer for their comments on an earlier version of this manuscript, which greatly helped improve the manuscript.</t>
  </si>
  <si>
    <t>0300-9483</t>
  </si>
  <si>
    <t>1502-3885</t>
  </si>
  <si>
    <t>Boreas</t>
  </si>
  <si>
    <t>10.1111/bor.12402</t>
  </si>
  <si>
    <t>JA5RQ</t>
  </si>
  <si>
    <t>WOS:000486776500001</t>
  </si>
  <si>
    <t>Maturana, CS; Rosenfeld, S; Naretto, J; Convey, P; Poulin, E</t>
  </si>
  <si>
    <t>Maturana, Claudia S.; Rosenfeld, Sebastian; Naretto, Javier; Convey, Peter; Poulin, Elie</t>
  </si>
  <si>
    <t>Distribution of the genus Boeckella (Crustacea, Copepoda, Calanoida, Centropagidae) at high latitudes in South America and the main Antarctic biogeographic regions</t>
  </si>
  <si>
    <t>ZOOKEYS</t>
  </si>
  <si>
    <t>Antarctica; Falkland/Malvinas Islands; freshwater ecosystems; sub-Antarctic islands; Patagonia</t>
  </si>
  <si>
    <t>FRESH; LIFE; PATTERNS; ISLANDS; HISTORY; BIOLOGY; SEA</t>
  </si>
  <si>
    <t>Copepods are present in numerous aquatic environments, playing key roles in food webs, and are thought to be useful indicators of environmental change. Boeckella is a calanoid copepod genus distributed mainly in the Southern Hemisphere, with 14 species reported at higher southern latitudes in South America and Antarctica. We present an updated database of these 14 species of Boeckella generated from a combination of three sources: 1) new field sampling data, 2) published records, and 3) Global Biodiversity Information Facility (GBIF), to provide a comprehensive description of the geographic distribution of the genus south of latitude 40 degrees S in southern South America and the three main terrestrial biogeographic regions of Antarctica. The database includes 380 records, 62 from field sampling, 278 from the literature and 40 from GBIF. Southern South America, including the Falkland/Malvinas Islands, had the highest species richness and number of records (14 and 297, respectively), followed by the sub-Antarctic islands (5 and 34), South Orkney Islands (2 and 14), South Shetland Islands (1 and 23), Antarctic Peninsula (1 and 10) and finally continental Antarctica (1 and 2). Boeckella poppei Mrazek, 1901 is the only representative of the genus, and more widely the only terrestrial/freshwater invertebrate, currently reported from all three main biogeographic regions in Antarctica (sub-Antarctic islands, maritime and continental Antarctic). Future development of molecular systematic studies in this group should contribute to assessing the correspondence between morphological taxonomy and molecular evolutionary radiation.</t>
  </si>
  <si>
    <t>[Maturana, Claudia S.; Naretto, Javier; Poulin, Elie] Univ Chile, Fac Ciencias, Dept Ciencias Ecol, Lab Ecol Mol, Palmeras 3425, Santiago, Chile; [Maturana, Claudia S.; Rosenfeld, Sebastian; Naretto, Javier; Poulin, Elie] IEB, Palmeras 3425, Santiago, Chile; [Rosenfeld, Sebastian] Univ Magallanes, Lab Ecosistemas Marinos Antarticos &amp; Subantartico, Casilla 113-D, Punta Arenas, Chile; [Naretto, Javier] ONG Costa Humboldt, Canonigo Madariaga 570, Santiago, Chile; [Convey, Peter] British Antarctic Survey, Nat Environm Res Council, Madingley Rd, Cambridge CB3 0ET, England</t>
  </si>
  <si>
    <t>Universidad de Chile; Universidad de Magallanes; UK Research &amp; Innovation (UKRI); Natural Environment Research Council (NERC); NERC British Antarctic Survey</t>
  </si>
  <si>
    <t>Maturana, CS (corresponding author), Univ Chile, Fac Ciencias, Dept Ciencias Ecol, Lab Ecol Mol, Palmeras 3425, Santiago, Chile.;Maturana, CS (corresponding author), IEB, Palmeras 3425, Santiago, Chile.</t>
  </si>
  <si>
    <t>cmaturana.ciencias@gmail.com</t>
  </si>
  <si>
    <t>Convey, Peter/AAV-5728-2020; Maturana, Claudia/JOK-7975-2023; Poulin, Elie/C-2654-2012</t>
  </si>
  <si>
    <t>Convey, Peter/0000-0001-8497-9903; Maturana, Claudia/0000-0002-4427-8093; Poulin, Elie/0000-0001-7736-0969; Rosenfeld, Sebastian/0000-0002-4363-8018</t>
  </si>
  <si>
    <t>FONDECYT [1161358]; initiation FONDECYT program [11160391]; Institute of Ecology and Biodiversity (Chile) [CONICYT PIA APOYO CCTE AFB170008, P05-002 ICM]; Conicyt [21150317]; NERC; Conicyt Ph.D. Grant [21140632, INACH DG-03_16]; regular Fondecyt project [1151336]; PIA-CONICYT [ACT172065]; IPEV program PROTEKER [1044]; [INACH DT-04_16]; NERC [bas0100036] Funding Source: UKRI</t>
  </si>
  <si>
    <t>FONDECYT(Comision Nacional de Investigacion Cientifica y Tecnologica (CONICYT)CONICYT FONDECYT); initiation FONDECYT program; Institute of Ecology and Biodiversity (Chile); Conicyt(Comision Nacional de Investigacion Cientifica y Tecnologica (CONICYT)); NERC(UK Research &amp; Innovation (UKRI)Natural Environment Research Council (NERC)); Conicyt Ph.D. Grant; regular Fondecyt project; PIA-CONICYT(Comision Nacional de Investigacion Cientifica y Tecnologica (CONICYT)); IPEV program PROTEKER; ; NERC(UK Research &amp; Innovation (UKRI)Natural Environment Research Council (NERC))</t>
  </si>
  <si>
    <t>This study utilized material obtained under several different projects and institutions, including South Atlantic Environment Research Institute (Falkland Islands/Islas Malvinas), FONDECYT 1161358, initiation FONDECYT program 11160391, INACH DT-04_16, Institute of Ecology and Biodiversity (Chile) CONICYT PIA APOYO CCTE AFB170008, P05-002 ICM and Conicyt Ph.D. Grant (21150317) to C.M., and NERC core funding to the BAS Biodiversity, Evolution and Adaptation Team to P.C. We also appreciate the support of the following projects: J.N. (Conicyt Ph.D. Grant 21140632; INACH DG-03_16), E.P. (regular Fondecyt project 1151336, PIA-CONICYT ACT172065), IPEV program PROTEKER (No. 1044). S.R. gives particular thanks to the Chilean Navy, the Commander in Chief of the III Naval Zone, Rear Admiral Ivo Brito, the Chief of General Staff, Vice Admiral Jose Miguel Rivera, the National Oceanographic Committee and the Naval Beagle Command, as well as the crew of the ship OPV 83 Marinero Fuentealba, and the helicopter and institutional logistics personnel. We also thank Roy Mackenzie and the staff of the lighthouse of Gonzalo Island for their invaluable support for the development of field research at the permanent ecological studies site implemented in the Diego Ramirez archipelago. S.R. and C.M. would like to thank Fernando Basualdo and Luciano Caputo for their valuable support to our fieldwork in Sierra Baguales and Ultima Esperanza. We especially thank Lafayette Eaton for English revision and editing and to Patricio De los Rios, Danielle Defaye and one anonymous reviewer for their helpful comments.</t>
  </si>
  <si>
    <t>PENSOFT PUBLISHERS</t>
  </si>
  <si>
    <t>SOFIA</t>
  </si>
  <si>
    <t>12 PROF GEORGI ZLATARSKI ST, SOFIA, 1700, BULGARIA</t>
  </si>
  <si>
    <t>1313-2989</t>
  </si>
  <si>
    <t>1313-2970</t>
  </si>
  <si>
    <t>ZooKeys</t>
  </si>
  <si>
    <t>JUN 10</t>
  </si>
  <si>
    <t>10.3897/zookeys.854.29614</t>
  </si>
  <si>
    <t>IC7TQ</t>
  </si>
  <si>
    <t>WOS:000471180500001</t>
  </si>
  <si>
    <t>Jones, DOB; Gates, AR; Huvenne, VAI; Phillips, AB; Bett, BJ</t>
  </si>
  <si>
    <t>Jones, Daniel O. B.; Gates, Andrew R.; Huvenne, Veerle A. I.; Phillips, Alexander B.; Bett, Brian J.</t>
  </si>
  <si>
    <t>Autonomous marine environmental monitoring: Application in decommissioned oil fields</t>
  </si>
  <si>
    <t>Survey; Oil and gas; Infrastructure; Observatories; Marine autonomous systems; AUV Glider; Rigs to reefs</t>
  </si>
  <si>
    <t>RIGS-TO-REEFS; REMOTELY OPERATED VEHICLES; NORTH-SEA; UNDERWATER VEHICLE; HIGH-RESOLUTION; OFFSHORE OIL; AUTOMATIC DETECTION; FISH ASSEMBLAGES; ANTARCTIC KRILL; CLIMATE-CHANGE</t>
  </si>
  <si>
    <t>Hundreds of Oil &amp; Gas Industry structures in the marine environment are approaching decommissioning. Inmost areas decommissioning operations will need to be supported by environmental assessment and monitoring, potentially over the life of any structures left in place. This requirement will have a considerable cost for industry and the public. Here we review approaches for the assessment of the primary operating environments associated with decommissioning - namely structures, pipelines, cuttings piles, the general seabed environment and the water column - and show that already available marine autonomous systems (MAS) offer a wide range of solutions for this major monitoring challenge. Data of direct relevance to decommissioning can be collected using acoustic, visual, and oceanographic sensors deployed on MAS. We suggest that there is considerable potential for both cost savings and a substantial improvement in the temporal and spatial resolution of environmental monitoring. We summarise the trade-offs between MAS and current conventional approaches to marine environmental monitoring. MAS have the potential to successfully carry out much of the monitoring associated with decommissioning and to offer viable alternatives where a direct match for the conventional approach is not possible. (c) 2019 The Authors. Published by Elsevier B.V. This is an open access article under the CC BY license (http://creativecommons.org/licenses/by/4.0/).</t>
  </si>
  <si>
    <t>[Jones, Daniel O. B.; Gates, Andrew R.; Huvenne, Veerle A. I.; Phillips, Alexander B.; Bett, Brian J.] Univ Southampton, Natl Oceanog Ctr, Waterfront Campus, Southampton SO14 3ZH, Hants, England</t>
  </si>
  <si>
    <t>NERC National Oceanography Centre; University of Southampton</t>
  </si>
  <si>
    <t>Jones, DOB (corresponding author), Univ Southampton, Natl Oceanog Ctr, Waterfront Campus, Southampton SO14 3ZH, Hants, England.</t>
  </si>
  <si>
    <t>dj1@noc.ac.uk</t>
  </si>
  <si>
    <t>Jones, Daniel/AAB-3276-2022; Jones, Daniel/A-3412-2009; Gates, Andrew/I-4321-2012</t>
  </si>
  <si>
    <t>Jones, Daniel/0000-0001-5218-1649; Gates, Andrew/0000-0002-2798-5044</t>
  </si>
  <si>
    <t>Natural Environment Research Council, UK (NERC) [NE/P016561/1]; NERC grant Application of autonomous systems to monitor oil spills [NE/P013228/1]; EU [731036]; UK Natural Environment Research Council National Capability funding [NE/R015953/1]; NERC [NE/R015953/1, noc010010, NE/P013228/1, noc010009, NE/P016561/1] Funding Source: UKRI</t>
  </si>
  <si>
    <t>Natural Environment Research Council, UK (NERC)(UK Research &amp; Innovation (UKRI)Natural Environment Research Council (NERC)); NERC grant Application of autonomous systems to monitor oil spills; EU(European Union (EU)); UK Natural Environment Research Council National Capability funding(UK Research &amp; Innovation (UKRI)Natural Environment Research Council (NERC)); NERC(UK Research &amp; Innovation (UKRI)Natural Environment Research Council (NERC))</t>
  </si>
  <si>
    <t>The authorswould like to thank K. Cross, M. Thompson, P. Collinson, D. Orr, L. Harper, S. Keedwell, A. Montgomery, D. Manning, J. Blackburn, J. Pringle, A. Schink, M. Shields and R. Lind for useful discussion during the preparation of this paper. BB, AG, VH, AP and DJ were funded in part by Natural Environment Research Council, UK (NERC) grant Advanced monitoring of marine infrastructure for decommissioning reference NE/P016561/1. AG also received funding from NERC grant Application of autonomous systems to monitor oil spills reference NE/P013228/1, and the Horizon 2020, EU Project  EMSO-Link grant ID 731036. This study is a contribution to the Climate Linked Atlantic Section Science (CLASS) programme and was supported by UK Natural Environment Research Council National Capability funding, grant number NE/R015953/1.</t>
  </si>
  <si>
    <t>10.1016/j.scitotenv.2019.02.310</t>
  </si>
  <si>
    <t>HQ9VV</t>
  </si>
  <si>
    <t>WOS:000462776800077</t>
  </si>
  <si>
    <t>Lim, S; Lee, M; Rhee, TS</t>
  </si>
  <si>
    <t>Lim, Saehee; Lee, Meehye; Rhee, Tae Siek</t>
  </si>
  <si>
    <t>Chemical characteristics of submicron aerosols observed at the King Sejong Station in the northern Antarctic Peninsula from fall to spring</t>
  </si>
  <si>
    <t>PM1; Elemental carbon; Organic carbon; Sea-salt; King Sejong Antarctic Station</t>
  </si>
  <si>
    <t>SEA-SALT AEROSOL; BLACK CARBON; ORGANIC-CARBON; SOURCE IDENTIFICATION; FROST FLOWERS; VARIABILITY; CHEMISTRY; SNOW; PARTICLES; RATIOS</t>
  </si>
  <si>
    <t>The water-soluble ions and carbonaceous compounds of PM1 were measured at the King Sejong Station (KSG) in the northern part of Antarctic Peninsula from March to November in 2009. As the sum of all measured species including organic matter [OM: organic carbon (OC)*1.9], the PM1 mass reached a maximum of 936 ng m(-3) with the mean of 686 +/- 226 ng m(-3). The most abundant constituents were OM (389 +/- 109 ng m(-3)) and seasalts (Na+ and Cl-, 193 +/- 122 ng m(-3)), which comprised 85% of the PM1 mass. In contrast, the contribution of SO42- was below 1% and its depletion relative to Na+ was prevalent particularly during winter, which was attributed to the frost flowers on newly formed sea-ice surface.The OC concentration was the highest in fall and its subcomponents OC2 and OC3 were moderately correlated with sea-salts (r = 0.5), indicating the marine biogenic source for OC. The elemental carbon (EC) concentration was much lower than OC, leading to the mean OC/EC ratio over 10. While the charred fraction of EC (EC1) was elevated by the long-range transport of biomass burning plume from nearby continent, the mass fraction of soot-EC (EC23) was increased concurrently with enhanced NO3-, suggesting EC23 as a good indicator for local influence in pristine environments like Antarctic region. (C) 2019 Published by Elsevier B.V.</t>
  </si>
  <si>
    <t>[Lim, Saehee; Lee, Meehye] Korea Univ, Dept Earth &amp; Environm Sci, Seoul, South Korea; [Rhee, Tae Siek] Korea Polar Res Inst, Incheon, South Korea</t>
  </si>
  <si>
    <t>Korea University; Korea Polar Research Institute (KOPRI)</t>
  </si>
  <si>
    <t>Lee, M (corresponding author), Korea Univ, Dept Earth &amp; Environm Sci, Seoul, South Korea.</t>
  </si>
  <si>
    <t>meehye@korea.ac.kr</t>
  </si>
  <si>
    <t>Basic Science Research Program through the National Research Foundation of Korea (NRF) - Ministry of Science, Information, and Communications Technology &amp; Future Planning [2017R1A2B4012143]; Basic Science Research Program of NRF; Ministry of Education [2015R1A6A3A01061393, 2016R1D1A1B03934532]; Korea Polar Research Programs [PM19050, PE19150, PM14070]</t>
  </si>
  <si>
    <t>Basic Science Research Program through the National Research Foundation of Korea (NRF) - Ministry of Science, Information, and Communications Technology &amp; Future Planning(National Research Foundation of Korea); Basic Science Research Program of NRF(National Research Foundation of Korea); Ministry of Education; Korea Polar Research Programs</t>
  </si>
  <si>
    <t>This research was supported by Basic Science Research Program through the National Research Foundation of Korea (NRF) funded by the Ministry of Science, Information, and Communications Technology &amp; Future Planning (2017R1A2B4012143). S. Lim thanks the support by the Basic Science Research Program of NRF and the Ministry of Education (2015R1A6A3A01061393 and 2016R1D1A1B03934532). T. S. Rhee appreciates financial support from Korea Polar Research Programs (PM19050, PE19150, and PM14070).</t>
  </si>
  <si>
    <t>10.1016/j.scitotenv.2019.02.099</t>
  </si>
  <si>
    <t>WOS:000462776800120</t>
  </si>
  <si>
    <t>Larour, E; Seroussi, H; Adhikari, S; Ivins, E; Caron, L; Morlighem, M; Schlegel, N</t>
  </si>
  <si>
    <t>Larour, E.; Seroussi, H.; Adhikari, S.; Ivins, E.; Caron, L.; Morlighem, M.; Schlegel, N.</t>
  </si>
  <si>
    <t>Slowdown in Antarctic mass loss from solid Earth and sea-level feedbacks</t>
  </si>
  <si>
    <t>ICE-SHEET; THWAITES GLACIER; WEST ANTARCTICA; BED TOPOGRAPHY; PINE ISLAND; RETREAT; COLLAPSE; SENSITIVITIES; CONSISTENT; CRYOSPHERE</t>
  </si>
  <si>
    <t>Geodetic investigations of crustal motions in the Amundsen Sea sector of West Antarctica and models of ice-sheet evolution in the past 10,000 years have recently highlighted the stabilizing role of solid-Earth uplift on polar ice sheets. One critical aspect, however, that has not been assessed is the impact of short-wavelength uplift generated by the solid-Earth response to unloading over short time scales close to ice-sheet grounding lines (areas where the ice becomes afloat). Here, we present a new global simulation of Antarctic evolution at high spatiotemporal resolution that captures all solid Earth processes that affect ice sheets and show a projected negative feedback in grounding line migration of 38% for Thwaites Glacier 350 years in the future, or 26.8% reduction in corresponding sea-level contribution.</t>
  </si>
  <si>
    <t>[Larour, E.; Seroussi, H.; Adhikari, S.; Ivins, E.; Caron, L.; Schlegel, N.] CALTECH, Jet Prop Lab, Pasadena, CA 91109 USA; [Larour, E.] Univ Calif Los Angeles, Joint Inst Reg Earth Syst Sci &amp; Engn, Los Angeles, CA 90095 USA; [Morlighem, M.] Univ Calif Irvine, Dept Earth Syst Sci, Croul Hall, Irvine, CA USA</t>
  </si>
  <si>
    <t>California Institute of Technology; National Aeronautics &amp; Space Administration (NASA); NASA Jet Propulsion Laboratory (JPL); University of California System; University of California Los Angeles; University of California System; University of California Irvine</t>
  </si>
  <si>
    <t>Larour, E (corresponding author), CALTECH, Jet Prop Lab, Pasadena, CA 91109 USA.;Larour, E (corresponding author), Univ Calif Los Angeles, Joint Inst Reg Earth Syst Sci &amp; Engn, Los Angeles, CA 90095 USA.</t>
  </si>
  <si>
    <t>eric.larour@jpl.nasa.gov</t>
  </si>
  <si>
    <t>Seroussi, Helene/AAX-5342-2021; Caron, Lambert/AAO-9863-2021; Morlighem, Mathieu/O-9942-2014; Ivins, Erik R/C-2416-2011</t>
  </si>
  <si>
    <t>Seroussi, Helene/0000-0001-9201-1644; Morlighem, Mathieu/0000-0001-5219-1310; Schlegel, Nicole-Jeanne/0000-0001-8035-448X; Ivins, Erik/0000-0003-0148-357X; Adhikari, Surendra/0000-0003-1021-6860</t>
  </si>
  <si>
    <t>JPL Research, Technology and Development Program [01STCR R.17.235.118]; NASA [105393 509496.02.08.08.53, 105393 444491.02.04.01.80, 105393 281945.02.53.04.07, 105479 509496.02.08.10.07, 105479 509496.02.08.08.49, E. 8.1.1, 105393 509496.02.08.10.65, 105393 281945.02.53.03.97, 105526-281945.02.47.03.86]; NFS [1739031]</t>
  </si>
  <si>
    <t>JPL Research, Technology and Development Program; NASA(National Aeronautics &amp; Space Administration (NASA)); NFS</t>
  </si>
  <si>
    <t>This work was funded by JPL Research, Technology and Development Program grant #01STCR R.17.235.118 (S.A.). It was also funded by the following programs at NASA: Cryospheric sciences under grants 105393 509496.02.08.08.53 and 105393 444491.02.04.01.80 (E.L. and N.S.) and grant 105393 281945.02.53.04.07 (H.S.), Modeling Analysis and Prediction under grants 105479 509496.02.08.10.07 (E.L. and N.S.) and 105479 509496.02.08.08.49 (H.S.), GRACE Science Team under grant E. 8.1.1 (E.L.), Sea-Level Science Team under grants 105393 509496.02.08.10.65 (E.I., E.L., L.C., N.S., and S.A.) and 105393 281945.02.53.03.97 (E.I.), and Earth System and Interior under grant 105526-281945.02.47.03.86. It was also funded by NFS grant 1739031 (M.M.).</t>
  </si>
  <si>
    <t>JUN 7</t>
  </si>
  <si>
    <t>eaav7908</t>
  </si>
  <si>
    <t>10.1126/science.aav7908</t>
  </si>
  <si>
    <t>IT5OM</t>
  </si>
  <si>
    <t>WOS:000482914100050</t>
  </si>
  <si>
    <t>Steig, EJ</t>
  </si>
  <si>
    <t>Steig, Eric J.</t>
  </si>
  <si>
    <t>How fast will the Antarctic ice sheet retreat?</t>
  </si>
  <si>
    <t>GLACIER</t>
  </si>
  <si>
    <t>[Steig, Eric J.] Univ Washington, Dept Earth &amp; Space Sci, Seattle, WA 98105 USA</t>
  </si>
  <si>
    <t>Steig, EJ (corresponding author), Univ Washington, Dept Earth &amp; Space Sci, Seattle, WA 98105 USA.</t>
  </si>
  <si>
    <t>steig@uw.edu</t>
  </si>
  <si>
    <t>Steig, Eric J/G-9088-2015</t>
  </si>
  <si>
    <t>NSF [1602435]; Directorate For Geosciences; Office of Polar Programs (OPP) [1602435] Funding Source: National Science Foundation</t>
  </si>
  <si>
    <t>NSF(National Science Foundation (NSF)); Directorate For Geosciences; Office of Polar Programs (OPP)(National Science Foundation (NSF)NSF - Directorate for Geosciences (GEO))</t>
  </si>
  <si>
    <t>Supported by NSF grant 1602435.</t>
  </si>
  <si>
    <t>10.1126/science.aax2626</t>
  </si>
  <si>
    <t>WOS:000482914100037</t>
  </si>
  <si>
    <t>Viljoen, JJ; Weir, I; Fietz, S; Cloete, R; Loock, J; Philibert, R; Roychoudhury, AN</t>
  </si>
  <si>
    <t>Viljoen, Johannes J.; Weir, Ian; Fietz, Susanne; Cloete, Ryan; Loock, Jean; Philibert, Raissa; Roychoudhury, Alakendra N.</t>
  </si>
  <si>
    <t>Links Between the Phytoplankton Community Composition and Trace Metal Distribution in Summer Surface Waters of the Atlantic Southern Ocean</t>
  </si>
  <si>
    <t>cyanobacteria; diatoms; GEOTRACES; ice edge; Phaeocystis antarctica; photosynthetic pigments</t>
  </si>
  <si>
    <t>MARINE-PHYTOPLANKTON; PHAEOCYSTIS-ANTARCTICA; DISSOLVED MANGANESE; SPATIAL VARIABILITY; IRON REQUIREMENTS; EMILIANIA-HUXLEYI; GLOBAL OCEAN; LIMITATION; COBALT; ZINC</t>
  </si>
  <si>
    <t>This study assessed changes in the phytoplankton community related to macronutrient and bioactive trace metal distribution in surface waters of the Atlantic sector of the Southern Ocean, between Cape Town and Antarctica along the GEOTRACES GIPY_05 (mainly along prime meridian) transect in summer 2014-2015. Several general community structure features were reaffirmed, such as the restriction of cyanobacteria to the northern Subtropical Zone, while haptophytes, such as Phaeocystis, along with diatoms, dominate the community north of the Polar Front, and diatoms clearly dominate south of the Polar Front. These community structure changes were often linked with macro-and micro-nutrient composition changes. For example, the concentration of diatoms increased southwards with the availability of silica whereas the cyanobacterial contribution in the northern Subtropical Zone appeared to be linked with labile cobalt depletion. However, these links were not consistent along the entire transect, i.e., no individual nutrient, such as silica or iron, was linked to community composition changes across all water masses. Each station showed a rather unique combination of nutrient and community compositions. Our findings also indicated impacts on the phytoplankton community through trace metal distributions that could be related to a deep mixing event at similar to 54 degrees S and to ice melt at similar to 65 and 68 degrees S. The timing of sampling after such trace metal fluxes proved to be an important consideration, particularly where iron appeared to be preferentially depleted to near-limiting concentrations, possibly driving utilization of other metals. The study highlights the importance of considering a suite of trace metals when assessing controls of phytoplankton variability in the open ocean and emphasizes the need for higher resolution trace metal sampling and multi-element incubation studies to further study the complex relationships between phytoplankton and nutrients.</t>
  </si>
  <si>
    <t>[Viljoen, Johannes J.; Weir, Ian; Fietz, Susanne; Cloete, Ryan; Loock, Jean; Philibert, Raissa; Roychoudhury, Alakendra N.] Univ Stellenbosch, Ctr Trace Met &amp; Expt Biogeochem, Dept Earth Sci, Stellenbosch, South Africa; [Philibert, Raissa] Hatfield Consultants, N Vancouver, BC, Canada</t>
  </si>
  <si>
    <t>Stellenbosch University</t>
  </si>
  <si>
    <t>Fietz, S (corresponding author), Univ Stellenbosch, Ctr Trace Met &amp; Expt Biogeochem, Dept Earth Sci, Stellenbosch, South Africa.</t>
  </si>
  <si>
    <t>sfietz@sun.ac.za</t>
  </si>
  <si>
    <t>Viljoen, Johannes J./ABD-2931-2021; Fietz, Susanne/A-8695-2012</t>
  </si>
  <si>
    <t>Viljoen, Johannes J./0000-0002-9400-2757; Fietz, Susanne/0000-0003-0896-8385</t>
  </si>
  <si>
    <t>National Research Foundation (NRF) under the SANAP program [110715, 110731]; NRF through a Masters Innovation Scholarship; NRF through the South African National Antarctic Program [110731]; National Research Foundation (NRF) under Bilateral program [114677]; National Research Foundation (NRF) under CPRR program [105826]</t>
  </si>
  <si>
    <t>National Research Foundation (NRF) under the SANAP program; NRF through a Masters Innovation Scholarship; NRF through the South African National Antarctic Program; National Research Foundation (NRF) under Bilateral program; National Research Foundation (NRF) under CPRR program</t>
  </si>
  <si>
    <t>The work leading to these results received funding from the National Research Foundation (NRF) under the SANAP (Grant Nos. 110715 and 110731), Bilateral (Grant No. 114677), and CPRR (Grant No. 105826) programs. JV acknowledges funding from NRF through a Masters Innovation Scholarship. IW acknowledges the financial assistance of the NRF through the South African National Antarctic Program (Grant No. 110731).</t>
  </si>
  <si>
    <t>JUN 6</t>
  </si>
  <si>
    <t>10.3389/fmars.2019.00295</t>
  </si>
  <si>
    <t>IC2LB</t>
  </si>
  <si>
    <t>WOS:000470790200001</t>
  </si>
  <si>
    <t>Yi, W; Xue, XH; Reid, IM; Murphy, DJ; Hall, CM; Tsutsumi, M; Ning, BQ; Li, GZ; Vincent, RA; Chen, JS; Wu, JF; Chen, TD; Dou, XK</t>
  </si>
  <si>
    <t>Yi, Wen; Xue, Xianghui; Reid, Iain M.; Murphy, Damian J.; Hall, Chris M.; Tsutsumi, Masaki; Ning, Baiqi; Li, Guozhu; Vincent, Robert A.; Chen, Jinsong; Wu, Jianfei; Chen, Tingdi; Dou, Xiankang</t>
  </si>
  <si>
    <t>Climatology of the mesopause relative density using a global distribution of meteor radars</t>
  </si>
  <si>
    <t>NEUTRAL MESOSPHERIC DENSITY; ATMOSPHERE TEMPERATURE; WAVE ACTIVITY; REGION; PRESSURE; HEIGHTS; LIDAR; OH</t>
  </si>
  <si>
    <t>The existing distribution of meteor radars located from high- to low-latitude regions provides a favorable temporal and spatial coverage for investigating the climatology of the global mesopause density. In this study, we report the climatology of the mesopause relative density estimated using multiyear observations from nine meteor radars, namely, the Davis Station (68.6 degrees S, 77.9 degrees E), Svalbard (78.3 degrees N, 16 degrees E) and Tromso (69.6 degrees N, 19.2 degrees E) meteor radars located at high latitudes; the Mohe (53.5 degrees N, 122.3 degrees E), Beijing (40.3 degrees N, 116.2 degrees E), Mengcheng (33.4 degrees N, 116.6 degrees E) and Wuhan (30.5 degrees N, 114.6 degrees E) meteor radars located in the midlatitudes; and the Kunming (25.6 degrees N, 103.8 degrees E) and Darwin (12.3 degrees S, 130.8 degrees E) meteor radars located at low latitudes. The daily mean relative density was estimated using ambipolar diffusion coefficients derived from the meteor radars and temperatures from the Microwave Limb Sounder (MLS) on board the Aura satellite. The seasonal variations in the Davis Station meteor radar relative densities in the southern polar mesopause are mainly dominated by an annual oscillation (AO). The mesopause relative densities observed by the Svalbard and Tromso meteor radars at high latitudes and the Mohe and Beijing meteor radars at high midlatitudes in the Northern Hemisphere show mainly an AO and a relatively weak semiannual oscillation (SAO). The mesopause relative densities observed by the Mengcheng and Wuhan meteor radars at lower midlatitudes and the Kunming and Darwin meteor radars at low latitudes show mainly an AO. The SAO is evident in the Northern Hemisphere, especially at high latitudes, and its largest amplitude, which is detected at the Tromso meteor radar, is comparable to the AO amplitudes. These observations indicate that the mesopause relative densities over the southern and northern high latitudes exhibit a clear seasonal asymmetry. The maxima of the yearly variations in the mesopause relative densities display a clear latitudinal variation across the spring equinox as the latitude decreases; these latitudinal variation characteristics may be related to latitudinal changes influenced by gravity wave forcing. In addition to an AO, the mesopause relative densities over low latitudes also clearly show an intraseasonal variation with a periodicity of 30-60 d.</t>
  </si>
  <si>
    <t>[Yi, Wen; Xue, Xianghui; Wu, Jianfei; Chen, Tingdi; Dou, Xiankang] Univ Sci &amp; Technol China, Dept Geophys &amp; Planetary Sci, CAS Key Lab Geospace Environm, Hefei, Anhui, Peoples R China; [Yi, Wen; Xue, Xianghui; Wu, Jianfei; Chen, Tingdi] Univ Sci &amp; Technol China, Sch Earth &amp; Space Sci, Mengcheng Natl Geophys Observ, Hefei, Anhui, Peoples R China; [Reid, Iain M.; Vincent, Robert A.] ATRAD Pty Ltd, Thebarton, SA, Australia; [Reid, Iain M.; Vincent, Robert A.] Univ Adelaide, Sch Phys Sci, Adelaide, SA, Australia; [Xue, Xianghui] Univ Sci &amp; Technol China, Synerget Innovat Ctr Quantum Informat &amp; Quantum P, Hefei, Anhui, Peoples R China; [Murphy, Damian J.] Australian Antarctic Div, Kingston, Tas, Australia; [Hall, Chris M.] UiT The Arctic Univ Norway, Tromso Geophys Observ, Tromso, Norway; [Tsutsumi, Masaki] Natl Inst Polar Res, Tachikawa, Tokyo, Japan; [Ning, Baiqi; Li, Guozhu] Chinese Acad Sci, Inst Geol &amp; Geophys, Key Lab Earth &amp; Planetary Phys, Beijing, Peoples R China; [Chen, Jinsong] China Res Inst Radiowave Propagat, Natl Key Lab Electromagnet Environm, Qingdao, Shandong, Peoples R China</t>
  </si>
  <si>
    <t>Chinese Academy of Sciences; University of Science &amp; Technology of China, CAS; Chinese Academy of Sciences; University of Science &amp; Technology of China, CAS; ATRAD Pty Ltd.; University of Adelaide; Chinese Academy of Sciences; University of Science &amp; Technology of China, CAS; CAS Center for Excellence in Quantum Information &amp; Quantum Physics; Australian Antarctic Division; UiT The Arctic University of Tromso; Research Organization of Information &amp; Systems (ROIS); National Institute of Polar Research (NIPR) - Japan; Chinese Academy of Sciences; Institute of Geology &amp; Geophysics, CAS</t>
  </si>
  <si>
    <t>Xue, XH (corresponding author), Univ Sci &amp; Technol China, Dept Geophys &amp; Planetary Sci, CAS Key Lab Geospace Environm, Hefei, Anhui, Peoples R China.;Xue, XH (corresponding author), Univ Sci &amp; Technol China, Sch Earth &amp; Space Sci, Mengcheng Natl Geophys Observ, Hefei, Anhui, Peoples R China.;Reid, IM (corresponding author), ATRAD Pty Ltd, Thebarton, SA, Australia.;Reid, IM (corresponding author), Univ Adelaide, Sch Phys Sci, Adelaide, SA, Australia.;Xue, XH (corresponding author), Univ Sci &amp; Technol China, Synerget Innovat Ctr Quantum Informat &amp; Quantum P, Hefei, Anhui, Peoples R China.</t>
  </si>
  <si>
    <t>xuexh@ustc.edu.cn; ireid@atrad.com.au</t>
  </si>
  <si>
    <t>Reid, Iain/B-5681-2012; Dou, xiankang/M-9106-2013; Wu, Jianfei/P-8645-2019; Yi, Wen/M-4896-2019; Xue, Xianghui/S-5789-2019; Ning, Baiqi/A-2573-2012; Vincent, Robert A/E-5450-2013; Li, Guozhu/D-4322-2009</t>
  </si>
  <si>
    <t>Reid, Iain/0000-0003-2340-9047; Wu, Jianfei/0000-0002-3998-9296; Yi, Wen/0000-0003-3717-6811; Xue, Xianghui/0000-0002-4541-9900; Vincent, Robert A/0000-0001-6559-6544; Li, Guozhu/0000-0002-7669-3590; Murphy, Damian/0000-0003-1738-5560</t>
  </si>
  <si>
    <t>National Natural Science Foundation of China [41774158, 41474129, 41674150]; Youth Innovation Promotion Association of the Chinese Academy of Sciences [2011324]; Chinese Meridian Project; China Scholarship Council</t>
  </si>
  <si>
    <t>National Natural Science Foundation of China(National Natural Science Foundation of China (NSFC)); Youth Innovation Promotion Association of the Chinese Academy of Sciences; Chinese Meridian Project; China Scholarship Council(China Scholarship Council)</t>
  </si>
  <si>
    <t>This research has been supported by the National Natural Science Foundation of China (grant nos. 41774158, 41474129 and 41674150) and the Youth Innovation Promotion Association of the Chinese Academy of Sciences (grant no. 2011324)), as well as the Chinese Meridian Project and the China Scholarship Council.</t>
  </si>
  <si>
    <t>10.5194/acp-19-7567-2019</t>
  </si>
  <si>
    <t>IC2XG</t>
  </si>
  <si>
    <t>WOS:000470822700001</t>
  </si>
  <si>
    <t>Kim, J; Yoon, YJ; Gim, Y; Choi, JH; Kang, HJ; Park, KT; Park, J; Lee, BY</t>
  </si>
  <si>
    <t>Kim, Jaeseok; Yoon, Young Jun; Gim, Yeontae; Choi, Jin Hee; Kang, Hyo Jin; Park, Ki-Tae; Park, Jiyeon; Lee, Bang Yong</t>
  </si>
  <si>
    <t>New particle formation events observed at King Sejong Station, Antarctic Peninsula - Part 1: Physical characteristics and contribution to cloud condensation nuclei</t>
  </si>
  <si>
    <t>AEROSOL-SIZE DISTRIBUTIONS; NUCLEATION MODE PARTICLES; ATMOSPHERIC ULTRAFINE PARTICLES; BOUNDARY-LAYER; COASTAL; GROWTH; SITE; HYGROSCOPICITY; VOLATILITY; EMISSION</t>
  </si>
  <si>
    <t>The physical characteristics of aerosol particles during particle bursts observed at King Sejong Station in the Antarctic Peninsula from March 2009 to December 2016 were analyzed. This study focuses on the seasonal variation in parameters related to particle formation such as the occurrence, formation rate (FR) and growth rate (GR), condensation sink (CS) and source rate of condensable vapor. The number concentrations during new particle formation (NPF) events varied from 1707 to 83 120 cm(-3), with an average of 20 649 +/- 9290 cm(-3), and the duration of the NPF events ranged from 0.6 to 14.4 h, with a mean of 4.6 +/- 1.5 h. The NPF event dominantly occurred during austral summer period (similar to 72 %). The measured mean values of FR and GR of the aerosol particles were 2.79 +/- 1.05 cm(-3)s(-1) and 0.68 +/- 0.27 nm h(-1), respectively, showing enhanced rates in the summer season. The mean value of FR at King Sejong Station was higher than that at other sites in Antarctica, at 0.002-0.3 cm(-3)s(-1), while those of growth rates were relatively similar to the results observed by previous studies, at 0.4-4.3 nm h(-1). The derived average values of CS and source rate of condensable vapor were (6.04 +/- 2.74) x 10(-3)s(-1) and (5.19 +/- 3.51) x 10 4 cm(-3)s(-1), respectively. The contribution of particle formation to cloud condensation nuclei (CCN) concentration was also investigated. The CCN concentration during the NPF period increased by approximately 11 % compared with the background concentration. In addition, the effects of the origin and pathway of air masses on the characteristics of aerosol particles during a NPF event were determined. The FRs were similar regardless of the origin and pathway, whereas the GRs of particles originating from the Antarctic Peninsula and the Bellingshausen Sea, at 0.77 +/- 0.25 and 0.76 +/- 0.30 nm h(-1), respectively, were higher than those of particles originating from the Weddell Sea (0.41 +/- 0.15 nmh(-1)).</t>
  </si>
  <si>
    <t>[Kim, Jaeseok; Yoon, Young Jun; Gim, Yeontae; Choi, Jin Hee; Kang, Hyo Jin; Park, Ki-Tae; Park, Jiyeon; Lee, Bang Yong] Korea Polar Res Inst, 26 Songdomirae Ro, Incheon 21990, South Korea; [Kim, Jaeseok] Korea Res Inst Stand &amp; Sci, 267 Gajeong Ro, Daejeon 34113, South Korea; [Kang, Hyo Jin] UST, 217 Gajeong Ro, Daejeon 34113, South Korea</t>
  </si>
  <si>
    <t>Korea Polar Research Institute (KOPRI); Korea Research Institute of Standards &amp; Science (KRISS); University of Science &amp; Technology (UST)</t>
  </si>
  <si>
    <t>Yoon, YJ (corresponding author), Korea Polar Res Inst, 26 Songdomirae Ro, Incheon 21990, South Korea.</t>
  </si>
  <si>
    <t>yjyoon@kopri.re.kr</t>
  </si>
  <si>
    <t>Park, Ki-Tae/CAF-2480-2022</t>
  </si>
  <si>
    <t>Park, Ki-Tae/0000-0003-4874-6189; Kim, Jaeseok/0000-0002-7920-0288</t>
  </si>
  <si>
    <t>Korea Polar Research Institute [PE19010]</t>
  </si>
  <si>
    <t>This research has been supported by the Korea Polar Research Institute (grant no. PE19010).</t>
  </si>
  <si>
    <t>10.5194/acp-19-7583-2019</t>
  </si>
  <si>
    <t>WOS:000470822700002</t>
  </si>
  <si>
    <t>Jang, E; Park, KT; Yoon, YJ; Kim, TW; Hong, SB; Becagli, S; Traversi, R; Kim, J; Gim, Y</t>
  </si>
  <si>
    <t>Jang, Eunho; Park, Ki-Tae; Yoon, Young Jun; Kim, Tae-Wook; Hong, Sang-Bum; Becagli, Silvia; Traversi, Rita; Kim, Jaeseok; Gim, Yeontae</t>
  </si>
  <si>
    <t>New particle formation events observed at the King Sejong Station, Antarctic Peninsula - Part 2: Link with the oceanic biological activities</t>
  </si>
  <si>
    <t>CLOUD CONDENSATION NUCLEI; ION-INDUCED NUCLEATION; DIMETHYL SULFIDE; PHAEOCYSTIS-ANTARCTICA; ATMOSPHERIC SULFUR; CLIMATE-CHANGE; ARCTIC-OCEAN; DOME C; PHYTOPLANKTON; AEROSOLS</t>
  </si>
  <si>
    <t>Marine biota is an important source of atmospheric aerosol particles in the remote marine atmosphere. However, the relationship between new particle formation and marine biota is poorly quantified. Long-term observations (from 2009 to 2016) of the physical properties of atmospheric aerosol particles measured at the Antarctic Peninsula (King Sejong Station; 62.2 degrees S, 58.8 degrees W) and satellite-derived estimates of the biological characteristics were analyzed to identify the link between new particle formation and marine biota. New particle formation events in the Antarctic atmosphere showed distinct seasonal variations, with the highest values occurring when the air mass originated from the ocean domain during the productive austral summer (December, January and February). Interestingly, new particle formation events were more frequent in the air masses that originated from the Bellingshausen Sea than in those that originated from the Weddell Sea. The monthly mean number concentration of nanoparticles (2.5-10 nm in diameter) was &gt; 2-fold higher when the air masses passed over the Bellingshausen Sea than the Weddell Sea, whereas the biomass of phytoplankton in the Weddell Sea was more than similar to 70 % higher than that of the Bellingshausen Sea during the austral summer period. Dimethyl sulfide (DMS) is of marine origin and its oxidative products are known to be one of the major components in the formation of new particles. Both satellite-derived estimates of the biological characteristics (dimethylsulfoniopropionate, DMSP; precursor of DMS) and phyto- plankton taxonomic composition and in situ methanesulfonic acid (84 daily measurements during the summer period in 2013 and 2014) analysis revealed that DMS(P)-rich phytoplankton were more dominant in the Bellingshausen Sea than in the Weddell Sea. Furthermore, the number concentration of nanoparticles was positively correlated with the biomass of phytoplankton during the period when DMS(P)-rich phytoplankton predominate. These results indicate that oceanic DMS emissions could play a key role in the formation of new particles; moreover, the taxonomic composition of phytoplankton could affect the formation of new particles in the Antarctic Ocean.</t>
  </si>
  <si>
    <t>[Jang, Eunho; Park, Ki-Tae; Yoon, Young Jun; Hong, Sang-Bum; Gim, Yeontae] Korea Polar Res Inst, 26 Songdomirae Ro, Incheon 21990, South Korea; [Jang, Eunho] Univ Sci &amp; Technol, 217 Gajeong Ro, Daejeon 34113, South Korea; [Kim, Tae-Wook] Korea Univ, Div Environm Sci &amp; Ecol Engn, Seoul, South Korea; [Becagli, Silvia; Traversi, Rita] Univ Florence, Dept Chem Ugo Schiff, Via Lastruccia 3, I-50019 Sesto Fiorentino, FI, Italy; [Kim, Jaeseok] Korea Res Inst Stand &amp; Sci, 267 Gajeong Ro, Daejeon 34113, South Korea</t>
  </si>
  <si>
    <t>Korea Polar Research Institute (KOPRI); University of Science &amp; Technology (UST); Korea University; University of Florence; Korea Research Institute of Standards &amp; Science (KRISS)</t>
  </si>
  <si>
    <t>Park, KT (corresponding author), Korea Polar Res Inst, 26 Songdomirae Ro, Incheon 21990, South Korea.</t>
  </si>
  <si>
    <t>ktpark@kopri.re.kr</t>
  </si>
  <si>
    <t>Becagli, Silvia/GNW-2665-2022; Park, Ki-Tae/CAF-2480-2022; Kim, Tae-Wook/E-9611-2011; Traversi, Rita/M-7586-2015</t>
  </si>
  <si>
    <t>Park, Ki-Tae/0000-0003-4874-6189; Kim, Jaeseok/0000-0002-7920-0288; Traversi, Rita/0000-0002-9790-2195</t>
  </si>
  <si>
    <t>Korea Polar Research Institute [PE19010, PE19140]</t>
  </si>
  <si>
    <t>This research has been supported by the Korea Polar Research Institute (grant no. PE19010 and PE19140).</t>
  </si>
  <si>
    <t>10.5194/acp-19-7595-2019</t>
  </si>
  <si>
    <t>WOS:000470822700003</t>
  </si>
  <si>
    <t>Brock, CA; Williamson, C; Kupc, A; Froyd, KD; Erdesz, F; Wagner, N; Richardson, M; Schwarz, JP; Gao, RS; Katich, JM; Campuzano-Jost, P; Nault, BA; Schroder, JC; Jimenez, JL; Weinzierl, B; Dollner, M; Bui, T; Murphy, DM</t>
  </si>
  <si>
    <t>Brock, Charles A.; Williamson, Christina; Kupc, Agnieszka; Froyd, Karl D.; Erdesz, Frank; Wagner, Nicholas; Richardson, Matthews; Schwarz, Joshua P.; Gao, Ru-Shan; Katich, Joseph M.; Campuzano-Jost, Pedro; Nault, Benjamin A.; Schroder, Jason C.; Jimenez, Jose L.; Weinzierl, Bernadett; Dollner, Maximilian; Bui, ThaoPaul; Murphy, Daniel M.</t>
  </si>
  <si>
    <t>Aerosol size distributions during the Atmospheric Tomography Mission (ATom): methods, uncertainties, and data products</t>
  </si>
  <si>
    <t>ATMOSPHERIC MEASUREMENT TECHNIQUES</t>
  </si>
  <si>
    <t>REFRACTIVE-INDEX; PARTICLE; AIRCRAFT; SPECTROMETER; DUST; INSTRUMENT; NUCLEATION; CHEMISTRY; AIRBORNE; DENSITY</t>
  </si>
  <si>
    <t>From 2016 to 2018 a DC-8 aircraft operated by the US National Aeronautics and Space Administration (NASA) made four series of flights, profiling the atmosphere from 180m to similar to 12 km above sea level (km a. s. l.) from the Arctic to the Antarctic over both the Pacific and Atlantic oceans. This program, the Atmospheric Tomography Mission (ATom), sought to sample the troposphere in a representative manner, making measurements of atmospheric composition in each season. This paper describes the aerosol microphysical measurements and derived quantities obtained during this mission. Dry size distributions from 2.7 nm to 4.8 mu m in diameter were measured in situ at 1 Hz using a battery of instruments: 10 condensation particle counters with different nucleation diameters, two ultra-high-sensitivity aerosol size spectrometers (UHSASs), one of which measured particles surviving heating to 300 ffi C, and a laser aerosol spectrometer (LAS). The dry aerosol measurements were complemented by size distribution measurements from 0.5 to 930 mu m diameter at near-ambient conditions using a cloud, aerosol, and precipitation spectrometer (CAPS) mounted under the wing of the DC-8. Dry aerosol number, surface area, and volume, and optical scattering and asymmetry parameters at several wavelengths from the near-UV to the near-IR ranges were calculated from the measured dry size distributions (2.7 nm to 4.8 mu m). Dry aerosol mass was estimated by combining the size distribution data with particle density es-timated from independent measurements of aerosol composition with a high-resolution aerosol mass spectrometer and a single-particle soot photometer. We describe the instrumentation and fully document the aircraft inlet and flow distribution system, the derivation of uncertainties, and the calculation of data products from combined size distributions. Comparisons between the instruments and direct measurements of some aerosol properties confirm that in-flight performance was consistent with calibrations and within stated uncertainties for the two deployments analyzed. The unique ATom dataset contains accurate, precise, high-resolution in situ measurements of dry aerosol size distributions, and integral parameters, and estimates and measurements of optical properties, for particles &lt; 4.8 mu m in diameter that can be used to evaluate aerosol abundance and processes in global models.</t>
  </si>
  <si>
    <t>[Brock, Charles A.; Williamson, Christina; Kupc, Agnieszka; Froyd, Karl D.; Erdesz, Frank; Wagner, Nicholas; Richardson, Matthews; Schwarz, Joshua P.; Gao, Ru-Shan; Katich, Joseph M.; Murphy, Daniel M.] NOAA, Earth Syst Res Lab, Boulder, CO 80305 USA; [Williamson, Christina; Kupc, Agnieszka; Froyd, Karl D.; Erdesz, Frank; Wagner, Nicholas; Richardson, Matthews; Katich, Joseph M.; Campuzano-Jost, Pedro; Nault, Benjamin A.; Schroder, Jason C.; Jimenez, Jose L.] Univ Colorado, Cooperat Inst Res Environm Sci, Boulder, CO 80309 USA; [Campuzano-Jost, Pedro; Nault, Benjamin A.; Schroder, Jason C.; Jimenez, Jose L.] Univ Colorado, Dept Chem, Boulder, CO 80309 USA; [Weinzierl, Bernadett; Dollner, Maximilian] Univ Vienna, Fac Phys Aerosol Phys &amp; Environm Phys, A-1090 Vienna, Austria; [Bui, ThaoPaul] NASA, Atmospher Sci Branch, Ames Res Ctr, Moffett Field, CA 94035 USA</t>
  </si>
  <si>
    <t>National Oceanic Atmospheric Admin (NOAA) - USA; University of Colorado System; University of Colorado Boulder; University of Colorado System; University of Colorado Boulder; University of Vienna; National Aeronautics &amp; Space Administration (NASA); NASA Ames Research Center</t>
  </si>
  <si>
    <t>Brock, CA (corresponding author), NOAA, Earth Syst Res Lab, Boulder, CO 80305 USA.</t>
  </si>
  <si>
    <t>charles.a.brock@noaa.gov</t>
  </si>
  <si>
    <t>Erdesz, Frank D/C-7371-2016; Froyd, Karl/H-6607-2013; Campuzano Jost, Pedro/GLR-4560-2022; schwarz, joshua P/G-4556-2013; Murphy, Daniel/J-4357-2012; Jimenez, Jose L/A-5294-2008; Gao, Ru-Shan/H-7455-2013; Dollner, Maximilian/N-4630-2016; Williamson, Christina J/D-1484-2016; Weinzierl, Bernadett/G-5319-2012; KATICH, JOSEPH/E-2991-2017; Brock, Charles/G-3406-2011; WAGNER, NICHOLAS/E-7437-2010</t>
  </si>
  <si>
    <t>Froyd, Karl/0000-0002-0797-6028; Campuzano Jost, Pedro/0000-0003-3930-010X; schwarz, joshua P/0000-0002-9123-2223; Murphy, Daniel/0000-0002-8091-7235; Jimenez, Jose L/0000-0001-6203-1847; Gao, Ru-Shan/0000-0001-6985-1637; Dollner, Maximilian/0000-0002-9196-4969; Weinzierl, Bernadett/0000-0003-4555-5686; WILLIAMSON, CHRISTINA/0000-0002-5188-9378; KATICH, JOSEPH/0000-0002-5791-6576; Brock, Charles/0000-0002-4033-4668; SCHRODER, JASON/0000-0001-9749-151X; Nault, Benjamin/0000-0001-9464-4787; WAGNER, NICHOLAS/0000-0001-9936-1145</t>
  </si>
  <si>
    <t>NASA [NNH15AB12I, NNX15AJ23G, NNX15AH33A, 80NSSC19K0124]; European Union's Horizon 2020 Research and Innovation Programme [640458]; Austrian Science Fund (FWF) [J3613] Funding Source: Austrian Science Fund (FWF); NASA [803279, NNX15AH33A, 807497, NNX15AJ23G] Funding Source: Federal RePORTER; European Research Council (ERC) [640458] Funding Source: European Research Council (ERC)</t>
  </si>
  <si>
    <t>NASA(National Aeronautics &amp; Space Administration (NASA)); European Union's Horizon 2020 Research and Innovation Programme; Austrian Science Fund (FWF)(Austrian Science Fund (FWF)); NASA(National Aeronautics &amp; Space Administration (NASA)); European Research Council (ERC)(European Research Council (ERC)Spanish Government)</t>
  </si>
  <si>
    <t>This research has been supported by NASA (grant nos. NNH15AB12I, NNX15AJ23G, NNX15AH33A, and 80NSSC19K0124) and the European Union's Horizon 2020 Research and Innovation Programme (grant no. 640458).</t>
  </si>
  <si>
    <t>1867-1381</t>
  </si>
  <si>
    <t>1867-8548</t>
  </si>
  <si>
    <t>ATMOS MEAS TECH</t>
  </si>
  <si>
    <t>Atmos. Meas. Tech.</t>
  </si>
  <si>
    <t>10.5194/amt-12-3081-2019</t>
  </si>
  <si>
    <t>IC2XK</t>
  </si>
  <si>
    <t>WOS:000470823100002</t>
  </si>
  <si>
    <t>Xia, D; Gao, LR; Zheng, MH; Sun, YF; Qiao, L; Huang, HT; Zhang, HJ; Fu, JJ; Wu, YN; Li, JG; Zhang, L</t>
  </si>
  <si>
    <t>Xia, Dan; Gao, Lirong; Zheng, Minghui; Sun, Yifei; Qiao, Lin; Huang, Huiting; Zhang, Haijun; Fu, Jianjie; Wu, Yongning; Li, Jingguang; Zhang, Lei</t>
  </si>
  <si>
    <t>Identification and evaluation of chlorinated nonane paraffins in the environment: A persistent organic pollutant candidate for the Stockholm Convention?</t>
  </si>
  <si>
    <t>JOURNAL OF HAZARDOUS MATERIALS</t>
  </si>
  <si>
    <t>C-9-CPs; SCCPs; POPs; GC x GC-ECNI-TOFMS; Quantification</t>
  </si>
  <si>
    <t>N-ALKANES; SEDIMENTS; TRANSPORT; MATRICES; SAMPLES</t>
  </si>
  <si>
    <t>Short-chain chlorinated paraffins (SCCPs), with 10-13 carbon atoms, are persistent organic pollutants under the Stockholm Convention because they are persistent, toxic, and bioaccumulative. However, little information is available on CPs with &lt; 10 carbon atoms. C-9-CPs were identified and quantified in environmental matrices in this study. The occurrences and sources of C-9-CPs in environmental samples were investigated by determining C-9-CPs in technical CP products and environmental matrices, including indoor air and sediment, by GC x GC-ECNI-TOFMS. Quantitative structure-property relationship modeling revealed C-9-CPs have high octanol-water partition coefficients (log Kow 5.99), octanol-air partition coefficients (log Koa 7.24), and bioaccumulation factors (log BAF 4.07), indicating C-9-CPs are semivolatile and could bioaccumulate. C-9-CPs were detected in different fish (at 3.4-153 ng/g dw), confirming they can bioaccumulate. C-9-CPs were found in soil (at 3.0-25.6 ng/g dw) and biota (at 7.5-57.8 ng/g dw) from the Antarctic, demonstrating they can undergo long-range transport and are global pollutants. This is the first comprehensive study reporting the sources, occurrences, and fates of C-9-CPs in the environment, laying foundations for further evaluation of C-9-CPs and their inclusion as candidate persistent organic pollutants under the Stockholm Convention.</t>
  </si>
  <si>
    <t>[Xia, Dan; Sun, Yifei] Beihang Univ, Sch Space &amp; Environm, Beijing Key Lab Bioinspired Energy Mat &amp; Devices, Beijing 100191, Peoples R China; [Gao, Lirong; Zheng, Minghui; Qiao, Lin; Huang, Huiting; Fu, Jianjie] Chinese Acad Sci, Res Ctr Ecoenvironm Sci, State Key Lab Environm Chem &amp; Ecotoxicol, Beijing 100085, Peoples R China; [Zheng, Minghui] Jianghan Univ, Inst Environm &amp; Hlth, Wuhan 430056, Hubei, Peoples R China; [Zhang, Haijun] Chinese Acad Sci, Dalian Inst Chem Phys, Dalian 116023, Peoples R China; [Wu, Yongning; Li, Jingguang; Zhang, Lei] China Natl Ctr Food Safety Risk Assessment, NHC Key Lab Food Safety Risk Assessment, Beijing 100021, Peoples R China</t>
  </si>
  <si>
    <t>Beihang University; Chinese Academy of Sciences; Research Center for Eco-Environmental Sciences (RCEES); Jianghan University; Chinese Academy of Sciences; Dalian Institute of Chemical Physics, CAS</t>
  </si>
  <si>
    <t>Gao, LR (corresponding author), Chinese Acad Sci, Res Ctr Ecoenvironm Sci, State Key Lab Environm Chem &amp; Ecotoxicol, Beijing 100085, Peoples R China.</t>
  </si>
  <si>
    <t>gaolr@rcees.ac.cn</t>
  </si>
  <si>
    <t>li, jingguang/JPL-5894-2023; Wu, Yongning/F-5818-2019; Zhang, Lei/HTL-7613-2023; Fu, Jianjie/ABI-2640-2020</t>
  </si>
  <si>
    <t>Wu, Yongning/0000-0001-6430-1302; Fu, Jianjie/0000-0002-6373-0719</t>
  </si>
  <si>
    <t>National Natural Science Foundation of China [21577152, 21537001, 21806007, 21361140359]; National Key Research and Development Program of China [2017YFC1600502]; Open Foundation of State Key Laboratory of Environmental Chemistry and Ecotoxicology [KF2018-19]</t>
  </si>
  <si>
    <t>National Natural Science Foundation of China(National Natural Science Foundation of China (NSFC)); National Key Research and Development Program of China; Open Foundation of State Key Laboratory of Environmental Chemistry and Ecotoxicology</t>
  </si>
  <si>
    <t>This research was funded by the National Natural Science Foundation of China (grant nos. 21577152, 21537001, 21806007 and 21361140359), National Key Research and Development Program of China (No. 2017YFC1600502), and the Open Foundation of State Key Laboratory of Environmental Chemistry and Ecotoxicology (grant no. KF2018-19).</t>
  </si>
  <si>
    <t>0304-3894</t>
  </si>
  <si>
    <t>1873-3336</t>
  </si>
  <si>
    <t>J HAZARD MATER</t>
  </si>
  <si>
    <t>J. Hazard. Mater.</t>
  </si>
  <si>
    <t>JUN 5</t>
  </si>
  <si>
    <t>10.1016/j.jhazmat.2019.02.089</t>
  </si>
  <si>
    <t>IF5LI</t>
  </si>
  <si>
    <t>WOS:000473121900050</t>
  </si>
  <si>
    <t>Larter, RD; Hogan, KA; Hillenbrand, CD; Smith, JA; Batchelor, CL; Cartigny, M; Tate, AJ; Kirkham, JD; Roseby, ZA; Kuhn, G; Graham, AGC; Dowdeswell, JA</t>
  </si>
  <si>
    <t>Larter, Robert D.; Hogan, Kelly A.; Hillenbrand, Claus-Dieter; Smith, James A.; Batchelor, Christine L.; Cartigny, Matthieu; Tate, Alex J.; Kirkham, James D.; Roseby, Zoe A.; Kuhn, Gerhard; Graham, Alastair G. C.; Dowdeswell, Julian A.</t>
  </si>
  <si>
    <t>Subglacial hydrological control on flow of an Antarctic Peninsula palaeo-ice stream</t>
  </si>
  <si>
    <t>PINE ISLAND BAY; GLACIAL GEOMORPHIC FEATURES; AMUNDSEN SEA EMBAYMENT; CONTINENTAL-SHELF; PALMER-DEEP; BELLINGSHAUSEN SEA; CRESCENTIC SCOURS; WEST ANTARCTICA; SHEET; MARGIN</t>
  </si>
  <si>
    <t>Basal hydrological systems play an important role in controlling the dynamic behaviour of ice streams. Data showing their morphology and relationship to geological substrates beneath modern ice streams are, however, sparse and difficult to collect. We present new multibeam bathymetry data that make the Anvers-Hugo Trough west of the Antarctic Peninsula the most completely surveyed palaeo-ice stream pathway in Antarctica. The data reveal a diverse range of landforms, including streamlined features where there was fast flow in the palaeo-ice stream, channels eroded by flow of subglacial water, and compelling evidence of palaeo-ice stream shear margin locations. We interpret landforms as indicating that subglacial water availability played an important role in facilitating ice stream flow and controlling shear margin positions. Water was likely supplied to the ice stream bed episodically as a result of outbursts from a subglacial lake located in the Palmer Deep basin on the inner continental shelf. These interpretations have implications for controls on the onset of fast ice flow, the dynamic behaviour of palaeo-ice streams on the Antarctic continental shelf, and potentially also for behaviour of modern ice streams.</t>
  </si>
  <si>
    <t>[Larter, Robert D.; Hogan, Kelly A.; Hillenbrand, Claus-Dieter; Smith, James A.; Tate, Alex J.; Kirkham, James D.; Roseby, Zoe A.] British Antarctic Survey, Madingley Rd, Cambridge CB3 0ET, England; [Batchelor, Christine L.; Kirkham, James D.; Dowdeswell, Julian A.] Univ Cambridge, Scott Polar Res Inst, Lensfield Rd, Cambridge CB2 1ER, England; [Cartigny, Matthieu] Univ Durham, Dept Geog, South Rd, Durham DH1 3LE, England; [Roseby, Zoe A.] Univ Southampton, Ocean &amp; Earth Sci, Natl Oceanog Ctr, Waterfront Campus,European Way, Southampton SO14 3ZH, Hants, England; [Kuhn, Gerhard] Helmholtz Ctr Polar &amp; Marine Res, Alfred Wegener Inst, D-27568 Bremerhaven, Germany; [Graham, Alastair G. C.] Univ Exeter, Coll Life &amp; Environm Sci, Rennes Dr, Exeter EX4 4RJ, Devon, England</t>
  </si>
  <si>
    <t>UK Research &amp; Innovation (UKRI); Natural Environment Research Council (NERC); NERC British Antarctic Survey; University of Cambridge; Durham University; University of Southampton; NERC National Oceanography Centre; Helmholtz Association; Alfred Wegener Institute, Helmholtz Centre for Polar &amp; Marine Research; University of Exeter</t>
  </si>
  <si>
    <t>Larter, RD (corresponding author), British Antarctic Survey, Madingley Rd, Cambridge CB3 0ET, England.</t>
  </si>
  <si>
    <t>rdla@bas.ac.uk</t>
  </si>
  <si>
    <t>Batchelor, Christine/JCN-7543-2023; Cartigny, Matthieu/N-2683-2014</t>
  </si>
  <si>
    <t>Kirkham, James/0000-0002-0506-1625; Larter, Robert/0000-0002-8414-7389; Dowdeswell, Julian/0000-0003-1369-9482; Kuhn, Gerhard/0000-0001-6069-7485; Cartigny, Matthieu/0000-0001-6446-5577</t>
  </si>
  <si>
    <t>British Antarctic Survey; Natural Environment Research Council; Polar Science for Planet Earth programme; NERC [bas010011, bas0100030] Funding Source: UKRI</t>
  </si>
  <si>
    <t>British Antarctic Survey; Natural Environment Research Council(UK Research &amp; Innovation (UKRI)Natural Environment Research Council (NERC)); Polar Science for Planet Earth programme; NERC(UK Research &amp; Innovation (UKRI)Natural Environment Research Council (NERC))</t>
  </si>
  <si>
    <t>This research has been supported by the British Antarctic Survey, Natural Environment Research Council, Polar Science for Planet Earth programme.</t>
  </si>
  <si>
    <t>10.5194/tc-13-1583-2019</t>
  </si>
  <si>
    <t>IC2BV</t>
  </si>
  <si>
    <t>gold, Green Published, Green Accepted, Green Submitted</t>
  </si>
  <si>
    <t>WOS:000470765500001</t>
  </si>
  <si>
    <t>Ardyna, M; Lacour, L; Sergi, S; d'Ovidio, F; Sallée, JB; Rembauville, M; Blain, S; Tagliabue, A; Schlitzer, R; Jeandel, C; Arrigo, KR; Claustre, H</t>
  </si>
  <si>
    <t>Ardyna, Mathieu; Lacour, Leo; Sergi, Sara; d'Ovidio, Francesco; Sallee, Jean-Baptiste; Rembauville, Mathieu; Blain, Stephane; Tagliabue, Alessandro; Schlitzer, Reiner; Jeandel, Catherine; Arrigo, Kevin Robert; Claustre, Herve</t>
  </si>
  <si>
    <t>Hydrothermal vents trigger massive phytoplankton blooms in the Southern Ocean</t>
  </si>
  <si>
    <t>ANTARCTIC CIRCUMPOLAR CURRENT; IRON; IMPACT; WATERS</t>
  </si>
  <si>
    <t>Hydrothermal activity is significant in regulating the dynamics of trace elements in the ocean. Biogeochemical models suggest that hydrothermal iron might play an important role in the iron-depleted Southern Ocean by enhancing the biological pump. However, the ability of this mechanism to affect large-scale biogeochemistry and the pathways by which hydrothermal iron reach the surface layer have not been observationally constrained. Here we present the first observational evidence of upwelled hydrothermally influenced deep waters stimulating massive phytoplankton blooms in the Southern Ocean. Captured by profiling floats, two blooms were observed in the vicinity of the Antarctic Circumpolar Current, downstream of active hydrothermal vents along the Southwest Indian Ridge. These hotspots of biological activity are supported by mixing of hydrothermally sourced iron stimulated by flow-topography interactions. Such findings reveal the important role of hydrothermal vents on surface biogeochemistry, potentially fueling local hotspot sinks for atmospheric CO2 by enhancing the biological pump.</t>
  </si>
  <si>
    <t>[Ardyna, Mathieu; Lacour, Leo; Rembauville, Mathieu; Claustre, Herve] Sorbonne Univ, 181 Chemin Lazaret, F-06230 Villefranche Sur Mer, France; [Ardyna, Mathieu; Lacour, Leo; Rembauville, Mathieu; Claustre, Herve] CNRS, LOV, 181 Chemin Lazaret, F-06230 Villefranche Sur Mer, France; [Ardyna, Mathieu; Arrigo, Kevin Robert] Stanford Univ, Dept Earth Syst Sci, Stanford, CA 94305 USA; [Lacour, Leo] Univ Laval, Takuvik Joint Int Lab, Laval Univ Canada, CNRS France,Dept Biol &amp; Quebec Ocean, Quebec City, PQ G1V 0A6, Canada; [Sergi, Sara; d'Ovidio, Francesco; Sallee, Jean-Baptiste] Sorbonne Univ, CNRS, LOCEAN, IRD,MNHN,IPSL, F-75005 Paris, France; [Blain, Stephane] Sorbonne Univ, F-66650 Banyuls Sur Mer, France; [Blain, Stephane] CNRS, Lab Oceanog Microbienne LOM, Observ Oceanol, F-66650 Banyuls Sur Mer, France; [Tagliabue, Alessandro] Univ Liverpool, Sch Environm Sci, Dept Earth Ocean &amp; Ecol Sci, Liverpool, Merseyside, England; [Schlitzer, Reiner] Helmholtz Ctr Polar &amp; Marine Res, Alfred Wegener Inst, Alten Hafen 26, D-27568 Bremerhaven, Germany; [Jeandel, Catherine] Univ Toulouse, CNRS, CNES, LEGOS,IRD,UPS, 14 Ave Edouard Belin, F-31400 Toulouse, France</t>
  </si>
  <si>
    <t>Sorbonne Universite; Centre National de la Recherche Scientifique (CNRS); Stanford University; Laval University; Centre National de la Recherche Scientifique (CNRS); Sorbonne Universite; Museum National d'Histoire Naturelle (MNHN); Universite Paris Cite; Institut de Recherche pour le Developpement (IRD); Sorbonne Universite; Sorbonne Universite; Centre National de la Recherche Scientifique (CNRS); University of Liverpool; Helmholtz Association; Alfred Wegener Institute, Helmholtz Centre for Polar &amp; Marine Research; Universite de Toulouse; Universite Toulouse III - Paul Sabatier; Centre National de la Recherche Scientifique (CNRS); Institut de Recherche pour le Developpement (IRD); Laboratoire d'Etudes en Geophysique et oceanographie spatiales</t>
  </si>
  <si>
    <t>Ardyna, M (corresponding author), Sorbonne Univ, 181 Chemin Lazaret, F-06230 Villefranche Sur Mer, France.;Ardyna, M (corresponding author), CNRS, LOV, 181 Chemin Lazaret, F-06230 Villefranche Sur Mer, France.;Ardyna, M (corresponding author), Stanford Univ, Dept Earth Syst Sci, Stanford, CA 94305 USA.</t>
  </si>
  <si>
    <t>ardyna@stanford.edu</t>
  </si>
  <si>
    <t>d'Ovidio, Francesco/ABA-8461-2021; Claustre, Herve/JPL-2367-2023; SALLEE, Jean baptiste/HDO-5355-2022; CLAUSTRE, Herve/E-6877-2011; Ardyna, Mathieu/N-2027-2018; SALLEE, Jean baptiste/A-5837-2010; blain, stephane/F-6917-2010</t>
  </si>
  <si>
    <t>CLAUSTRE, Herve/0000-0001-6243-0258; Ardyna, Mathieu/0000-0002-4703-6655; Schlitzer, Reiner/0000-0002-3740-6499; Lacour, Leo/0000-0003-1792-5969; Arrigo, Kevin/0000-0002-7364-876X; d'Ovidio, Francesco/0000-0002-9664-7778; SALLEE, Jean baptiste/0000-0002-6109-5176; blain, stephane/0000-0002-5234-2446</t>
  </si>
  <si>
    <t>CNES (Centre National d'Etudes Spatiales) Postdoctoral Fellowship; European Union's Horizon 2020 Marie Sklodowska-Curie grant [746748]; European Research Council [GA 246777]; French research program LEFE-CYBER of INSU-CNRS; Climate Initiative of the foundation BNP Paribas; French polar institute (IPEV); CNES Tosca/OSTST (project LAECOS); Sorbonne Universite; European Research Council (ERC) under the European Union's Horizon 2020 research and innovation program [637770, 724289]; Marie Curie Actions (MSCA) [746748] Funding Source: Marie Curie Actions (MSCA)</t>
  </si>
  <si>
    <t>CNES (Centre National d'Etudes Spatiales) Postdoctoral Fellowship; European Union's Horizon 2020 Marie Sklodowska-Curie grant; European Research Council(European Research Council (ERC)); French research program LEFE-CYBER of INSU-CNRS; Climate Initiative of the foundation BNP Paribas; French polar institute (IPEV); CNES Tosca/OSTST (project LAECOS); Sorbonne Universite; European Research Council (ERC) under the European Union's Horizon 2020 research and innovation program(European Research Council (ERC)); Marie Curie Actions (MSCA)(Marie Curie Actions)</t>
  </si>
  <si>
    <t>M.A. was supported by a CNES (Centre National d'Etudes Spatiales) Postdoctoral Fellowship and by a European Union's Horizon 2020 Marie Sklodowska-Curie grant (no. 746748). This work represents a contribution to the remOcean project (REMotely sensed biogeochemical cycles in the OCEAN, GA 246777) funded by the European Research Council and to the project SOCLIM (Southern Ocean and climate) supported by the French research program LEFE-CYBER of INSU-CNRS, the Climate Initiative of the foundation BNP Paribas, the French polar institute (IPEV), the CNES Tosca/OSTST (project LAECOS) and Sorbonne Universite. J.-B.S. was funded by the European Research Council (ERC) under the European Union's Horizon 2020 research and innovation program (grant agreement 637770). A.T. was funded by the European Research Council (ERC) under the European Union's Horizon 2020 research and innovation program (grant agreement 724289). We would like to thank the international agencies and programs, including the U.S. National Science Foundation's Southern Ocean Carbon and Climate Observations and Modeling (SOCCOM) for freely providing access to their float data.</t>
  </si>
  <si>
    <t>10.1038/s41467-019-09973-6</t>
  </si>
  <si>
    <t>IB2EU</t>
  </si>
  <si>
    <t>WOS:000470083300001</t>
  </si>
  <si>
    <t>Steinert, G; Wemheuer, B; Janussen, D; Erpenbeck, D; Daniel, R; Simon, M; Brinkhoff, T; Schupp, PJ</t>
  </si>
  <si>
    <t>Steinert, Georg; Wemheuer, Bernd; Janussen, Dorte; Erpenbeck, Dirk; Daniel, Rolf; Simon, Meinhard; Brinkhoff, Thorsten; Schupp, Peter J.</t>
  </si>
  <si>
    <t>Prokaryotic Diversity and Community Patterns in Antarctic Continental Shelf Sponges</t>
  </si>
  <si>
    <t>16S rRNA; Antarctic shelf; functional prediction; host-specificity; prokaryotic diversity; sponge microbiota</t>
  </si>
  <si>
    <t>MARINE SPONGES; BACTERIAL COMMUNITIES; SUBERITES DOMUNCULA; MICROBIAL DIVERSITY; BIOSYNTHETIC GENES; WATER; MICROORGANISMS; BIOCHEMISTRY; SPECIFICITY; METABOLITES</t>
  </si>
  <si>
    <t>Marine sponges (Phylum Porifera) are globally distributed within marine and freshwater ecosystems. In addition, sponges host dense and diverse prokaryotic communities, which are potential sources of novel bioactive metabolites and other complex compounds. Those sponge-derived natural products can span a broad spectrum of bioactivities, from antibacterial and antifungal to antitumor and antiviral compounds. However, most analyses concerning sponge-associated prokaryotes have mainly focused on conveniently accessible relatively shallow sampling locations for sponges. Hence, knowledge of community composition, host-relatedness and biotechnological potential of prokaryotic associations in temperate and cold-water sponges from greater depths (mesophotic to mesopelagic zones) is still scarce. Therefore, we analyzed the prokaryotic community diversity of four phylogenetically divergent sponge taxa from mesophotic to mesopelagic depths of Antarctic shelf at different depths and locations in the region of the South Shetland Islands using 16S rRNA gene amplicon-based sequencing. In addition, we predicted functional profiles applying Tax4Fun from metagenomic 16S rRNA gene data to estimate their biotechnological capability and possible roles as sources of novel bioactive compounds. We found indications that cold and deep-water sponges exhibit host-specific prokaryotic communities, despite different sampling sites and depths. Functional prediction analysis suggests that the associated prokaryotes may enhance the roles of sponges in biodegradation processes of xenobiotics and their involvement in the biosynthesis of secondary metabolites.</t>
  </si>
  <si>
    <t>[Steinert, Georg; Simon, Meinhard; Brinkhoff, Thorsten; Schupp, Peter J.] Carl von Ossietzky Univ Oldenburg, Inst Chem &amp; Biol Marine Environm, Oldenburg, Germany; [Wemheuer, Bernd; Daniel, Rolf] Univ Gottingen, Genom &amp; Appl Microbiol, Inst Microbiol &amp; Genet, Gottingen, Germany; [Wemheuer, Bernd; Daniel, Rolf] Univ Gottingen, Gottingen Genom Lab, Inst Microbiol &amp; Genet, Gottingen, Germany; [Janussen, Dorte] Senckenberg Res Inst &amp; Nat Museum, Frankfurt, Germany; [Erpenbeck, Dirk] Ludwig Maximilians Univ Munchen, Dept Earth &amp; Environm Sci, Munich, Germany; [Erpenbeck, Dirk] Ludwig Maximilians Univ Munchen, GeoBioctr, Munich, Germany; [Simon, Meinhard; Schupp, Peter J.] Carl von Ossietzky Univ Oldenburg, Helmholtz Inst Funct Marine Biodivers, Oldenburg, Germany; [Steinert, Georg] GEOMAR Helmholtz Ctr Ocean Res Kiel, Marine Symbioses, Kiel, Germany; [Wemheuer, Bernd] Univ New South Wales, Ctr Marine Bioinnovat, Sch Biol Earth &amp; Environm Sci, Sydney, NSW, Australia</t>
  </si>
  <si>
    <t>Carl von Ossietzky Universitat Oldenburg; University of Gottingen; University of Gottingen; Senckenberg Gesellschaft fur Naturforschung (SGN); University of Munich; University of Munich; Carl von Ossietzky Universitat Oldenburg; Helmholtz Association; GEOMAR Helmholtz Center for Ocean Research Kiel; University of New South Wales Sydney</t>
  </si>
  <si>
    <t>Steinert, G; Schupp, PJ (corresponding author), Carl von Ossietzky Univ Oldenburg, Inst Chem &amp; Biol Marine Environm, Oldenburg, Germany.;Schupp, PJ (corresponding author), Carl von Ossietzky Univ Oldenburg, Helmholtz Inst Funct Marine Biodivers, Oldenburg, Germany.</t>
  </si>
  <si>
    <t>georg.steinert@uni-oldenburg.de; peter.schupp@uni-oldenburg.de</t>
  </si>
  <si>
    <t>Daniel, Rolf/AAQ-5933-2021</t>
  </si>
  <si>
    <t>Daniel, Rolf/0000-0002-8646-7925; Steinert, Georg/0000-0002-6812-4726; Erpenbeck, Dirk/0000-0003-2716-1085</t>
  </si>
  <si>
    <t>Transregional Collaborative Research Center Roseobacter - Deutsche Forschungsgemeinschaft (DFG) [TRR51]; Deutsche Forschungsgemeinschaft (DFG) [JA-1063/17 1]; DFG; Carl-von-Ossietzky University of Oldenburg</t>
  </si>
  <si>
    <t>Transregional Collaborative Research Center Roseobacter - Deutsche Forschungsgemeinschaft (DFG)(German Research Foundation (DFG)); Deutsche Forschungsgemeinschaft (DFG)(German Research Foundation (DFG)); DFG(German Research Foundation (DFG)); Carl-von-Ossietzky University of Oldenburg</t>
  </si>
  <si>
    <t>TB, RD, MS, and BW were supported by the Transregional Collaborative Research Center Roseobacter (TRR51) funded by Deutsche Forschungsgemeinschaft (DFG). DJ thanks the Deutsche Forschungsgemeinschaft (DFG) for financial support to our Antarctic Porifera research (JA-1063/17 1). DE thanks Gabriele Buttner, Simone Schatzle, and Gert Worheide, LMU Munich for support in various aspects of the molecular investigations. Additionally, we acknowledge support by DFG and the Open Access Publication Funds of the Carl-von-Ossietzky University of Oldenburg.</t>
  </si>
  <si>
    <t>10.3389/fmars.2019.00297</t>
  </si>
  <si>
    <t>IC2KT</t>
  </si>
  <si>
    <t>WOS:000470789400001</t>
  </si>
  <si>
    <t>Park, E; Hefter, J; Fischer, G; Iversen, MH; Ramondenc, S; Nöthig, EM; Mollenhauer, G</t>
  </si>
  <si>
    <t>Park, Eunmi; Hefter, Jens; Fischer, Gerhard; Iversen, Morten Hvitfeldt; Ramondenc, Simon; Noethig, Eva-Maria; Mollenhauer, Gesine</t>
  </si>
  <si>
    <t>Seasonality of archaeal lipid flux and GDGT-based thermometry in sinking particles of high-latitude oceans: Fram Strait (79° N) and Antarctic Polar Front (50° S)</t>
  </si>
  <si>
    <t>SEA-SURFACE TEMPERATURE; DIALKYL GLYCEROL TETRAETHERS; AMMONIA OXIDATION; MARINE ARCHAEA; WATER-COLUMN; PLANKTONIC ARCHAEA; PARTICULATE MATTER; RESPIRATION RATES; MEMBRANE-LIPIDS; ATLANTIC SECTOR</t>
  </si>
  <si>
    <t>The relative abundance of individual archaeal membrane lipids, namely of glycerol dialkyl glycerol tetraethers (GDGTs) with different numbers of cyclopentane rings, varies with temperature, which enables their use as a paleotemperature proxy index. The first GDGT-based index in marine sediments called TEX86 is believed to reflect mean annual sea surface temperature (maSST). The TEX86L is an alternative temperature proxy for low-temperature regions (&lt;15 degrees C), where the original TEX86 proxy calibration shows a larger scatter. However, TEX86L-derived temperatures still display anomalous estimates in polar regions. In order to elucidate the potential cause of the disagreement between the TEX86L estimate and SST, we analyzed GDGT fluxes and TEX86L-derived temperatures in sinking particles collected with time-series sediment traps in high-northern- and high-southern-latitude regions. At 1296m depth in the eastern Fram Strait (79 degrees N), a combination of various transporting mechanisms for GDGTs might result in seasonally different sinking velocities for particles carrying these lipids, resulting in strong variability in the TEX86L signal. The similarity of flux-weighted TEX86L temperatures from sinking particles and surface sediments implies an export of GDGTs without alteration in the Fram Strait. The estimated temperatures correspond to temperatures in water depths of 30-80 m, where nitrification might occur, indicating the favorable depth habitat of Thaumarchaeota. In the Antarctic Polar Front of the Atlantic sector (50 degrees S), TEX86L-derived temperatures displayed warm and cold biases compared to satellite-derived SSTs at 614m depth, and its flux-weighted mean signal differs from the deep signal at 3196 m. TEX86L-derived temperatures at 3196m depth and the surface sediment showed up to 7 degrees C warmer temperatures relative to satellite-derived SST. Such a warm anomaly might be caused by GDGT contributions from Euryarchaeota, which are known to dominate archaeal communities in the circumpolar deep water of the Antarctic Polar Front. The other reason might be that a linear calibration is not appropriate for this frontal region. Of the newly suggested SST proxies based on hydroxylated GDGTs (OH-GDGTs), only those with OH-GDGT-0 and crenarchaeol or the ring index (RI) of OH-GDGTs yield realistic temperature estimates in our study regions, suggesting that OH-GDGTs could be applied as a potential temperature proxy in high-latitude oceans.</t>
  </si>
  <si>
    <t>[Park, Eunmi; Hefter, Jens; Iversen, Morten Hvitfeldt; Ramondenc, Simon; Noethig, Eva-Maria; Mollenhauer, Gesine] Helmholtz Ctr Polar &amp; Marine Sci, Alfred Wegener Inst, D-27570 Bremerhaven, Germany; [Park, Eunmi; Fischer, Gerhard; Iversen, Morten Hvitfeldt; Ramondenc, Simon; Mollenhauer, Gesine] Univ Bremen, MARUM Ctr Marine Environm Sci, D-28334 Bremen, Germany; [Park, Eunmi; Fischer, Gerhard; Mollenhauer, Gesine] Univ Bremen, Dept Geosci, D-28334 Bremen, Germany</t>
  </si>
  <si>
    <t>Park, E (corresponding author), Helmholtz Ctr Polar &amp; Marine Sci, Alfred Wegener Inst, D-27570 Bremerhaven, Germany.;Park, E (corresponding author), Univ Bremen, MARUM Ctr Marine Environm Sci, D-28334 Bremen, Germany.;Park, E (corresponding author), Univ Bremen, Dept Geosci, D-28334 Bremen, Germany.</t>
  </si>
  <si>
    <t>eunmi.park@awi.de</t>
  </si>
  <si>
    <t>Iversen, Morten H/C-7741-2013; Mollenhauer, Gesine/AAD-8167-2019; Nöthig, Eva-Maria/AAS-7253-2021; Iversen, Morten Hvitfeldt/Q-3774-2016</t>
  </si>
  <si>
    <t>Mollenhauer, Gesine/0000-0001-5138-564X; Ramondenc, Simon/0000-0002-0275-2754; Iversen, Morten Hvitfeldt/0000-0002-5287-1110; Hefter, Jens/0000-0002-5823-1966; Nothig, Eva-Maria/0000-0002-7527-7827</t>
  </si>
  <si>
    <t>Deutsche Forschungsgemeinschaft-Clusters of Excellence The Ocean in the Earth System at MARUM [EXC309]; Alfred Wegener Institute [VH-NG-1000]</t>
  </si>
  <si>
    <t>Deutsche Forschungsgemeinschaft-Clusters of Excellence The Ocean in the Earth System at MARUM; Alfred Wegener Institute</t>
  </si>
  <si>
    <t>This research has been supported by the Deutsche Forschungsgemeinschaft -Clusters of Excellence The Ocean in the Earth System at MARUM (grant no. EXC309). Morten Hvitfeldt Iversen received funding for the joint Helmholtz Young Investigators Group SEAPUMP Seasonal and regional food web interactions with the biological pump (VH-NG-1000) at the Alfred Wegener Institute.</t>
  </si>
  <si>
    <t>JUN 4</t>
  </si>
  <si>
    <t>10.5194/bg-16-2247-2019</t>
  </si>
  <si>
    <t>IC1EN</t>
  </si>
  <si>
    <t>WOS:000470702100001</t>
  </si>
  <si>
    <t>Qu, M; Pang, XP; Zhao, X; Zhang, JL; Ji, Q; Fan, P</t>
  </si>
  <si>
    <t>Qu, Meng; Pang, Xiaoping; Zhao, Xi; Zhang, Jinlun; Ji, Qing; Fan, Pei</t>
  </si>
  <si>
    <t>Estimation of turbulent heat flux over leads using satellite thermal images</t>
  </si>
  <si>
    <t>SEA-ICE LEADS; STRAY LIGHT CORRECTION; SURFACE-TEMPERATURE; BOUNDARY-LAYER; ALGORITHM; OCEAN; MOMENTUM; MODERATE</t>
  </si>
  <si>
    <t>Sea ice leads are an important feature in pack ice in the Arctic. Even covered by thin ice, leads can still serve as prime windows for heat exchange between the atmosphere and the ocean, especially in the winter. Lead geometry and distribution in the Arctic have been studied using optical and microwave remote sensing data, but turbulent heat flux over leads has only been measured on-site during a few special expeditions. In this study, we derive turbulent heat flux through leads at different scales using a combination of surface temperature and lead distribution from remote sensing images and meteorological parameters from a reanalysis dataset. First, ice surface temperature (IST) was calculated from Landsat-8 Thermal Infrared Sensor (TIRS) and Moderate Resolution Imaging Spectroradiometer (MODIS) thermal images using a split-window algorithm; then, lead pixels were segmented from colder ice. Heat flux over leads was estimated using two empirical models: bulk aerodynamic formulae and a fetch-limited model with lead width from Landsat-8. Results show that even though the lead area from MODIS is a little larger, the length of leads is underestimated by 72.9 % in MODIS data compared to TIRS data due to the inability to resolve small leads. Heat flux estimated from Landsat-8 TIRS data using bulk formulae is 56.70 % larger than that from MODIS data. When the fetch-limited model was applied, turbulent heat flux calculated from TIRS data is 32.34 % higher than that from bulk formulae. In both cases, small leads accounted for more than a quarter of total heat flux over leads, mainly due to the large area, though the heat flux estimated using the fetch-limited model is 41.39 % larger. A greater contribution from small leads can be expected with larger air-ocean temperature differences and stronger winds.</t>
  </si>
  <si>
    <t>[Qu, Meng; Pang, Xiaoping; Zhao, Xi; Ji, Qing; Fan, Pei] Wuhan Univ, Chinese Antarctic Ctr Surveying &amp; Mapping, Wuhan, Hubei, Peoples R China; [Pang, Xiaoping; Zhao, Xi] Univ Corp Polar Res, Beijing, Peoples R China; [Zhao, Xi; Zhang, Jinlun] Univ Washington, Polar Sci Ctr, Appl Phys Lab, Seattle, WA 98195 USA</t>
  </si>
  <si>
    <t>Wuhan University; University of Washington; University of Washington Seattle</t>
  </si>
  <si>
    <t>Zhao, X (corresponding author), Wuhan Univ, Chinese Antarctic Ctr Surveying &amp; Mapping, Wuhan, Hubei, Peoples R China.;Zhao, X (corresponding author), Univ Corp Polar Res, Beijing, Peoples R China.;Zhao, X (corresponding author), Univ Washington, Polar Sci Ctr, Appl Phys Lab, Seattle, WA 98195 USA.</t>
  </si>
  <si>
    <t>xi.zhao@whu.edu.cn</t>
  </si>
  <si>
    <t>Qu, Meng/ABC-1170-2021; zhao, xi/HJY-6017-2023</t>
  </si>
  <si>
    <t>Qu, Meng/0000-0002-0036-917X; Zhao, Xi/0000-0003-2274-891X</t>
  </si>
  <si>
    <t>National Natural Science Foundation of China [41876223, 41576188, 41606215]; National Key Research and Development Program of China [2016YFC1402704, 2018YFC1407100]; NOAA Climate Program Office [NA15OAR4310170]</t>
  </si>
  <si>
    <t>National Natural Science Foundation of China(National Natural Science Foundation of China (NSFC)); National Key Research and Development Program of China; NOAA Climate Program Office(National Oceanic Atmospheric Admin (NOAA) - USA)</t>
  </si>
  <si>
    <t>This research has been supported by the National Natural Science Foundation of China (grant nos. 41876223, 41576188, and 41606215) and the National Key Research and Development Program of China (grant nos. 2016YFC1402704 and 2018YFC1407100). Jinlun Zhang was supported by the NOAA Climate Program Office (grant no. NA15OAR4310170).</t>
  </si>
  <si>
    <t>10.5194/tc-13-1565-2019</t>
  </si>
  <si>
    <t>IC1EZ</t>
  </si>
  <si>
    <t>WOS:000470703300001</t>
  </si>
  <si>
    <t>Lomas, MW; Baer, SE; Acton, S; Krause, JW</t>
  </si>
  <si>
    <t>Lomas, Michael W.; Baer, Steven E.; Acton, Sydney; Krause, Jeffrey W.</t>
  </si>
  <si>
    <t>Pumped Up by the Cold: Elemental Quotas and Stoichiometry of Cold-Water Diatoms</t>
  </si>
  <si>
    <t>diatoms; elemental quota; carbon; nitrogen; phosphorus; silica; elemental stoichiometry</t>
  </si>
  <si>
    <t>BIOGENIC SILICA PRODUCTION; NET PRIMARY PRODUCTIVITY; COMMUNITY COMPOSITION; PHYTOPLANKTON GROWTH; MARINE DIATOMS; SARGASSO SEA; NITRATE UPTAKE; SIZE STRUCTURE; CHLOROPHYLL-A; CELL-VOLUME</t>
  </si>
  <si>
    <t>Phytoplankton cellular elemental quotas are important for evaluating the coupling of nutrient cycles and assessing nutrient limitation in the ocean. While cell element quotas have been shown to vary in response to growth conditions (e.g., light, nutrient supply), an overriding trait is cell size and biovolume. Allometric relationships are lacking data for phytoplankton grown under polar temperature conditions (e.g., &lt;5 degrees C); limited field data using single-cell stoichiometry measurements have shown polar diatoms may have significantly different allometry versus low-latitude counterparts. In this study, 11 strains of diatoms isolated from sub/polar waters (both Arctic and Antarctic) were grown in batch growth mode. Cellular carbon (C), nitrogen (N), phosphorus (P), silica (Si), cell number and biovolume were measured during mid-exponential and early stationary growth phases. An allometric log-log relationship was observed between cell element quotas and biovolume, although the strain Odontella aurita was consistently an outlier. Including O. aurita resulted in regression slopes for C, N, P, and Si that were lower than values from the reviewed literature of temperate diatoms; excluding O. aurita resulted in regression slopes that were more similar to published values for each element. However, the intercepts of the elemental quotas in the allometric relationships ranged from similar to 5-fold to similar to 100-fold greater than published values depending upon the element and the growth phase, meaning that the elemental density is significantly higher for diatoms grown at cold temperatures, although the physiological mechanism(s) cannot be resolved in this study. Cellular ratios of C, N, and P were consistent with prior research, but clearly showed the importance of taxonomic variability as all strains of the genus Thalassiosira behaved more similarly to each other than to the other diatom strains tested. Si:C ratios, in contrast, for non-Thalassiosira strains were greater and approached values commonly observed for iron-limited cells. These results show that a different set of allometric scaling equations is needed when considering sub/polar diatoms relative to temperate and tropical diatoms, which will impact regional and global model parameterization. In addition, these results highlight the role of phytoplankton diversity on biogeochemistry, even within the closely aligned families of diatoms.</t>
  </si>
  <si>
    <t>[Lomas, Michael W.; Baer, Steven E.] Bigelow Lab Ocean Sci, East Boothbay, ME 04544 USA; [Baer, Steven E.] Maine Maritime Acad, Castine, ME USA; [Acton, Sydney; Krause, Jeffrey W.] Dauphin Isl Sea Lab, Dauphin Isl, AL USA; [Krause, Jeffrey W.] Univ S Alabama, Dept Marine Sci, Mobile, AL USA</t>
  </si>
  <si>
    <t>Bigelow Laboratory for Ocean Sciences; Dauphin Island Sea Lab; University of South Alabama</t>
  </si>
  <si>
    <t>Lomas, MW (corresponding author), Bigelow Lab Ocean Sci, East Boothbay, ME 04544 USA.</t>
  </si>
  <si>
    <t>mlomas@bigelow.org</t>
  </si>
  <si>
    <t>Lomas, Michael/0000-0003-1209-3753; Krause, Jeffrey/0000-0003-2479-6229</t>
  </si>
  <si>
    <t>National Science Foundation Office of Polar Programs [OCE-1603460, OCE-1603605]</t>
  </si>
  <si>
    <t>We acknowledge funding support for this research through National Science Foundation Office of Polar Programs award numbers OCE-1603460 (ML) and OCE-1603605 (JK).</t>
  </si>
  <si>
    <t>10.3389/fmars.2019.00286</t>
  </si>
  <si>
    <t>IB1GJ</t>
  </si>
  <si>
    <t>WOS:000470012600001</t>
  </si>
  <si>
    <t>Sprintall, J; Gordon, AL; Wijffels, SE; Feng, M; Hu, SJ; Koch-Larrouy, A; Phillips, H; Nugroho, D; Napitu, A; Pujiana, K; Susanto, RD; Sloyan, B; Yuan, DL; Riama, NF; Siswanto, S; Kuswardani, A; Arifin, Z; Wahyudi, AJ; Zhou, H; Nagai, T; Ansong, JK; Bourdalle-Badié, R; Chanuts, J; Lyard, F; Arbic, BK; Ramdhani, A; Setiawan, A</t>
  </si>
  <si>
    <t>Sprintall, Janet; Gordon, Arnold L.; Wijffels, Susan E.; Feng, Ming; Hu, Shijian; Koch-Larrouy, Ariane; Phillips, Helen; Nugroho, Dwiyoga; Napitu, Asmi; Pujiana, Kandaga; Susanto, R. Dwi; Sloyan, Bernadette; Yuan, Dongliang; Riama, Nelly Florida; Siswanto, Siswanto; Kuswardani, Anastasia; Arifin, Zainal; Wahyudi, A'an J.; Zhou, Hui; Nagai, Taira; Ansong, Joseph K.; Bourdalle-Badie, Romain; Chanuts, Jerome; Lyard, Florent; Arbic, Brian K.; Ramdhani, Andri; Setiawan, Agus</t>
  </si>
  <si>
    <t>Detecting Change in the Indonesian Seas</t>
  </si>
  <si>
    <t>Indonesian throughflow; observing system; intraseasonal; ENSO; transport variability; planetary waves</t>
  </si>
  <si>
    <t>WESTERN BOUNDARY CURRENTS; INDIAN-OCEAN DIPOLE; MADDEN-JULIAN OSCILLATION; TIDAL MIXING SIGNATURES; INTERANNUAL VARIABILITY; DECADAL VARIABILITY; SUNDA STRAIT; INTRASEASONAL VARIABILITY; POTENTIAL IMPACT; PACIFIC CLIMATE</t>
  </si>
  <si>
    <t>The Indonesian seas play a fundamental role in the coupled ocean and climate system with the Indonesian Throughflow (ITF) providing the only tropical pathway connecting the global oceans. Pacific warm pool waters passing through the Indonesian seas are cooled and freshened by strong air-sea fluxes and mixing from internal tides to form a unique water mass that can be tracked across the Indian Ocean basin and beyond. The Indonesian seas lie at the climatological center of the atmospheric deep convection associated with the ascending branch of the Walker Circulation. Regional SST variations cause changes in the surface winds that can shift the center of atmospheric deep convection, subsequently altering the precipitation and ocean circulation patterns within the entire Indo-Pacific region. Recent multi-decadal changes in the wind and buoyancy forcing over the tropical Indo-Pacific have directly affected the vertical profile, strength, and the heat and freshwater transports of the ITF. These changes influence the large-scale sea level, SST, precipitation and wind patterns. Observing long-term changes in mass, heat and freshwater within the Indonesian seas is central to understanding the variability and predictability of the global coupled climate system. Although substantial progress has been made over the past decade in measuring and modeling the physical and biogeochemical variability within the Indonesian seas, large uncertainties remain. A comprehensive strategy is needed for measuring the temporal and spatial scales of variability that govern the various water mass transport streams of the ITF, its connection with the circulation and heat and freshwater inventories and associated air-sea fluxes of the regional and global oceans. This white paper puts forward the design of an observational array using multi-platforms combined with high-resolution models aimed at increasing our quantitative understanding of water mass transformation rates and advection within the Indonesian seas and their impacts on the air-sea climate system.</t>
  </si>
  <si>
    <t>[Sprintall, Janet] Univ Calif San Diego, Scripps Inst Oceanog, La Jolla, CA 92093 USA; [Gordon, Arnold L.] Columbia Univ, Lamt Doherty Earth Observ, Palisades, NY 10964 USA; [Wijffels, Susan E.] Woods Hole Oceanog Inst, Dept Phys Oceanog, Woods Hole, MA 02543 USA; [Feng, Ming; Sloyan, Bernadette] CSIRO, Hobart, Tas, Australia; [Feng, Ming; Sloyan, Bernadette] Ctr Southern Hemisphere Oceans Res, Hobart, Tas, Australia; [Hu, Shijian; Yuan, Dongliang; Zhou, Hui] Chinese Acad Sci, Inst Oceanol, Key Lab Ocean Circulat &amp; Waves, Ctr Ocean Mega Sci, Qingdao, Shandong, Peoples R China; [Hu, Shijian; Yuan, Dongliang] Qingdao Natl Lab Marine Sci &amp; Technol, Qingdao, Shandong, Peoples R China; [Koch-Larrouy, Ariane; Nugroho, Dwiyoga; Chanuts, Jerome; Lyard, Florent] Lab Studies Spatial Geophys &amp; Oceanog LEGOS, Toulouse, France; [Koch-Larrouy, Ariane; Bourdalle-Badie, Romain] Mercator Ocean, Ramonville St Agne, France; [Phillips, Helen] Univ Tasmania, Inst Marine &amp; Antarctic Sci, Hobart, Tas, Australia; [Nugroho, Dwiyoga] Agcy Res &amp; Dev Marine &amp; Fisheries, Jakarta, Indonesia; [Napitu, Asmi; Kuswardani, Anastasia; Setiawan, Agus] Minist Marine Affairs &amp; Fisheries Republ Indonesi, Jakarta, Indonesia; [Pujiana, Kandaga; Susanto, R. Dwi] Bandung Inst Technol, Fac Earth Sci &amp; Technol, Bandung, Indonesia; [Susanto, R. Dwi] Univ Maryland, Dept Atmospher &amp; Ocean Sci, College Pk, MD 20742 USA; [Riama, Nelly Florida; Siswanto, Siswanto; Ramdhani, Andri] Meteorol Climatol &amp; Geophys Agcy BMKG, Jakarta, Indonesia; [Arifin, Zainal; Wahyudi, A'an J.] Indonesian Inst Sci Lip, Res Ctr Oceanog, Jakarta, Indonesia; [Nagai, Taira] Univ Tokyo, Dept Earth &amp; Planetary Sci, Tokyo, Japan; [Ansong, Joseph K.] Univ Ghana, Dept Math, Legon, Ghana; [Arbic, Brian K.] Univ Michigan, Dept Earth &amp; Environm Sci, Ann Arbor, MI 48109 USA</t>
  </si>
  <si>
    <t>University of California System; University of California San Diego; Scripps Institution of Oceanography; Columbia University; Woods Hole Oceanographic Institution; Commonwealth Scientific &amp; Industrial Research Organisation (CSIRO); Chinese Academy of Sciences; Institute of Oceanology, CAS; Laoshan Laboratory; University of Tasmania; Ministry of Marine Affairs and Fisheries; Institute Technology of Bandung; University System of Maryland; University of Maryland College Park; Indonesian Agency for Meteorology, Climatology &amp; Geophysics; National Research &amp; Innovation Agency of Indonesia (BRIN); Indonesian Institute of Sciences (LIPI); University of Tokyo; University of Ghana; University of Michigan System; University of Michigan</t>
  </si>
  <si>
    <t>Sprintall, J (corresponding author), Univ Calif San Diego, Scripps Inst Oceanog, La Jolla, CA 92093 USA.</t>
  </si>
  <si>
    <t>jsprintall@ucsd.edu</t>
  </si>
  <si>
    <t>Phillips, Helen/I-3761-2013; Hu, Shijian/Q-6838-2016; Wahyudi, A'an J./AAG-5624-2019; Lyard, Florent/AAN-4065-2021; Nagai, Taira/AAJ-1679-2020; Sloyan, Bernadette/N-8989-2014; Gordon, Arnold/H-1049-2011; Pena-Molino, Beatriz/IYK-0313-2023; Bourdallé-Badie, Romain/HSH-9424-2023; Susanto, Raden Dwi/ABE-2222-2021; koch-larrouy, ariane/M-4915-2017; Feng, Ming/F-5411-2010; Wijffels, Susan E/I-8215-2012; Ansong, Joseph K./AAR-4450-2020</t>
  </si>
  <si>
    <t>Phillips, Helen/0000-0002-2941-7577; Wahyudi, A'an J./0000-0001-7435-4731; Sloyan, Bernadette/0000-0003-0250-0167; Pena-Molino, Beatriz/0000-0003-1587-1696; Bourdallé-Badie, Romain/0000-0002-8742-3289; Susanto, Raden Dwi/0000-0003-1495-5951; Pujiana, Kandaga/0000-0002-3087-9576; Setiawan, Agus/0000-0002-9494-228X; KOCH-LARROUY, Ariane/0000-0002-9850-0518; Arbic, Brian K/0000-0002-7969-2294; Siswanto, Siswanto/0000-0002-1085-1461; Nagai, Taira/0000-0001-6972-3870; Arifin, Zainal/0000-0002-0016-852X; Wijffels, Susan/0000-0002-4717-0811; nugroho, dwiyoga/0000-0003-4770-6011</t>
  </si>
  <si>
    <t>National Science Foundation [OCE-07-25935, 41876009, OCE-1736285]; NOAA's Climate Program Office, Climate Variability and Predictability Program [NA17OAR4310257]; National Natural Science Foundation of China [41776018]; Key Research Program of Frontier Sciences, CAS [QYZDB-SSW-SYS023]; Australian Government's National Environmental Science Programme; Office of Naval Research [N00014-08-01-0618]; National Aeronautics and Space Administration [80NSSC18K0777]; Center for Southern Hemisphere Oceans Research (CSHOR)</t>
  </si>
  <si>
    <t>National Science Foundation(National Science Foundation (NSF)); NOAA's Climate Program Office, Climate Variability and Predictability Program; National Natural Science Foundation of China(National Natural Science Foundation of China (NSFC)); Key Research Program of Frontier Sciences, CAS; Australian Government's National Environmental Science Programme(Australian Government); Office of Naval Research(Office of Naval Research); National Aeronautics and Space Administration(National Aeronautics &amp; Space Administration (NASA)); Center for Southern Hemisphere Oceans Research (CSHOR)</t>
  </si>
  <si>
    <t>JS acknowledges funding to support her effort by the National Science Foundation under Grant Number OCE-1736285 and NOAA's Climate Program Office, Climate Variability and Predictability Program under Award Number NA17OAR4310257. SH was supported by the National Natural Science Foundation of China (Grant 41776018) and the Key Research Program of Frontier Sciences, CAS (QYZDB-SSW-SYS023). HP acknowledges support from the Australian Government's National Environmental Science Programme. HZ acknowledges support from National Science Foundation under Grant No. 41876009. RS was supported by National Science Foundation Grant No. OCE-07-25935; Office of Naval Research Grant No. N00014-08-01-0618 and National Aeronautics and Space Administration Grant No. 80NSSC18K0777. SW, MF, and BS were supported by Center for Southern Hemisphere Oceans Research (CSHOR), which is a joint initiative between the Qingdao National Laboratory for Marine Science and Technology (QNLM), CSIRO, University of New South Wales and University of Tasmania.</t>
  </si>
  <si>
    <t>10.3389/fmars.2019.00257</t>
  </si>
  <si>
    <t>IB1GB</t>
  </si>
  <si>
    <t>WOS:000470011800001</t>
  </si>
  <si>
    <t>Saloranta, T; Thapa, A; Kirkham, JD; Koch, I; Melvold, K; Stigter, E; Litt, M; Moen, K</t>
  </si>
  <si>
    <t>Saloranta, Tuomo; Thapa, Amrit; Kirkham, James D.; Koch, Inka; Melvold, Kjetil; Stigter, Emmy; Litt, Maxims; Moen, Knut</t>
  </si>
  <si>
    <t>A Model Setup for Mapping Snow Conditions in High-Mountain Himalaya</t>
  </si>
  <si>
    <t>seasonal snow; modeling; Himalaya; snow water equivalent; hydropower</t>
  </si>
  <si>
    <t>COVER; PRECIPITATION; RUNOFF; TEMPERATURE; CLIMATE; ASSIMILATION; VALIDATION; SIMULATION; CATCHMENT; SATELLITE</t>
  </si>
  <si>
    <t>Seasonal snow cover is an important source of melt water for irrigation and hydropower production in many regions of the world, but can also be a cause of disasters, such as avalanches and floods. In the remote Himalayan environment there is a great demand for up-to-date information on the snow conditions for the purposes of planned hydropower development and disaster risk reduction initiatives. We describe and evaluate a snow mapping setup for the remote Langtang Valley in the Nepal Himalayas, which can deliver data for snow and water availability mapping all year round. The setup utilizes (1) robust and almost maintenance-free in-situ instrumentation with satellite transmission, (2) a freely available numerical snow model, and (3) estimation of model key parameters from local meteorological and snow observations as well as from freely available climatological data. Novel features in the model include the estimation of melt parameters and solid precipitation from passive gamma-radiation based snow sensor data, as well as improved parameterization and estimation of melt water refreezing (36% of total melt) within, and sublimation/evaporation (57 mm yr(-1)) from the snow pack. Evaluation of the model results show a reasonable fit with snow cover data from satellite images. As many of the high-mountain regions in central and eastern Nepal show high correlation (&gt;0.8) with the estimated snow line elevation in the Langtang catchment, the results may provide a first-order approximation of the snow conditions for these areas too.</t>
  </si>
  <si>
    <t>[Saloranta, Tuomo; Melvold, Kjetil; Moen, Knut] Norwegian Water Resources &amp; Energy Directorate, Hydrol Dept, Oslo, Norway; [Thapa, Amrit; Kirkham, James D.; Koch, Inka] Int Ctr Integrated Mt Dev, Kathmandu, Nepal; [Kirkham, James D.] Univ Cambridge, Scott Polar Res Inst, Cambridge, England; [Kirkham, James D.] NERC, British Antarctic Survey, Cambridge, England; [Stigter, Emmy; Litt, Maxims] Univ Utrecht, Dept Phys Geog, Utrecht, Netherlands</t>
  </si>
  <si>
    <t>Norwegian Water Resources &amp; Energy Directorate; University of Cambridge; UK Research &amp; Innovation (UKRI); Natural Environment Research Council (NERC); NERC British Antarctic Survey; Utrecht University</t>
  </si>
  <si>
    <t>Saloranta, T (corresponding author), Norwegian Water Resources &amp; Energy Directorate, Hydrol Dept, Oslo, Norway.</t>
  </si>
  <si>
    <t>tus@nve.no</t>
  </si>
  <si>
    <t>Koch, Inka/AGW-1154-2022</t>
  </si>
  <si>
    <t>Koch, Inka/0000-0002-8801-7215; Stigter, Emmy/0000-0001-8569-0159; Kirkham, James/0000-0002-0506-1625; thapa, amrit/0000-0002-2843-1414; Saloranta, Tuomo/0000-0001-8436-0342</t>
  </si>
  <si>
    <t>ICIMOD's Cryosphere Initiative; ICIMOD; government of Afghanistan; government of Australia; government of Austria; government of Bangladesh; government of Bhutan; government of China; government of India; government of Myanmar; government of Nepal; government of Norway; government of Pakistan; government of Sweden; government of Switzerland; European Research Council (ERC) under the European Union's Horizon 2020 Research and Innovation Programme [676819]; Netherlands Organization for Scientific Research (NWO) under the Innovational Research Incentives Scheme VIDI [016.181.308]; NERC [bas0100030] Funding Source: UKRI</t>
  </si>
  <si>
    <t>ICIMOD's Cryosphere Initiative; ICIMOD; government of Afghanistan; government of Australia; government of Austria; government of Bangladesh; government of Bhutan; government of China; government of India; government of Myanmar; government of Nepal; government of Norway; government of Pakistan; government of Sweden; government of Switzerland; European Research Council (ERC) under the European Union's Horizon 2020 Research and Innovation Programme(European Research Council (ERC)); Netherlands Organization for Scientific Research (NWO) under the Innovational Research Incentives Scheme VIDI(Netherlands Organization for Scientific Research (NWO)); NERC(UK Research &amp; Innovation (UKRI)Natural Environment Research Council (NERC))</t>
  </si>
  <si>
    <t>The modeling and monitoring activities were done as part of the Snow accumulation and melt processes in a Himalayan catchment (SnowAMP) project developed by the International Center for Integrated Mountain Development (ICIMOD), the Norwegian Water Resources and Energy Directorate (NVE), and the Department of Hydrology and Meteorology, Government of Nepal (DHM). This work was supported by ICIMOD's Cryosphere Initiative funded by Norway, and by core funds of ICIMOD contributed by the governments of Afghanistan, Australia, Austria, Bangladesh, Bhutan, China, India, Myanmar, Nepal, Norway, Pakistan, Sweden, and Switzerland. Research was also financially supported by the European Research Council (ERC) under the European Union's Horizon 2020 Research and Innovation Programme (grant agreement No. 676819) and The Netherlands Organization for Scientific Research (NWO) under the Innovational Research Incentives Scheme VIDI (grant agreement 016.181.308). The views and interpretations in this publication are those of the authors and they are not necessarily attributable to their organizations.</t>
  </si>
  <si>
    <t>10.3389/feart.2019.00129</t>
  </si>
  <si>
    <t>IB1DW</t>
  </si>
  <si>
    <t>WOS:000470005200001</t>
  </si>
  <si>
    <t>Warren, SG</t>
  </si>
  <si>
    <t>Warren, Stephen G.</t>
  </si>
  <si>
    <t>Optical properties of ice and snow</t>
  </si>
  <si>
    <t>PHILOSOPHICAL TRANSACTIONS OF THE ROYAL SOCIETY A-MATHEMATICAL PHYSICAL AND ENGINEERING SCIENCES</t>
  </si>
  <si>
    <t>optical properties; ice; snow; absorption spectrum; solar radiation</t>
  </si>
  <si>
    <t>LIGHT-ABSORBING IMPURITIES; ANTARCTIC SEA-ICE; SPECTRAL ALBEDO; BLACK-CARBON; BIDIRECTIONAL REFLECTANCE; ABSORPTION-SPECTRUM; SOLAR-RADIATION; SURFACE; GREENLAND; CONSTANTS</t>
  </si>
  <si>
    <t>The interactions of electromagnetic radiation with ice, and with ice-containing media such as snow and clouds, are determined by the refractive index and absorption coefficient (the 'optical constants') of pure ice as functions of wavelength. Bulk reflectance, absorptance and transmittance are further influenced by grain size (for snow), bubbles (for glacier ice and lake ice) and brine inclusions (for sea ice). Radiative transfer models for clouds can also be applied to snow; the important differences in their radiative properties are that clouds are optically thinner and contain smaller ice crystals than snow. Absorption of visible and near-ultraviolet radiation by ice is so weak that absorption of sunlight at these wavelengths in natural snow is dominated by trace amounts of light-absorbing impurities such as dust and soot. In the thermal infrared, ice is moderately absorptive, so snow is nearly a blackbody, with emissivity 98-99%. The absorption spectrum of liquid water resembles that of ice from the ultraviolet to the mid-infrared. At longer wavelengths they diverge, so microwave emission can be used to detect snowmelt on ice sheets, and to discriminate between sea ice and open water, by remote sensing. Snow and ice are transparent to radio waves, so radar can be used to infer ice-sheet thickness. This article is part of the theme issue 'The physics and chemistry of ice: scaffolding across scales, from the viability of life to the formation of planets'.</t>
  </si>
  <si>
    <t>[Warren, Stephen G.] Univ Washington, Dept Atmospher Sci, POB 351640, Seattle, WA 98195 USA</t>
  </si>
  <si>
    <t>Warren, SG (corresponding author), Univ Washington, Dept Atmospher Sci, POB 351640, Seattle, WA 98195 USA.</t>
  </si>
  <si>
    <t>sgw@uw.edu</t>
  </si>
  <si>
    <t>US National Science Foundation, Division of Geosciences</t>
  </si>
  <si>
    <t>The author's research reported here was supported by the US National Science Foundation, Division of Geosciences.</t>
  </si>
  <si>
    <t>1364-503X</t>
  </si>
  <si>
    <t>1471-2962</t>
  </si>
  <si>
    <t>PHILOS T R SOC A</t>
  </si>
  <si>
    <t>Philos. Trans. R. Soc. A-Math. Phys. Eng. Sci.</t>
  </si>
  <si>
    <t>JUN 3</t>
  </si>
  <si>
    <t>10.1098/rsta.2018.0161</t>
  </si>
  <si>
    <t>HW0PG</t>
  </si>
  <si>
    <t>WOS:000466382900001</t>
  </si>
  <si>
    <t>Ai, ST; Ding, X; An, JC; Lin, GB; Wang, ZM; Yan, M</t>
  </si>
  <si>
    <t>Ai, Songtao; Ding, Xi; An, Jiachun; Lin, Guobiao; Wang, Zemin; Yan, Ming</t>
  </si>
  <si>
    <t>Discovery of the Fastest Ice Flow along the Central Flow Line of Austre Lovenbreen, a Poly-thermal Valley Glacier in Svalbard</t>
  </si>
  <si>
    <t>ice flow velocity; central flow line; poly-thermal glacier; Austre Lovenbreen; Svalbard</t>
  </si>
  <si>
    <t>SURFACE MASS-BALANCE; KRONEBREEN; VELOCITIES; SPITSBERGEN; ABLATION; MOTION; MODEL; SPEED</t>
  </si>
  <si>
    <t>Ice flow velocity is a sensitive indicator of glacier variations both controlling and representing the delivery of ice and affecting the future stability of ice masses in a warming climate. As one of the poly-thermal glaciers in the high Arctic, Austre Lovenbreen (AL) is on the northwestern coast of Spitsbergen, Svalbard. The ice flow velocity of AL was investigated using in situ global positioning system (GPS) observations over 14 years and numerical modelling with Elmer/Ice. First, the ice flow velocity field of AL along central flow line was presented and the ice flow velocity is approximately 4 m/a. Obvious seasonal changes of ice flow velocity can be found in the middle of the glacier, where the velocity in spring-summer is 47% larger than in autumn-winter in 2016, and the mean annual velocity increased 14% from 2009 until 2016. Second, the numerical simulation was performed considering the poly-thermal character of the glacier, and indicated that there are two peak ice flow regions on the glacier, and not just one peak ice flow region as previously believed. The new peak ice flow zone found by simulation was verified by field work, which also demonstrated that the velocity of the newly identified zone is 8% faster than the previously identified zone. Third, although our field observations showed that the ice flow velocity is slowly increasing recently, the maximum ice flow velocity will soon begin to decrease gradually in the long term according to glacier evolution modelling of AL.</t>
  </si>
  <si>
    <t>[Ai, Songtao; Ding, Xi; An, Jiachun; Lin, Guobiao; Wang, Zemin] Wuhan Univ, Chinese Antarctic Ctr Surveying &amp; Mapping, 129 Luoyu Rd, Wuhan 430079, Hubei, Peoples R China; [Yan, Ming] Polar Res Inst China, 451 Jinqiao Rd, Shanghai 200136, Peoples R China</t>
  </si>
  <si>
    <t>An, JC (corresponding author), Wuhan Univ, Chinese Antarctic Ctr Surveying &amp; Mapping, 129 Luoyu Rd, Wuhan 430079, Hubei, Peoples R China.</t>
  </si>
  <si>
    <t>ast@whu.edu.cn; dingxi@chinare.cn; jcan@whu.edu.cn; guobiaolin@whu.edu.cn; zmwang@whu.edu.cn; yanming@pric.org.cn</t>
  </si>
  <si>
    <t>An, Jiachun/ABG-4275-2020; Ai, Songtao/AAA-7338-2019; ZeMin, Wang/AAU-3422-2020</t>
  </si>
  <si>
    <t>An, Jiachun/0000-0002-3106-0714</t>
  </si>
  <si>
    <t>National Key R&amp;D Program of China [2016YFC1402701]; National Natural Science Foundation of China [41531069, 41476162]</t>
  </si>
  <si>
    <t>This work was supported by the National Key R&amp;D Program of China (grant number 2016YFC1402701) and the National Natural Science Foundation of China (grant numbers 41531069, 41476162).</t>
  </si>
  <si>
    <t>JUN 2</t>
  </si>
  <si>
    <t>10.3390/rs11121488</t>
  </si>
  <si>
    <t>IG4SY</t>
  </si>
  <si>
    <t>WOS:000473794600094</t>
  </si>
  <si>
    <t>Jiang, CF; Lin, MS; Wei, H</t>
  </si>
  <si>
    <t>Jiang, Chengfei; Lin, Mingsen; Wei, Hao</t>
  </si>
  <si>
    <t>A Study of the Technology Used to Distinguish Sea Ice and Seawater on the Haiyang-2A/B (HY-2A/B) Altimeter Data</t>
  </si>
  <si>
    <t>Haiyang-2 (HY-2); radar altimeter; Arctic; Antarctic; sea ice; seawater</t>
  </si>
  <si>
    <t>RADAR ALTIMETER; INTERANNUAL VARIABILITY; THICKNESS; EXTENT</t>
  </si>
  <si>
    <t>When the Haiyang-2B (HY-2B) was launched into space to form a star network with the Haiyang-2A (HY-2A), it provided new data sources for the sea ice research of the Earth's polar regions. The ability of altimeter echoes to distinguish sea ice and sea water is usable in operational ice charting. In this research study, the level 1B (L1B) data of HY-2A/B altimeter from November 2018 was used to analyze the altimeter waveforms from the polar regions. The Suboptimal Maximum Likelihood Estimation (SMLE) and Offset Center of Gravity (OCOG) tracking packages could maintain the waveform characteristics of diffused and quasi-specular surfaces by comparison. Also, they could be utilized to distinguish sea ice from seawater in the polar regions. It was determined that the types of echoes obtained from the seawater were diffuse. Also, some ocean-like waveform data had existed for the old ice formations in the Arctic regions during the study period. The types of echoes obtained from Arctic sea ice were found to be mainly quasi-specular. In the present study, three methods (Threshold segmentation, K-nearest-neighbor (KNN), and Lib-Support Vector machine (LIBSVM)) with four waveform parameters (Automatic Gain Control (AGC) and Pulse Peaking (PP) values of the Ku and C Bands) were adopted to distinguish between the sea ice and seawater areas. The accuracy rate of the separation results for the LIBSVM except band Ku from HY-2B ALT was found to be less than 40% in Antarctic. Meanwhile, the other two methods were observed to have maintained the waveforms correctly at accuracy rates of approximately 80% in Antarctic and the Arctic. In addition, the observed distinguishing errors were located in the regions of the old ice of the Arctic region. In addition, due to the summer melting processes, the large number of ice floes and the snow cover had made it difficult to distinguish the seawater and sea ice in the Antarctic regions.</t>
  </si>
  <si>
    <t>[Jiang, Chengfei; Wei, Hao] Tianjin Univ, Sch Marine Sci &amp; Technol, Tianjin 300072, Peoples R China; [Jiang, Chengfei; Lin, Mingsen] State Ocean Adm, Natl Satellite Ocean Applicat Serv, Beijing 100081, Peoples R China; [Jiang, Chengfei; Lin, Mingsen] State Ocean Adm, Key Lab Space Ocean Remote Sensing &amp; Applicat, Beijing 100081, Peoples R China</t>
  </si>
  <si>
    <t>Tianjin University; National Satellite Ocean Application Service</t>
  </si>
  <si>
    <t>Lin, MS (corresponding author), State Ocean Adm, Natl Satellite Ocean Applicat Serv, Beijing 100081, Peoples R China.;Lin, MS (corresponding author), State Ocean Adm, Key Lab Space Ocean Remote Sensing &amp; Applicat, Beijing 100081, Peoples R China.</t>
  </si>
  <si>
    <t>jcf@mail.nsoas.org.cn; mslin@mail.nsoas.org.cn; hao.wei@tju.edu.cn</t>
  </si>
  <si>
    <t>National Key R&amp;D Program of China [2016YFC1401000]; National Natural Science Foundation of China [41876204, 41630969]</t>
  </si>
  <si>
    <t>This work was supported by National Key R&amp;D Program of China under Project 2016YFC1401000; and the National Natural Science Foundation of China under Grant 41876204 and 41630969.</t>
  </si>
  <si>
    <t>10.3390/rs11121490</t>
  </si>
  <si>
    <t>WOS:000473794600096</t>
  </si>
  <si>
    <t>Urbini, S; Bianchi-Fasani, G; Mazzanti, P; Rocca, A; Vittuari, L; Zanutta, A; Girelli, VA; Serafini, M; Zirizzotti, A; Frezzotti, M</t>
  </si>
  <si>
    <t>Urbini, Stefano; Bianchi-Fasani, Gianluca; Mazzanti, Paolo; Rocca, Alfredo; Vittuari, Luca; Zanutta, Antonio; Girelli, Valentina Alena; Serafini, Michelina; Zirizzotti, Achille; Frezzotti, Massimo</t>
  </si>
  <si>
    <t>Multi-Temporal Investigation of the Boulder Clay Glacier and Northern Foothills (Victoria Land, Antarctica) by Integrated Surveying Techniques</t>
  </si>
  <si>
    <t>semi-permanent gravel runway; GPR; GPS; photogrammetry; SAR interferometry; glacier dynamics; deformation; brine ponds</t>
  </si>
  <si>
    <t>TERRA-NOVA BAY; DOME-C; SURFACE-TEMPERATURE; ICE; SYSTEM; CORE</t>
  </si>
  <si>
    <t>The paper aims to detect the main changes that occurred in the area surrounding the Mario Zucchelli Station (MZS) through analysis of multi-temporal remote sensing integrated by geophysical measurements. Specific attention was directed at realizing an integrated geomorphological study of the Boulder Clay Glacier, a partially debris-covered glacier belonging to the Northern Foothills (Victoria Land, Antarctica). This area was recently chosen as the location for the construction of a new semi-permanent gravel runway for MZS logistical airfreight operations. Photogrammetric analysis was performed by comparing three historical aerial photogrammetric surveys (carried out in 1956, 1985, and 1993) and Very High Resolution (VHR) GeoEye-1 satellite stereo-image coverage acquired in 2012. The comparison of geo-referenced orthophoto-mosaics allowed the main changes occurring in some particular areas along the coast nearby MZS to be established. Concerning the study of the Boulder Clay Glacier, it has to be considered that glaciers and moraines are not steady-state systems by definition. Several remote sensing and geophysical investigations were carried out with the main aim of determining the general assessment of this glacier: Ground Penetrating Radar (GPR); Geodetic Global Positioning System (GPS) network; multi-temporal satellite Synthetic Aperture Radar (SAR) interferometry. The analysis of Boulder Clay Glacier moraine pointed out a deformation of less than 74 mm y(-1) in a time span of 56 years, value that agrees with velocity and deformation data observed by GPS and InSAR methods. The presence of unexpected brine ponds at the ice/bedrock interface and the deformation pattern observed in the central part of the moraine has to be monitored and studied, especially under the long-term maintenance of the future runway.</t>
  </si>
  <si>
    <t>[Urbini, Stefano; Serafini, Michelina; Zirizzotti, Achille] Ist Nazl Geofis &amp; Vulcanol, Via Vigna Murata 605, I-00143 Rome, Italy; [Bianchi-Fasani, Gianluca; Frezzotti, Massimo] ENEA Natl Agcy New Technol Energy &amp; Sustainable E, Casaccia Res Ctr, Via Anguillarese 301, I-00123 Rome, Italy; [Mazzanti, Paolo] Univ Rome Sapienza, Dept Earth Sci, Ple Aldo Moro 5, I-00185 Rome, Italy; [Mazzanti, Paolo; Rocca, Alfredo] NHAZCA Srl, Via Vittorio Bachelet 12, I-00185 Rome, Italy; [Vittuari, Luca; Zanutta, Antonio; Girelli, Valentina Alena] Univ Bologna, Dept Civil Chem Environm &amp; Mat Engn DICAM, Viale Risorgimento 2, I-40136 Bologna, Italy; [Frezzotti, Massimo] Univ Roma Tre, Dept Sci, Lgo SL Murialdo 1, I-00146 Rome, Italy</t>
  </si>
  <si>
    <t>Istituto Nazionale Geofisica e Vulcanologia (INGV); Italian National Agency New Technical Energy &amp; Sustainable Economics Development; Sapienza University Rome; University of Bologna; Italfarmaco; Roma Tre University</t>
  </si>
  <si>
    <t>Zanutta, A (corresponding author), Univ Bologna, Dept Civil Chem Environm &amp; Mat Engn DICAM, Viale Risorgimento 2, I-40136 Bologna, Italy.</t>
  </si>
  <si>
    <t>stefano.urbini@ingv.it; gianluca.bianchifasani@enea.it; paolo.mazzanti@uniroma1.it; alfredo.rocca@nhazca.com; luca.vittuari@unibo.it; antonio.zanutta@unibo.it; valentina.girelli@unibo.it; michelina.serafini@libero.it; achille.zirizzotti@ingv.it; massimo.frezzotti@enea.it</t>
  </si>
  <si>
    <t>Vittuari, Luca/C-1606-2018; FREZZOTTI, Massimo/AAK-7275-2020; Zirizzotti, Achille/HKE-0592-2023; MAZZANTI, Paolo/A-8970-2012</t>
  </si>
  <si>
    <t>FREZZOTTI, Massimo/0000-0002-2461-2883; Girelli, Valentina Alena/0000-0001-9257-9803; Rocca, Alfredo/0000-0002-7750-4237; ZANUTTA, ANTONIO/0000-0003-4872-5222; urbini, stefano/0000-0002-8053-4197; Zirizzotti, Achille/0000-0001-7586-9219; MAZZANTI, Paolo/0000-0003-0042-3444; Vittuari, Luca/0000-0002-9815-1004</t>
  </si>
  <si>
    <t>Italian National Program for Antarctic Research (PNRA)</t>
  </si>
  <si>
    <t>Part of this work was supported by the Italian National Program for Antarctic Research (PNRA).</t>
  </si>
  <si>
    <t>10.3390/rs11121501</t>
  </si>
  <si>
    <t>WOS:000473794600107</t>
  </si>
  <si>
    <t>Wang, YT; Hou, YH; Nie, P; Wang, YF; Ren, XL; Wei, QF; Wang, QF</t>
  </si>
  <si>
    <t>Wang, Yatong; Hou, Yanhua; Nie, Ping; Wang, Yifan; Ren, Xiulian; Wei, Qifeng; Wang, Quanfu</t>
  </si>
  <si>
    <t>A Novel Cold-Adapted and Salt-Tolerant RNase R from Antarctic Sea-Ice Bacterium Psychrobacter sp. ANT206</t>
  </si>
  <si>
    <t>MOLECULES</t>
  </si>
  <si>
    <t>RNase R; cold-adapted; antarctic bacterium; sea-ice; homology modeling</t>
  </si>
  <si>
    <t>EXORIBONUCLEASE-R; LOW-TEMPERATURE; EXTRACELLULAR RIBONUCLEASE; PSYCHROPHILIC ENZYMES; PSEUDOMONAS-SYRINGAE; PURIFICATION; GENE; GALACTOSIDASE; VACB</t>
  </si>
  <si>
    <t>A novel RNase R, psrnr, was cloned from the Antarctic bacterium Psychrobacter sp. ANT206 and expressed in Escherichia coli (E. coli). A bioinformatics analysis of the psrnr gene revealed that it contained an open reading frame of 2313 bp and encoded a protein (PsRNR) of 770 amino acids. Homology modeling indicated that PsRNR had reduced hydrogen bonds and salt bridges, which might be the main reason for the catalytic efficiency at low temperatures. A site directed mutation exhibited that His 667 in the active site was absolutely crucial for the enzyme catalysis. The recombinant PsRNR (rPsRNR) showed maximum activity at 30 degrees C and had thermal instability, suggesting that rPsRNR was a cold-adapted enzyme. Interestingly, rPsRNR displayed remarkable salt tolerance, remaining stable at 0.5-3.0 M NaCl. Furthermore, rPsRNR had a higher k(cat) value, contributing to its efficient catalytic activity at a low temperature. Overall, cold-adapted RNase R in this study was an excellent candidate for antimicrobial treatment.</t>
  </si>
  <si>
    <t>[Wang, Yatong; Hou, Yanhua; Nie, Ping; Wang, Yifan; Ren, Xiulian; Wei, Qifeng; Wang, Quanfu] Harbin Inst Technol, Sch Marine Sci &amp; Technol, Weihai 264209, Peoples R China</t>
  </si>
  <si>
    <t>Hou, YH; Wang, QF (corresponding author), Harbin Inst Technol, Sch Marine Sci &amp; Technol, Weihai 264209, Peoples R China.</t>
  </si>
  <si>
    <t>wangyatong199311@163.com; marry7718@163.com; 15104589482@163.com; daid0101@163.com; renxiulian1229@163.com; weiqifeng163@163.com; wangquanfuhit@hit.edu.cn</t>
  </si>
  <si>
    <t>wang, yatong/KDN-3824-2024</t>
  </si>
  <si>
    <t>wang, ya tong/0000-0003-0863-5935</t>
  </si>
  <si>
    <t>National Science Foundation of China [41876149]; Natural Science Foundation of Shandong Province [ZR2017MC046, ZR2019MD018]; Key Research and Development Plan of Shandong Province [2018GHY115021]</t>
  </si>
  <si>
    <t>National Science Foundation of China(National Natural Science Foundation of China (NSFC)); Natural Science Foundation of Shandong Province(Natural Science Foundation of Shandong Province); Key Research and Development Plan of Shandong Province</t>
  </si>
  <si>
    <t>This research was funded by the National Science Foundation of China (Grant No. 41876149), the Natural Science Foundation of Shandong Province (Grant No. ZR2017MC046 and ZR2019MD018) and the Key Research and Development Plan of Shandong Province (Grant No. 2018GHY115021).</t>
  </si>
  <si>
    <t>1420-3049</t>
  </si>
  <si>
    <t>Molecules</t>
  </si>
  <si>
    <t>10.3390/molecules24122229</t>
  </si>
  <si>
    <t>Biochemistry &amp; Molecular Biology; Chemistry, Multidisciplinary</t>
  </si>
  <si>
    <t>Biochemistry &amp; Molecular Biology; Chemistry</t>
  </si>
  <si>
    <t>IG5AW</t>
  </si>
  <si>
    <t>WOS:000473816900035</t>
  </si>
  <si>
    <t>Herrera, LM; Braña, V; Fraguas, LF; Castro-Sowinski, S</t>
  </si>
  <si>
    <t>Herrera, Lorena M.; Brana, Victoria; Franco Fraguas, Laura; Castro-Sowinski, Susana</t>
  </si>
  <si>
    <t>Characterization of the cellulase-secretome produced by the Antarctic bacterium Flavobacterium sp. AUG42</t>
  </si>
  <si>
    <t>MICROBIOLOGICAL RESEARCH</t>
  </si>
  <si>
    <t>Antarctica; Carbon cycle; Cellulase; Flavobacterium; Saccharification</t>
  </si>
  <si>
    <t>ENZYMES; SACCHARIFICATION; ENDOGLUCANASE; DEGRADATION; IMPACT</t>
  </si>
  <si>
    <t>Flavobacterium sp. AUG42 is a cellulase-producing bacterium isolated from the Antarctic oligochaete Grania sp. (Annelida). In this work, we report that AUG42 produces a glycoside hydrolase cocktail with CMCase, PASCase and cellobiase activities (optimum pHs and temperatures ranging from 5.5 to 6.5 and 40 to 50 degrees C, respectively). The time-course analyses of the bacterial growth and cellulase production showed that the cocktail has maximal activity at the stationary phase when growing at 16 degrees C with filter paper as a cellulosic carbon source, among the tested substrates. The analyses of the CAZome and the identification of secreted proteins by shotgun Mass Spectrometry analysis showed that five glycoside hydrolyses are present in the bacterial secretome, which probably cooperate in the degradation of the cellulosic substrates. Two of these glycoside hydrolyses may harbor putative carbohydrate binding modules, both with a cleft-like active site. The cellulolytic cocktail was assayed in saccharification experiments using carboxymethylcellulose as a substrate and results showed the release of glucose (a fermentable sugar) and other reducing-sugars, after 24 h incubation. The ecological relevance of producing cellulases in the Antarctic environment, as well as their potential use in the bio-refinery industry, are discussed.</t>
  </si>
  <si>
    <t>[Herrera, Lorena M.; Castro-Sowinski, Susana] Univ Republ UdelaR, Fac Sci, Biochem &amp; Mol Biol, Igua 4225, Montevideo 11400, Uruguay; [Brana, Victoria; Castro-Sowinski, Susana] Inst Clemente Estable, Mol Microbiol, Av Italia 3318, Montevideo 11600, Uruguay; [Franco Fraguas, Laura] Univ Republica, Fac Quim, Dept Biociencias, Catedra Bioquim, Av Gral Flores 2124, Montevideo 11800, Uruguay</t>
  </si>
  <si>
    <t>Universidad de la Republica, Uruguay; Instituto de Investigaciones Biologicas Clemente Estable Uruguay; Universidad de la Republica, Uruguay</t>
  </si>
  <si>
    <t>Castro-Sowinski, S (corresponding author), Univ Republ UdelaR, Fac Sci, Biochem &amp; Mol Biol, Igua 4225, Montevideo 11400, Uruguay.;Castro-Sowinski, S (corresponding author), Inst Clemente Estable, Mol Microbiol, Av Italia 3318, Montevideo 11600, Uruguay.</t>
  </si>
  <si>
    <t>PEDECIBA (Programa de Desarrollo de las Ciencias Basicas); ANII (Agencia Nacional de Investigacion e Innovacion) [FSE_1_2104_1_102649]; ANII</t>
  </si>
  <si>
    <t>PEDECIBA (Programa de Desarrollo de las Ciencias Basicas); ANII (Agencia Nacional de Investigacion e Innovacion); ANII</t>
  </si>
  <si>
    <t>This work was partially supported by PEDECIBA (Programa de Desarrollo de las Ciencias Basicas) and ANII (Agencia Nacional de Investigacion e Innovacion) (FSE_1_2104_1_102649). The work of LMH was supported by ANII. The authors thank the Uruguayan Antarctic Institute for the logistic support during the stay in the Antarctic Base Artigas. S. Castro-Sowinski and L. Franco Fraguas are members of the National Research System (SNI, Sistema Nacional de Investigadores).; The authors especially thanks to Prof. Edward A. Bayer, Dr. Lior Artzi and Melina Shamshoum from the Department of Biomolecular Sciences, Weizmann Institute of Sciences (Rehovot, Israel), for their support and valuable suggestions and revision of the manuscript.</t>
  </si>
  <si>
    <t>ELSEVIER GMBH</t>
  </si>
  <si>
    <t>MUNICH</t>
  </si>
  <si>
    <t>HACKERBRUCKE 6, 80335 MUNICH, GERMANY</t>
  </si>
  <si>
    <t>0944-5013</t>
  </si>
  <si>
    <t>MICROBIOL RES</t>
  </si>
  <si>
    <t>Microbiol. Res.</t>
  </si>
  <si>
    <t>JUN-AUG</t>
  </si>
  <si>
    <t>10.1016/j.micres.2019.03.009</t>
  </si>
  <si>
    <t>LD3MR</t>
  </si>
  <si>
    <t>WOS:000525937200002</t>
  </si>
  <si>
    <t>Sandhu, JK; Walach, MT; Allison, H; Watt, C</t>
  </si>
  <si>
    <t>Sandhu, Jasmine Kaur; Walach, Maria-Theresia; Allison, Hayley; Watt, Clare</t>
  </si>
  <si>
    <t>A global view of storms and substorms</t>
  </si>
  <si>
    <t>ASTRONOMY &amp; GEOPHYSICS</t>
  </si>
  <si>
    <t>RELATIVISTIC ELECTRONS; GEOMAGNETIC STORMS; MAGNETIC-FIELD; RING CURRENT; RADIATION; MAGNETOSPHERE; PRECIPITATION; DYNAMICS; OUTFLOW; BELT</t>
  </si>
  <si>
    <t>[Sandhu, Jasmine Kaur] UCL, Mullard Space Sci Lab, London, England; [Walach, Maria-Theresia] Univ Lancaster, Lancaster, England; [Allison, Hayley] Univ Cambridge, British Antarctic Survey, Cambridge, England; [Watt, Clare] Univ Reading, Reading, Berks, England</t>
  </si>
  <si>
    <t>University of London; University College London; Lancaster University; University of Cambridge; UK Research &amp; Innovation (UKRI); Natural Environment Research Council (NERC); NERC British Antarctic Survey; University of Reading</t>
  </si>
  <si>
    <t>Sandhu, JK (corresponding author), UCL, Mullard Space Sci Lab, London, England.</t>
  </si>
  <si>
    <t>Sandhu, Jasmine/AAU-5657-2020; Sandhu, Jasmine/AAM-9919-2021; Watt, Clare E J/C-5218-2008; Walach, Maria-Theresia/AAB-1833-2020</t>
  </si>
  <si>
    <t>Sandhu, Jasmine/0000-0001-6089-426X; Walach, Maria-Theresia/0000-0002-9352-0659</t>
  </si>
  <si>
    <t>1366-8781</t>
  </si>
  <si>
    <t>1468-4004</t>
  </si>
  <si>
    <t>ASTRON GEOPHYS</t>
  </si>
  <si>
    <t>Astron. Geophys.</t>
  </si>
  <si>
    <t>Astronomy &amp; Astrophysics; Geochemistry &amp; Geophysics</t>
  </si>
  <si>
    <t>JI3XN</t>
  </si>
  <si>
    <t>WOS:000493402300036</t>
  </si>
  <si>
    <t>Trueblood, LA</t>
  </si>
  <si>
    <t>Trueblood, Lloyd A.</t>
  </si>
  <si>
    <t>Salp metabolism: temperature and oxygen partial pressure effect on the physiology of Salpa fusiformis from the California Current</t>
  </si>
  <si>
    <t>salps; Thaliacea; metabolic rate; temperature; critical oxygen partial pressure</t>
  </si>
  <si>
    <t>ATLANTIC TIME-SERIES; ELEMENTAL COMPOSITION; ENZYME-ACTIVITIES; FECAL PELLETS; BODY-SIZE; ANTARCTIC ZOOPLANKTON; VERTICAL MIGRATION; THALIA-DEMOCRATICA; AMMONIUM EXCRETION; CYCLOSALPA-BAKERI</t>
  </si>
  <si>
    <t>Salps are pelagic tunicates that play an important role in carbon cycling by filter feeding and packaging waste into dense fecal pellets that sink rapidly to the deep ocean. There has been limited research on salp physiology and no studies that examine how changes in environmental factors such as temperature and dissolved oxygen impact basic physiological processes. Here I examine temperature and oxygen partial pressure effect on metabolism in blastozooids of Salpa fusiformis. Routine metabolic rates of 1.66 and 3.95 mu mol O-2 g(-1) h(-1) wet weight at 10 degrees C and 17 degrees C, respectively, resulted in a Q(10) = 3.45. The observed decrease in metabolism associated with decreased temperature, as well as hypoxia tolerance, is explored in the context of observed vertical migrations into hypoxic waters in the California Current, and potential impacts on carbon output. Metabolic rates for S. fusiformis are compared to metabolic rates published for other species of salps and gelatinous zooplankton. Expansion of this work across a broader set of species is critical to quantify the impact climate change may have on salps and their role in marine carbon cycling.</t>
  </si>
  <si>
    <t>[Trueblood, Lloyd A.] La Sierra Univ, Biol Dept, 4500 Riverwalk Pkwy, Riverside, CA 92505 USA</t>
  </si>
  <si>
    <t>Trueblood, LA (corresponding author), La Sierra Univ, Biol Dept, 4500 Riverwalk Pkwy, Riverside, CA 92505 USA.</t>
  </si>
  <si>
    <t>Lloyd.trueblood@lasierra.edu</t>
  </si>
  <si>
    <t>National Science Foundation [OCE 1230900]</t>
  </si>
  <si>
    <t>A portion of this work was funded by the National Science Foundation grants OCE 1230900 to Clare Reimers.</t>
  </si>
  <si>
    <t>10.1093/plankt/fbz014</t>
  </si>
  <si>
    <t>JI3UV</t>
  </si>
  <si>
    <t>WOS:000493395200007</t>
  </si>
  <si>
    <t>Chiswell, SM; Safi, KA; Sander, SG; Strzepek, R; Ellwood, MJ; Milne, A; Boyd, PW</t>
  </si>
  <si>
    <t>Chiswell, Stephen M.; Safi, Karl A.; Sander, Sylvia G.; Strzepek, Robert; Ellwood, Michael J.; Milne, Angela; Boyd, Philip W.</t>
  </si>
  <si>
    <t>Exploring mechanisms for spring bloom evolution: contrasting 2008 and 2012 blooms in the southwest Pacific Ocean</t>
  </si>
  <si>
    <t>primary production; spring bloom; physical control; wind mixing; heat flux</t>
  </si>
  <si>
    <t>ANNUAL CYCLES; INTERANNUAL VARIABILITY; CRITICAL DEPTH; NEW-ZEALAND; PHYTOPLANKTON</t>
  </si>
  <si>
    <t>Observations from two research cruises made in 2008 and 2012 to east of New Zealand are put into context with satellite data to contrast and compare surface chlorophyll a evolution in the two years in order to explore mechanisms of phytoplankton bloom development in the southwest Pacific Ocean. In 2008, surface chlorophyll a largely followed the long-term climatological cycle, and 2008 can be considered a canonical year, where the autumn bloom is triggered by increasing vertical mixing at the end of summer and the spring bloom is triggered by decreasing vertical mixing at the end of winter. In contrast, 2012 was anomalous in that there was no autumn bloom, and in early spring there were several periods of sustained increase in surface chlorophyll a that did not become fully developed spring blooms. (In this region, we consider spring blooms to occur when surface chlorophyll a exceeds 0.5 mg m(-3)). These events can be related to alternating episodes of increased or decreased vertical mixing. The eventual spring bloom in October was driven by increased ocean cooling and wind stress (i.e. increased mixing) and paradoxically was driven by mechanisms considered more appropriate for autumn rather than spring blooms.</t>
  </si>
  <si>
    <t>[Chiswell, Stephen M.] Natl Inst Water &amp; Atmospher Res, POB 14-901, Wellington 6241, New Zealand; [Safi, Karl A.; Boyd, Philip W.] Natl Inst Water &amp; Atmospher Res, POB 11-115, Hamilton 3251, New Zealand; [Sander, Sylvia G.] Univ Otago, Res Ctr Oceanog, Niwa, Dept Chem, Dunedin 9054, New Zealand; [Strzepek, Robert; Boyd, Philip W.] Univ Tasmania, Inst Marine &amp; Antarctic Studies, Hobart, Tas 7001, Australia; [Ellwood, Michael J.] Australian Natl Univ, Res Sch Earth Sci, Canberra, ACT 0200, Australia; [Milne, Angela] Univ Plymouth, Sch Geog Earth &amp; Environm Sci, Plymouth PL4 8AA, Devon, England; [Sander, Sylvia G.] IAEA, Dept Nucl Sci &amp; Applicat, Iaea Environm Labs, Marine Environm Studies Lab, Monaco 98000, Monaco</t>
  </si>
  <si>
    <t>National Institute of Water &amp; Atmospheric Research (NIWA) - New Zealand; National Institute of Water &amp; Atmospheric Research (NIWA) - New Zealand; University of Otago; University of Tasmania; Australian National University; University of Plymouth</t>
  </si>
  <si>
    <t>Chiswell, SM (corresponding author), Natl Inst Water &amp; Atmospher Res, POB 14-901, Wellington 6241, New Zealand.</t>
  </si>
  <si>
    <t>s.chiswell@niwa.cri.nz</t>
  </si>
  <si>
    <t>Boyd, Philip W/J-7624-2014; Ellwood, Michael J/G-7390-2011; Strzepek, Robert Francis/GQH-8703-2022; Sander, Sylvia/AAC-3559-2022; Milne, Angela/O-2786-2016</t>
  </si>
  <si>
    <t>Strzepek, Robert Francis/0000-0002-6442-7121; Sander, Sylvia/0000-0001-9581-9737; Ellwood, Michael/0000-0003-4288-8530; Safi, Karl/0000-0002-7785-1909; Milne, Angela/0000-0002-3304-8962</t>
  </si>
  <si>
    <t>New Zealand Government (National Institute of Water and Atmospheric Research); Australian Research Council [DP110100108, DP0770820, DP130100679]; Natural Environmental Research Council (NERC) [NE/H004475/1]; Government of the Principality of Monaco; NERC [NE/H004475/1] Funding Source: UKRI; Australian Research Council [DP0770820] Funding Source: Australian Research Council</t>
  </si>
  <si>
    <t>New Zealand Government (National Institute of Water and Atmospheric Research); Australian Research Council(Australian Research Council); Natural Environmental Research Council (NERC)(UK Research &amp; Innovation (UKRI)Natural Environment Research Council (NERC)); Government of the Principality of Monaco; NERC(UK Research &amp; Innovation (UKRI)Natural Environment Research Council (NERC)); Australian Research Council(Australian Research Council)</t>
  </si>
  <si>
    <t>New Zealand Government (National Institute of Water and Atmospheric Research to S.M.C., K.S. and P.W.B.); Australian Research Council (DP110100108, DP0770820 and DP130100679 to R.S. and M.J.E.); Natural Environmental Research Council (NERC NE/H004475/1 awarded to Maeve Lohan to support A.M.); Government of the Principality of Monaco (S.G.S.).</t>
  </si>
  <si>
    <t>10.1093/plankt/fbz017</t>
  </si>
  <si>
    <t>WOS:000493395200010</t>
  </si>
  <si>
    <t>Kim, M; Lim, HS; Hyun, CU; Cho, A; Noll, HJ; Hong, SG; Kim, OS</t>
  </si>
  <si>
    <t>Kim, Mincheol; Lim, Hyun-Soo; Hyun, Chang-Uk; Cho, Ahnna; Noll, Hyun-Ju; Hong, Soon Gyu; Kim, Ok-Sun</t>
  </si>
  <si>
    <t>Local-scale variation of soil bacterial communities in ice-free regions of maritime Antarctica</t>
  </si>
  <si>
    <t>SOIL BIOLOGY &amp; BIOCHEMISTRY</t>
  </si>
  <si>
    <t>Soil bacterial community; Microbial biogeography; Antarctic terrestrial ecosystem</t>
  </si>
  <si>
    <t>KING-GEORGE-ISLAND; OPERON COPY NUMBER; SOUTH SHETLAND ISLANDS; BARTON PENINSULA; WEST ANTARCTICA; DIVERSITY; ABUNDANCE; VEGETATION; PATTERNS; ECOLOGY</t>
  </si>
  <si>
    <t>The majority of biogeographic studies in Antarctic terrestrial ecosystems have focused on macroscopic eukaryote taxa. In contrast, microbial taxa have been almost neglected or examined without sufficient spatial coverage. Here, we examined the spatial distribution of soil bacterial communities and their relation to local environmental gradients in ice-free regions of the maritime Antarctic. Soils in this region were dominated by Actinobacteria and Proteobacteria, which are typically found in Antarctic soils. Notably, candidate divisions AD3 and WPS-2, which rarely occur in other biomes, were found in high abundance in acidic surface soils. Soil pH and total organic carbon (TOC) were the primary drivers of the bacterial community structure and various geochemical variables also played important roles in structuring bacterial community composition. Bacterial communities were significantly correlated to measured environmental variables, most of which are spatially structured at the local spatial scale (0.5-8 km). This suggests that spatial heterogeneity of environmental factors is an important driver of shifts in bacterial communities. Although various sets of environmental variables were related to bacterial communities, a large proportion of community variation remained unexplained. This indicates that bacterial communities in Antarctic soils may be governed by other biotic or abiotic factors which are not typically measured in other biome studies.</t>
  </si>
  <si>
    <t>[Kim, Mincheol; Hyun, Chang-Uk; Cho, Ahnna; Noll, Hyun-Ju; Hong, Soon Gyu; Kim, Ok-Sun] Korea Polar Res Inst KOPRI, Incheon 21990, South Korea; [Lim, Hyun-Soo] Pusan Univ, Dept Geol Sci, Busan 46241, South Korea</t>
  </si>
  <si>
    <t>Kim, OS (corresponding author), Korea Polar Res Inst, Div Life Sci, 26 Songdomirae Ro, Incheon 21990, South Korea.</t>
  </si>
  <si>
    <t>oskim@kopri.re.kr</t>
  </si>
  <si>
    <t>Lim, Hyoun Soo/0000-0002-2489-4470; Kim, Mincheol/0000-0003-1506-4800</t>
  </si>
  <si>
    <t>Korea Polar Research Institute, Republic of Korea [PE12030, PE16020, PE17090]</t>
  </si>
  <si>
    <t>Korea Polar Research Institute, Republic of Korea(Korea Polar Research Institute of Marine Research Placement (KOPRI))</t>
  </si>
  <si>
    <t>This study was funded by Korea Polar Research Institute (PE12030, PE16020 and PE17090), Republic of Korea.</t>
  </si>
  <si>
    <t>0038-0717</t>
  </si>
  <si>
    <t>1879-3428</t>
  </si>
  <si>
    <t>SOIL BIOL BIOCHEM</t>
  </si>
  <si>
    <t>Soil Biol. Biochem.</t>
  </si>
  <si>
    <t>10.1016/j.soilbio.2019.03.011</t>
  </si>
  <si>
    <t>IZ3RA</t>
  </si>
  <si>
    <t>WOS:000487001800019</t>
  </si>
  <si>
    <t>Hong, SH; Kim, JH; Park, JW; Won, JS</t>
  </si>
  <si>
    <t>Hong, Sang-Hoon; Kim, Jae-Hun; Park, Jeong-Won; Won, Joong-Sun</t>
  </si>
  <si>
    <t>Detection and Velocity Measurement of Brash Ice in the Arctic Ocean by TerraSAR-X Quad-pol SAR</t>
  </si>
  <si>
    <t>JOURNAL OF COASTAL RESEARCH</t>
  </si>
  <si>
    <t>Sea ice drift; quad-pol SAR; TerraSAR-X; Doppler frequency</t>
  </si>
  <si>
    <t>MOTION TRACKING; PARAMETERS; RETRIEVAL; IMAGES</t>
  </si>
  <si>
    <t>A new method is presented using a TerraSAR-X quad-pol synthetic aperture radar (SAR) observation for detection and velocity measurement of sea ice drift, which can be useful information to improve sea ice models in the Arctic and Antarctic Oceans. It is very difficult to detect and measure slow moving natural objects using only a space-borne SAR observation without any terrestrial measurement. The core idea is to exploit a slight time difference between different polarizations (i.e., H- and V-pol transmitted signals). The ground motion can be estimated by measuring the slope of residual Doppler frequency versus azimuth time difference without the knowledge of different scattering centers. The results demonstrate effective detection of the flow of brash ice. The SAR-measured velocities were approximately 0.2-0.3 m/s for ice floes and 1.4-3.5 m/s for brash ice flowing through ice fractures. The method was validated by using a pursuit monostatic TanDEM-X mode observation, by which two satellites observed the same sea ice with about a ten-second time interval. The sea ice velocities measured by the proposed approach using only one dataset well correlated with the results from offset tracking method applied to the two datasets with a correlation determination R-2 of 0.93. The cross-pol (HV- and VH-pol) pair is more effective to measure the velocity because the scattering center distance decreases significantly in the cross-pol pair, and data with high coherence are required for velocity estimation.</t>
  </si>
  <si>
    <t>[Hong, Sang-Hoon] Pusan Natl Univ, Dept Geol Sci, Pusan, South Korea; [Kim, Jae-Hun; Won, Joong-Sun] Yonsei Univ, Dept Earth Syst Sci, Seoul, South Korea; [Park, Jeong-Won] Nansen Environm &amp; Remote Sensing Ctr, Bergen, Norway</t>
  </si>
  <si>
    <t>Pusan National University; Yonsei University; Nansen Environmental &amp; Remote Sensing Center (NERSC)</t>
  </si>
  <si>
    <t>Won, JS (corresponding author), Yonsei Univ, Dept Earth Syst Sci, Seoul, South Korea.</t>
  </si>
  <si>
    <t>jswon@yonsei.ac.kr</t>
  </si>
  <si>
    <t>WON, JOONG-SUN/I-4359-2018</t>
  </si>
  <si>
    <t>WON, JOONG-SUN/0000-0001-9255-9407; Park, Jeong-Won/0000-0001-6122-0910</t>
  </si>
  <si>
    <t>National Space Lab program through the Korea Science and Engineering Foundation - Ministry of Science and ICT [2013M1A3A3 A02042314]; National Research Foundation of Korea (NRF) under the Space Core Technology Development Program [2017M1A3A3A02016234]; Korea government (MSIT)</t>
  </si>
  <si>
    <t>National Space Lab program through the Korea Science and Engineering Foundation - Ministry of Science and ICT; National Research Foundation of Korea (NRF) under the Space Core Technology Development Program; Korea government (MSIT)(Korean Government)</t>
  </si>
  <si>
    <t>Authors thank the German Aerospace Center (DLR) and S. Wdowinski for the TerraSAR-X and TanDEM-X quad-pol SAR data (PID: HYD0930, OTHER6732). This work was partially supported by the National Space Lab program (2013M1A3A3 A02042314) through the Korea Science and Engineering Foundation funded by the Ministry of Science and ICT. This research was funded by the Korea government (MSIT) and supported by the National Research Foundation of Korea (NRF) under the Space Core Technology Development Program (project id: 2017M1A3A3A02016234).</t>
  </si>
  <si>
    <t>COASTAL EDUCATION &amp; RESEARCH FOUNDATION</t>
  </si>
  <si>
    <t>COCONUT CREEK</t>
  </si>
  <si>
    <t>5130 NW 54TH STREET, COCONUT CREEK, FL 33073 USA</t>
  </si>
  <si>
    <t>0749-0208</t>
  </si>
  <si>
    <t>1551-5036</t>
  </si>
  <si>
    <t>J COASTAL RES</t>
  </si>
  <si>
    <t>J. Coast. Res.</t>
  </si>
  <si>
    <t>SUM</t>
  </si>
  <si>
    <t>10.2112/SI90-001.1</t>
  </si>
  <si>
    <t>IX5HE</t>
  </si>
  <si>
    <t>WOS:000485714500002</t>
  </si>
  <si>
    <t>Khan, Z; Maznah, WOW; Merican, MSMF; Convey, P; Najimudin, N; Alias, SA</t>
  </si>
  <si>
    <t>Khan, Zoya; Maznah, W. O. Wan; Merican, M. S. M. Faradina; Convey, Peter; Najimudin, Nazalan; Alias, Siti Aisyah</t>
  </si>
  <si>
    <t>A comparative study of phycobilliprotein production in two strains of Pseudanabaena isolated from Arctic and tropical regions in relation to different light wavelengths and photoperiods</t>
  </si>
  <si>
    <t>POLAR SCIENCE</t>
  </si>
  <si>
    <t>7th Malaysian International Seminar on Antarctica (MISA) - Connectivity between Polar and Equatorial Climate and Biosphere - From the Poles to the Tropics</t>
  </si>
  <si>
    <t>AUG 15-17, 2017</t>
  </si>
  <si>
    <t>Kuala Terengganu, MALAYSIA</t>
  </si>
  <si>
    <t>Cyanobacteria; Light wavelengths; Photoperiod; Phycobiliproteins; Pseudanabaena</t>
  </si>
  <si>
    <t>COMPLEMENTARY CHROMATIC ADAPTATION; C-PHYCOERYTHRIN; PHYCOCYANIN; MARINE; CYANOBACTERIA; PURIFICATION; SPIRULINA; PHOTOINHIBITION; EXTRACTION; TOCOPHEROL</t>
  </si>
  <si>
    <t>Phycobiliproteins, which include phycocyanin, allophycocyanin and phycoerythrin, are the group of coloured accessory photosynthetic pigments present in cyanobacteria (blue-green algae). Pseudanabaena is a genus of microscopic cyanobacteria, cosmopolitan in distribution and known to be rich in phycoerythrins. Cyanobacteria are photosynthetic organisms, thus, one of the factors that influences their metabolism is the quality and quantity of incident light. In order to determine the production of phycobiliproteins (mainly phycocyanin and phycoerythrin) in this genus, the quantity of these pigments was investigated in two different strains of Pseudanabaena, P. catenata USMAC16 isolated from an Arctic location (Svalbard) and P. amphigranulata USMAC18 from a tropical location (Tasik Harapan, USM, Malaysia). The aims of this study were twofold. First, to determine the influence of different light wavelengths (white, green and red) and exposure duration (photoperiod of 12-24 h (h)) on phycocyanin and phycoerythrin production in the two strains. Second, to compare the production of phycobiliprotein between the two strains. Highest phycocyanin production was obtained under red light, while phycoerythrin production was highest under green light. Highest production was achieved with photoperiod 24: 00 h L:D (L: light, D: dark) in the polar strain and 12:12 h L: D in the tropical strain. P. catenata (Arctic strain) was a good producer of phycoerythrin when grown under green light.</t>
  </si>
  <si>
    <t>[Khan, Zoya; Maznah, W. O. Wan; Merican, M. S. M. Faradina; Najimudin, Nazalan] Univ Sains Malaysia, Sch Biol Sci, George Town 11800, Malaysia; [Convey, Peter] British Antarctic Survey, NERC, Cambridge CB3 0ET, England; [Alias, Siti Aisyah] Univ Malaya, Inst Ocean &amp; Earth Sci, Kuala Lumpur 50603, Malaysia</t>
  </si>
  <si>
    <t>Universiti Sains Malaysia; UK Research &amp; Innovation (UKRI); Natural Environment Research Council (NERC); NERC British Antarctic Survey; Universiti Malaya</t>
  </si>
  <si>
    <t>Maznah, WOW (corresponding author), Univ Sains Malaysia, Sch Biol Sci, George Town 11800, Malaysia.</t>
  </si>
  <si>
    <t>zoyakhan2908@gmail.com; w@usm.my</t>
  </si>
  <si>
    <t>Convey, Peter/AAV-5728-2020; Najimudin, Nazalan/B-2952-2011; FASc, SITI AISYAH A. HJ ALIAS/B-9785-2010; Sidik Merican, Faradina Merican/F-6785-2019</t>
  </si>
  <si>
    <t>Convey, Peter/0000-0001-8497-9903; FASc, SITI AISYAH A. HJ ALIAS/0000-0002-6759-5745; Sidik Merican, Faradina Merican/0000-0003-1441-0134; Wan Omar, Wan Maznah/0000-0001-6234-1618</t>
  </si>
  <si>
    <t>Flagship grant under Ministry of Science, Technology and Innovation, Malaysia [304/PBIOLOGI/650723/P131]; NERC; NERC [bas0100036] Funding Source: UKRI</t>
  </si>
  <si>
    <t>Flagship grant under Ministry of Science, Technology and Innovation, Malaysia; NERC(UK Research &amp; Innovation (UKRI)Natural Environment Research Council (NERC)); NERC(UK Research &amp; Innovation (UKRI)Natural Environment Research Council (NERC))</t>
  </si>
  <si>
    <t>This study was funded and supported by Flagship grant (304/PBIOLOGI/650723/P131) under Ministry of Science, Technology and Innovation, Malaysia. P. Convey is supported by NERC core funding to the BAS 'Biodiversity, Evolution and Adaptation' Team. We would like to thank Tan Chun Ho for his help in spectrophotometer analysis.</t>
  </si>
  <si>
    <t>1873-9652</t>
  </si>
  <si>
    <t>1876-4428</t>
  </si>
  <si>
    <t>POLAR SCI</t>
  </si>
  <si>
    <t>Polar Sci.</t>
  </si>
  <si>
    <t>10.1016/j.polar.2018.10.002</t>
  </si>
  <si>
    <t>IU1WU</t>
  </si>
  <si>
    <t>WOS:000483368600002</t>
  </si>
  <si>
    <t>Wong, HJ; Mohamad-Fauzi, N; Rizman-Idid, M; Convey, P; Alias, SA</t>
  </si>
  <si>
    <t>Wong, Hao Jie; Mohamad-Fauzi, Nuradilla; Rizman-Idid, Mohammed; Convey, Peter; Alias, Siti Aisyah</t>
  </si>
  <si>
    <t>Protective mechanisms and responses of micro-fungi towards ultraviolet-induced cellular damage</t>
  </si>
  <si>
    <t>Cross-protection; DNA repair; Photoproducts; Pigmentation; Regional adaptation</t>
  </si>
  <si>
    <t>UV-B RADIATION; NUCLEOTIDE EXCISION-REPAIR; CYCLOBUTANE PYRIMIDINE DIMERS; BLUE-LIGHT REGULATION; PHOTOLYASE GENE PHR1; DRIVEN DNA-REPAIR; SACCHAROMYCES-CEREVISIAE; BEAUVERIA-BASSIANA; VISIBLE-LIGHT; AMINO-ACIDS</t>
  </si>
  <si>
    <t>Fungi are microbes that play vital roles in nutrient cycling in the natural environment and in symbiotic interactions with plants and other microbes. They thrive successfully even when challenged by various abiotic and biotic stress factors in the natural environment. Their growth, conidia production, survival, germination, pathogenicity, virulence and bioactive compound production can be strongly influenced by exposure to solar ultraviolet radiation. Different adaptive mechanisms are used to protect the cells and to maintain DNA integrity, enabling survival of exposure to solar ultraviolet irradiation in natural environments. Counter to these abilities, failure to protect cells against damage induced by ultraviolet radiation can compromise genetic integrity and survival, and alter species composition within the fungal community. We reviewed a large body of work on the biological and environmental factors that influence the protective mechanisms employed by micro-fungi in response to exposure to solar ultraviolet radiation, thereby increasing understanding of adaptive responses in micro-fungi.</t>
  </si>
  <si>
    <t>[Wong, Hao Jie; Mohamad-Fauzi, Nuradilla; Rizman-Idid, Mohammed; Alias, Siti Aisyah] Univ Malaya, Inst Grad Studies, Inst Ocean &amp; Earth Sci, Kuala Lumpur 50603, Malaysia; [Mohamad-Fauzi, Nuradilla] Univ Malaya, Fac Sci, Inst Biol Sci, Kuala Lumpur 50603, Malaysia; [Wong, Hao Jie] Univ Malaya, Inst Grad Studies, Kuala Lumpur 50603, Malaysia; [Convey, Peter] British Antarctic Survey, NERC, Madingley Rd, Cambridge CB3 OET, England; [Mohamad-Fauzi, Nuradilla; Convey, Peter; Alias, Siti Aisyah] Univ Malaya, Inst Grad Studies, Natl Antarctic Res Ctr, Kuala Lumpur 50603, Malaysia</t>
  </si>
  <si>
    <t>Universiti Malaya; Universiti Malaya; Universiti Malaya; UK Research &amp; Innovation (UKRI); Natural Environment Research Council (NERC); NERC British Antarctic Survey; Universiti Malaya</t>
  </si>
  <si>
    <t>Alias, SA (corresponding author), Univ Malaya, Inst Grad Studies, Inst Ocean &amp; Earth Sci, Kuala Lumpur 50603, Malaysia.</t>
  </si>
  <si>
    <t>saa@um.edu.my</t>
  </si>
  <si>
    <t>Mohamad-Fauzi, Nuradilla/W-4003-2017; FASc, SITI AISYAH A. HJ ALIAS/B-9785-2010; Convey, Peter/AAV-5728-2020; IDID, MOHAMMED RIZMAN/B-9058-2010</t>
  </si>
  <si>
    <t>FASc, SITI AISYAH A. HJ ALIAS/0000-0002-6759-5745; Convey, Peter/0000-0001-8497-9903; IDID, MOHAMMED RIZMAN/0000-0002-2231-2502; Wong, Hao Jie/0000-0001-5035-6636</t>
  </si>
  <si>
    <t>Malaysian Ministry of Higher Education [IOES-2014G]; Ministry of Science and Technology Flagship grant [GA006-2014FL]; Ministry of Higher Education (MyMaster Scholarship Programme); Natural Environment Research Council; University of Malaya; Institute of Ocean &amp; Earth Sciences (IOES); National Antarctic Research Centre (NARC); British Antarctic Survey; NERC [bas0100036] Funding Source: UKRI</t>
  </si>
  <si>
    <t>Malaysian Ministry of Higher Education; Ministry of Science and Technology Flagship grant; Ministry of Higher Education (MyMaster Scholarship Programme); Natural Environment Research Council(UK Research &amp; Innovation (UKRI)Natural Environment Research Council (NERC)); University of Malaya(Universiti Malaya); Institute of Ocean &amp; Earth Sciences (IOES); National Antarctic Research Centre (NARC); British Antarctic Survey; NERC(UK Research &amp; Innovation (UKRI)Natural Environment Research Council (NERC))</t>
  </si>
  <si>
    <t>This work was funded by the Malaysian Ministry of Higher Education through the Higher Centre of Excellence (HiCoE) and research grant [IOES-2014G, the Ministry of Science and Technology Flagship grant GA006-2014FL, postgraduate sponsorship from the Ministry of Higher Education (MyMaster Scholarship Programme), and is an output of continued collaboration between the Institute of Ocean &amp; Earth Sciences (IOES), the National Antarctic Research Centre (NARC), and British Antarctic Survey. P. Convey is supported by core funding from the Natural Environment Research Council to the British Antarctic Survey 'Biodiversity, Evolution and Adaptation' Team, and by a Visiting Icon Professorship from the University of Malaya. This paper contributes to the Scientific Committee on Antarctic Research research programme AnT-ERA (Antarctic Thresholds - Ecosystem Resilience and Adaptation).</t>
  </si>
  <si>
    <t>10.1016/j.polar.2018.10.001</t>
  </si>
  <si>
    <t>WOS:000483368600004</t>
  </si>
  <si>
    <t>Lai, JWS; Lim, PE; Wong, CY; Phang, SM; Beardall, J</t>
  </si>
  <si>
    <t>Lai, J. W. S.; Lim, P. E.; Wong, C. Y.; Phang, S. M.; Beardall, J.</t>
  </si>
  <si>
    <t>Photosynthetic response and DNA mutation of tropical, temperate and polar Chlorella under short-term UVR stress</t>
  </si>
  <si>
    <t>Chlorella; Photosynthesis; PAM fluorometry; Random amplified polymorphic DNA (RAPD); Ultraviolet radiation (UVR)</t>
  </si>
  <si>
    <t>AMPLIFIED POLYMORPHIC DNA; CHLOROPHYLL FLUORESCENCE; ULTRAVIOLET-RADIATION; MARINE MICROALGAE; XANTHOPHYLL CYCLE; LIGHT CURVES; B RADIATION; DAMAGE; PHYTOPLANKTON; ACCLIMATION</t>
  </si>
  <si>
    <t>Changes in photosynthetic efficiency of Photosystem II can be used as an early stress indicator in phototrophs. In this study, chlorophyll fluorescence, measured by a Pulse-Amplitude Modulated Fluorometer (PAM), was used to determine the photosynthetic performance of tropical, temperate, Antarctic and Arctic Chlorella in response to short-term acute ultraviolet radiation (UVR) stress, with measurements of maximum quantum yield (Fv/Fm), photosynthetic efficiency (alpha), maximum electron transport rate (rETRm) and photoadaptive index (E-k). Three light treatments were conducted over a continuous, five-hour duration: (i) control subjected only to photosynthetic active radiation (PAR), (ii) PAR + UVA (UVA) and (iii) PAR + UVA + UVB (UVR). Tropical Chlorella showed better adaptive ability to UVA stress compared to strains from temperate and polar regions. UVB stress caused significant photosynthetic dysfunction in all samples, with polar strains showing a lower inhibition (about 40%) compared to the tropical strain (about 98%). Photosynthetic responses in Chlorella towards UVR are possibly origin dependent. DNA mutation induced by both UVA and UVR treatments was revealed by Random Amplified Polymorphic DNA (RAPD) analysis. Out of sixty RAPD primers tested, two primers: S33 (polymorphism degree 44.83%) and S90 (polymorphism degree 38.71%) were chosen as potential primers to conduct genomic study of UV stress in microalgae.</t>
  </si>
  <si>
    <t>[Lai, J. W. S.; Phang, S. M.] Univ Malaya, Fac Sci, Inst Biol Sci, Kuala Lumpur, Malaysia; [Lai, J. W. S.; Lim, P. E.; Phang, S. M.] Univ Malaya, Inst Ocean &amp; Earth Sci, Kuala Lumpur, Malaysia; [Lim, P. E.; Wong, C. Y.; Phang, S. M.] Univ Malaya, Natl Antarctic Res Ctr, Kuala Lumpur, Malaysia; [Wong, C. Y.] Int Med Univ, Kuala Lumpur, Malaysia; [Beardall, J.] Monash Univ, Sch Biol Sci, Clayton, Vic, Australia</t>
  </si>
  <si>
    <t>Universiti Malaya; Universiti Malaya; Universiti Malaya; International Medical University Malaysia; Monash University</t>
  </si>
  <si>
    <t>Lim, PE (corresponding author), Univ Malaya, Inst Ocean &amp; Earth Sci, C308 Inst Grad Studies, Kuala Lumpur 50603, Malaysia.</t>
  </si>
  <si>
    <t>phaikeem@um.edu.my</t>
  </si>
  <si>
    <t>Yen, Wong Chiew/AFY-1719-2022; Phang, Siew Moi/A-7653-2008; LIM, Phaik Eem/B-5331-2010; Beardall, John/L-5262-2019</t>
  </si>
  <si>
    <t>LIM, Phaik Eem/0000-0001-9186-1487; Beardall, John/0000-0001-7684-446X; Wong, Chiew-Yen/0000-0003-0534-6206</t>
  </si>
  <si>
    <t>University of Malaya Research Grant [RP002C-13SUS]; Higher Institution Centre of Excellence (HICoE) grant from the Ministry of Higher Education, Malaysia [IOES-2014H]; Antarctic Flagship Project by the Ministry of Science, Technology and Innovation [FP0712E012, PV002-2015]; [PG101-2014A]</t>
  </si>
  <si>
    <t>University of Malaya Research Grant; Higher Institution Centre of Excellence (HICoE) grant from the Ministry of Higher Education, Malaysia; Antarctic Flagship Project by the Ministry of Science, Technology and Innovation;</t>
  </si>
  <si>
    <t>This work was supported by The University of Malaya Research Grant (RP002C-13SUS); Higher Institution Centre of Excellence (HICoE) grant (IOES-2014H) from the Ministry of Higher Education, Malaysia; Postgraduate Research Grant (PG101-2014A); The Antarctic Flagship Project (FP0712E012, PV002-2015) by the Ministry of Science, Technology and Innovation.</t>
  </si>
  <si>
    <t>10.1016/j.polar.2018.12.004</t>
  </si>
  <si>
    <t>WOS:000483368600005</t>
  </si>
  <si>
    <t>Koh, JSP; Wong, CMVL; Najimudin, N; Mahadi, NM</t>
  </si>
  <si>
    <t>Koh, Joseph Soon Peng; Wong, Clemente Michael Vui Ling; Najimudin, Nazalan; Mahadi, Nor Muhammad</t>
  </si>
  <si>
    <t>Gene expression patterns of Glaciozyma antarctica PI12 in response to cold, and freeze stress</t>
  </si>
  <si>
    <t>Antarctic yeast; Cold-adaptation; RNA-seq; Transcription and sub-zero</t>
  </si>
  <si>
    <t>PROTEIN PHOSPHATASE 5; SQUALENE SYNTHASE; CLATHRIN; GROWTH; YEAST; ENDOCYTOSIS; BACTERIUM; MEMBRANE; RNA; KINASES</t>
  </si>
  <si>
    <t>Psychrophilic yeast, Glaciozyma antarctica PI12 was isolated from the sea ice in the Southern Ocean. Several recent studies have revealed some of the strategies employed by G. antarctica PI12 to grow and survive at low temperatures, but those information are still limited. Hence this project was carried out to sequence the whole transcriptome to generate additional information on the cold-adaptation strategies of G. antarctica PI12. The yeast grown optimally in Saccharomyces cerevisiae minimal medium at 12 degrees C was subsequently exposed to cold-shock at 0 degrees C and freeze-shock at -12 degrees C for 6 h and 24 h. RNA from those cells were extracted, sequenced, and analyzed. Interestingly, the results showed that G. antarctica PI12 remained metabolically active at -12 degrees C. Two hundred and five genes were differentially expressed in the cells. Among them, 107 genes were upregulated while 98 genes were downregulated. In the first 6 h after the cells were exposed to cold-and freeze-shocks, CCR4-NOT (carbon catabolite repressed 4 - negative on TATA-less) core subunit cdc36, DNA repair protein Rad8, Elongation factor 1-gamma, 26s proteosome subunit 45, and Homocitrate synthase genes were commonly up-regulated to perform several immediate and important tasks to ensure the cells survived. Apart from that, there were also genes upregulated and downregulated uniquely at 6 h and 24 h to facilitate the cells to adjust to the new temperatures. After overcoming the stress of the cold-and freeze-shocks for 24 h, the cells acclimatized to those temperatures and became metabolically active again, and the cell cycles related genes were up-regulated.</t>
  </si>
  <si>
    <t>[Koh, Joseph Soon Peng; Wong, Clemente Michael Vui Ling] Univ Malaysia Sabah, Biotechnol Res Inst, Jalan UMS, Sabah 88400, Kota Kinabalu, Malaysia; [Najimudin, Nazalan] Univ Sains Malaysia, Sch Biol Sci, George Town 11800, Malaysia; [Mahadi, Nor Muhammad] Univ Kebangsaan Malaysia, Fac Sci &amp; Technol, Sch Biosci &amp; Biotechnol, Bangi 43600, Selangor, Malaysia</t>
  </si>
  <si>
    <t>Universiti Malaysia Sabah; Universiti Sains Malaysia; Universiti Kebangsaan Malaysia</t>
  </si>
  <si>
    <t>Wong, CMVL (corresponding author), Univ Malaysia Sabah, Biotechnol Res Inst, Jalan UMS, Sabah 88400, Kota Kinabalu, Malaysia.</t>
  </si>
  <si>
    <t>michaelw@ums.edu.my</t>
  </si>
  <si>
    <t>Najimudin, Nazalan/B-2952-2011; Wong, Clemente Michael Vui Ling/M-8372-2013</t>
  </si>
  <si>
    <t>Wong, Clemente Michael Vui Ling/0000-0003-3431-8896</t>
  </si>
  <si>
    <t>Ministry of Science, Technology, and Innovation (MOSTI), Malaysia [FP1213E036, 08-05-MGI-GMB001]</t>
  </si>
  <si>
    <t>Ministry of Science, Technology, and Innovation (MOSTI), Malaysia(Ministry of Energy, Science, Technology, Environment and Climate Change (MESTECC), Malaysia)</t>
  </si>
  <si>
    <t>The funding supports from the Ministry of Science, Technology, and Innovation (MOSTI), Malaysia, under the Antarctica Flagship Programme (Sub-Project 1: FP1213E036) and Science Fund Project No: 08-05-MGI-GMB001 are gratefully acknowledged.</t>
  </si>
  <si>
    <t>10.1016/j.polar.2018.11.007</t>
  </si>
  <si>
    <t>WOS:000483368600006</t>
  </si>
  <si>
    <t>Tajuddin, N; Rizman-Idid, M; Convey, P; Alias, SA</t>
  </si>
  <si>
    <t>Tajuddin, Natasha; Rizman-Idid, Mohammed; Convey, Peter; Alias, Siti Aisyah</t>
  </si>
  <si>
    <t>Arrhenian growth thermodynamics in a marine-derived tropical Fusarium equiseti and polar Pseudogymnoascus spp. in a liquid culture system</t>
  </si>
  <si>
    <t>Polar fungi; Thermal adaptation; Growth rate; Seawater; Temperature</t>
  </si>
  <si>
    <t>MICROBIAL-GROWTH; FILAMENTOUS FUNGI; TEMPERATURE; PH; DIVERSITY</t>
  </si>
  <si>
    <t>We hypothesised that the activation energy (E-a) of growth in a marine-derived tropical strain of Fusarium equiseti and polar strains of Pseudogymnoascus spp. grown for 10 days in a liquid culture system comprised of seawater Mueller-Hinton Broth would differ across the same experimental culture temperature range. The specific growth rates (SGRs) obtained from these experiments were fitted into third-degree polynomial and Briere-2 temperature-dependent models to estimate optimum temperatures for growth (T-opt) and maximum SGR (SGR(max)) of the selected strains. Estimates of SGR values from the Briere-2 model were used to calculate the temperature coefficient (Q(10)) and E-a for growth in all three fungal strains across the experimental culture temperature range. Our findings indicated that F. equiseti is better adapted to utilising higher levels of thermal energy for growth than either Pseudogymnoascus strain, consistent with general definitions that classify the former as a mesophile and the latter as psychrophiles. A progressive increase in pH was recorded in the liquid culture system during the growth of F. equiseti and Pseudogymnoascus spp., suggesting that these strains could tolerate more alkaline conditions for growth until nutrient resources were exhausted, as has been noted in some other fungal studies.</t>
  </si>
  <si>
    <t>[Tajuddin, Natasha; Rizman-Idid, Mohammed; Alias, Siti Aisyah] Univ Malaya, Inst Ocean &amp; Earth Sci, Lembah Pantai, Federal Territo, Malaysia; [Tajuddin, Natasha] Univ Malaya, Inst Grad Studies, Lembah Pantai, Federal Territo, Malaysia; [Convey, Peter] British Antarctic Survey, Nat Environm Res Council, Madingley Rd, Cambridge CB3 0ET, England; [Convey, Peter; Alias, Siti Aisyah] Univ Malaya, Natl Antarctic Res Ctr, Lembah Pantai, Federal Territo, Malaysia</t>
  </si>
  <si>
    <t>Universiti Malaya; Universiti Malaya; UK Research &amp; Innovation (UKRI); Natural Environment Research Council (NERC); NERC British Antarctic Survey; Universiti Malaya</t>
  </si>
  <si>
    <t>Alias, SA (corresponding author), Univ Malaya, Inst Ocean &amp; Earth Sci, Lembah Pantai, Federal Territo, Malaysia.</t>
  </si>
  <si>
    <t>FASc, SITI AISYAH A. HJ ALIAS/B-9785-2010; Convey, Peter/AAV-5728-2020; IDID, MOHAMMED RIZMAN/B-9058-2010</t>
  </si>
  <si>
    <t>FASc, SITI AISYAH A. HJ ALIAS/0000-0002-6759-5745; Convey, Peter/0000-0001-8497-9903; IDID, MOHAMMED RIZMAN/0000-0002-2231-2502</t>
  </si>
  <si>
    <t>Ministry of Higher Education through their funding programme Higher Centre of Excellence (HiCoE) [IOES-2014G]; Ministry of Science, Technology and Innovation through the Flagship research grant [GA006-2014FL]; MyBrain scholarship - MOHE; Natural Environment Research Council; University of Malaya; NERC [bas0100036] Funding Source: UKRI</t>
  </si>
  <si>
    <t>Ministry of Higher Education through their funding programme Higher Centre of Excellence (HiCoE); Ministry of Science, Technology and Innovation through the Flagship research grant; MyBrain scholarship - MOHE; Natural Environment Research Council(UK Research &amp; Innovation (UKRI)Natural Environment Research Council (NERC)); University of Malaya(Universiti Malaya); NERC(UK Research &amp; Innovation (UKRI)Natural Environment Research Council (NERC))</t>
  </si>
  <si>
    <t>This work was supported by the Ministry of Higher Education through their funding programme Higher Centre of Excellence (HiCoE) (grant number IOES-2014G) and the Ministry of Science, Technology and Innovation through the Flagship research grant (grant number GA006-2014FL). NT is a recipient of a MyBrain scholarship also funded by the MOHE. PC is supported by core funding from the Natural Environment Research Council to the British Antarctic Survey 'Biodiversity, Evolution and Adaptation' Team, and by a Visiting Icon Professorship from the University of Malaya. This paper contributes to the Scientific Committee on Antarctic Research (SCAR) research programme AnT-ERA (Antarctic Thresholds - Ecosystem Resilience and Adaptation). We thank Wong Hao Jie (IOES, UM) for his technical assistance in microscopy.</t>
  </si>
  <si>
    <t>10.1016/j.polar.2018.10.005</t>
  </si>
  <si>
    <t>WOS:000483368600007</t>
  </si>
  <si>
    <t>Nadzir, MSM; Cain, M; Robinson, AD; Bolas, C; Harris, NRP; Parnikoza, I; Salimun, E; Mustafa, EM; Alhasa, KM; Zainuddin, MHM; Ghee, OC; Morris, K; Khan, MF; Latif, MT; Wallis, BM; Cheah, W; Zainudin, SK; Yusop, N; Ahmad, MR; Hussin, WMRW; Salleh, SM; Hamid, HHA; Lai, GT; Uning, R; Bakar, MAA; Ariff, NM; Tuah, Z; Wahab, MIA; Foong, SY; Samah, AA; Chenoli, SN; Johari, WLW; Zain, CRCM; Rahman, NA; Rosenstiel, TN; Yusoff, AH; Sabuti, AA; Alias, SA; Noor, AYM</t>
  </si>
  <si>
    <t>Nadzir, M. S. M.; Cain, M.; Robinson, A. D.; Bolas, C.; Harris, N. R. P.; Parnikoza, I.; Salimun, E.; Mustafa, E. M.; Alhasa, K. M.; Zainuddin, M. H. M.; Ghee, O. C.; Morris, K.; Khan, M. F.; Latif, M. T.; Wallis, B. M.; Cheah, W.; Zainudin, S. K.; Yusop, N.; Ahmad, M. R.; Hussin, W. M. R. W.; Salleh, S. M.; Hamid, H. H. A.; Lai, G. T.; Uning, R.; Bakar, M. A. A.; Ariff, N. M.; Tuah, Z.; Wahab, M. I. A.; Foong, S. Y.; Samah, A. A.; Chenoli, S. N.; Johari, W. L. Wan; Zain, C. R. C. M.; Rahman, N. A.; Rosenstiel, T. N.; Yusoff, A. H.; Sabuti, A. A.; Alias, S. A.; Noor, A. Y. M.</t>
  </si>
  <si>
    <t>Isoprene hotspots at the Western Coast of Antarctic Peninsula during MASEC′16</t>
  </si>
  <si>
    <t>Isoprene; Antarctic peninsula; Marine algae</t>
  </si>
  <si>
    <t>VOLATILE ORGANIC-COMPOUNDS; PHYTOPLANKTON; EMISSIONS; AEROSOLS; PHOTOOXIDATION; BROMOFORM; MODEL; OCEAN; EAST</t>
  </si>
  <si>
    <t>Isoprene (C5H8) plays an important role in the formation of surface ozone (O3) and the secondary organic aerosol (SOA) which contributed to the climate change. This study aims to determine hourly distribution of tropospheric isoprene over the Western Coast of Antarctic Peninsula (WCAP) during the Malaysian Antarctic Scientific Expedition Cruise 2016 (MASEC'16). In-situ measurements of isoprene were taken using a custom-built gas chromatography with photoionization detector, known as iDirac. Biological parameters such as chlorophyll a (chl-a) and particulate organic carbon (POC) were compared to the in-situ isoprene measurements. Significant positive correlation was observed between isoprene and POC concentrations (r2 = 0.67, p &lt; 0.001), but not between isoprene and chl-a. The hotspots of isoprene over maritime Antarctic were then were investigated using NAME dispersion model reanalysis. Measurements showed that isoprene mixing ratio were the highest over region of King George Island, Deception Island and Booth Island with values of similar to 5.0, similar to 0.9 and similar to 5.2 ppb, respectively. Backward trajectory analysis showed that air masses may have lifted the isoprene emitted by marine algae. We believe our findings provide valuable data set of isoprene estimation over the under sampled WCAP.</t>
  </si>
  <si>
    <t>[Nadzir, M. S. M.; Salimun, E.; Latif, M. T.; Hamid, H. H. A.; Lai, G. T.; Uning, R.] Univ Kebangsaan Malaysia, Fac Sci &amp; Technol, Sch Environm &amp; Nat Resource Sci, Bangi 43600, Selangor, Malaysia; [Nadzir, M. S. M.; Khan, M. F.] Univ Kebangsaan Malaysia, Inst Climate Change, Ctr Trop Climate Change Syst, Bangi 43600, Selangor, Malaysia; [Wahab, M. I. A.] Univ Kebangsaan Malaysia, Fac Hlth Sci, Sch Diagnost Sci &amp; Appl Hlth, Environm Hlth &amp; Ind Safety Program, Jalan Raja Muda Abdul Aziz, Kuala Lumpur 50300, Malaysia; [Robinson, A. D.; Bolas, C.] Univ Cambridge, Dept Chem, Ctr Atmospher Sci, Cambridge CB2 1EW, England; [Morris, K.] Univ Nottingham Malaysia Campus, Sch Biosci, Jalan Broga, Semenyih 43500, Selangor, Malaysia; [Wallis, B. M.; Ariff, N. M.] RV Australis, 6-6 Ormond St, Bondi Beach, NSW 2026, Australia; [Hamid, H. H. A.] Univ Kebangsaan Malaysia, Inst Environm &amp; Dev LESTARI, Bangi 43600, Selangor, Malaysia; [Samah, A. A.; Alias, S. A.] Univ Malaya, Natl Antarctic Res Ctr, IPS Bldg, Kuala Lumpur 50603, Malaysia; [Cain, M.; Harris, N. R. P.] Cranfield Univ, Ctr Environm &amp; Agr Informat, Cranfield MK43 0AL, Beds, England; [Rahman, N. A.] Sultan Mizan Antarctic Res Fdn, 902-4 Jalan Tun Ismail, Kuala Lumpur 50480, Malaysia; [Tuah, Z.] Enviro Exceltech Sdn Bhd, Lot 3271,Tingkat 1&amp;2, Seri Kembangan 43300, Selangor, Malaysia; [Zainuddin, M. H. M.; Salleh, S. M.; Foong, S. Y.] Univ Sains Malaysia, Ctr Marine &amp; Coastal Studies, Minden 11800, Penang, Malaysia; [Morris, K.] CESIRI, Port Harcourt, Rivers State, Nigeria; [Cheah, W.; Alias, S. A.] Univ Malaya, Inst Ocean &amp; Earth Sci, Kuala Lumpur 50603, Malaysia; [Mustafa, E. M.; Hussin, W. M. R. W.] Univ Malaysia Terengganu, Sch Fisheries &amp; Aquaculture Sci, Kuala Terengganu 21030, Terengganu, Malaysia; [Tuah, Z.; Johari, W. L. Wan] Univ Putra Malaysia, Fac Environm Studies, Serdang 43400, Malaysia; [Parnikoza, I.] Minist Educ &amp; Sci Ukraine, Natl Antarctic Sci Ctr, Taras Shevchenko Blvd 16, UA-01601 Kiev, Ukraine; [Parnikoza, I.] NAS Ukraine, Inst Mol Biol &amp; Genet, Zabolotnogo Str 150, UA-03680 Kiev, Ukraine; [Noor, A. Y. M.] Univ Kebangsaan Malaysia, Fac Islamic Studies, Dept Theol &amp; Philosophy, Bangi 43600, Selangor, Malaysia; [Zain, C. R. C. M.] Univ Kebangsaan Malaysia, Fac Sci &amp; Technol, Sch Biosci &amp; Biotechnol, Bangi 43600, Selangor, Malaysia; [Alhasa, K. M.; Zainudin, S. K.; Yusop, N.] Univ Kebangsaan Malaysia, Inst Climate Change, Space Sci Ctr ANGKASA, Level 5,Res Complex Bldg, Bangi 43600, Selangor, Malaysia; [Sabuti, A. A.] Int Islamic Univ Malaysia, Kulliyyah Sci, Dept Marine Sci, Jalan Sultan Ahmad Shah, Kuantan 25200, Pahang, Malaysia; [Chenoli, S. N.] Univ Malaya, Fac Arts &amp; Social Sci, Dept Geog, Kuala Lumpur 50603, Malaysia; [Ahmad, M. R.] Univ Tekn Malaysia Melaka UTeM, Fac Elect &amp; Comp Engn, Durian Tunggal 76100, Melaka, Malaysia; [Bakar, M. A. A.] Univ Kebangsaan Malaysia, Fac Sci &amp; Technol, Sch Math Sci, Bangi 43600, Selangor, Malaysia; [Cain, M.] Univ Oxford, Oxford Martin Sch, 34 Broad St, Oxford OX1 3BD, England; [Salimun, E.] Univ Kebangsaan Malaysia, Fac Sci &amp; Technol, Marine Ecosyst Res Ctr, Bangi 43600, Selangor, Malaysia; [Salleh, S. M.] Univ Sains Malaysia, Ctr Policy Res &amp; Int Studies, Minden 11800, Penang, Malaysia; [Ghee, O. C.] Natl Cent Univ, Dept Atmospher Sci, Cloud &amp; Aerosol Lab, Zhongli 32001, Taiwan; [Yusoff, A. H.] Univ Malaysia Kelantan, Fac Bioengn &amp; Technol, Jeli Campus,Locked Bag 100, Jeli 17600, Kelantan, Malaysia; [Rosenstiel, T. N.] Portland State Univ, Dept Biol, Ctr Life Extreme Environm, POB 751, Portland, OR 97207 USA; [Khan, M. F.] Univ Malaya, Dept Chem, Fac Sci, Kuala Lumpur 50603, Malaysia</t>
  </si>
  <si>
    <t>Universiti Kebangsaan Malaysia; Universiti Kebangsaan Malaysia; Universiti Kebangsaan Malaysia; University of Cambridge; Universiti Kebangsaan Malaysia; Universiti Malaya; Cranfield University; Universiti Sains Malaysia; Universiti Malaya; Universiti Malaysia Terengganu; Universiti Putra Malaysia; Ministry of Education &amp; Science of Ukraine; State Institution National Antarctic Scientific Center; National Academy of Sciences Ukraine; Institute of Molecular Biology &amp; Genetics of NASU; Universiti Kebangsaan Malaysia; Universiti Kebangsaan Malaysia; Universiti Kebangsaan Malaysia; International Islamic University Malaysia; Universiti Malaya; University Teknikal Malaysia Melaka; Universiti Kebangsaan Malaysia; University of Oxford; Universiti Kebangsaan Malaysia; Universiti Sains Malaysia; National Central University; Universiti Malaysia Kelantan; Portland State University; Universiti Malaya</t>
  </si>
  <si>
    <t>Nadzir, MSM (corresponding author), Univ Kebangsaan Malaysia, Fac Sci &amp; Technol, Sch Environm &amp; Nat Resource Sci, Bangi 43600, Selangor, Malaysia.</t>
  </si>
  <si>
    <t>shahrulnadzir@ukm.edu.my</t>
  </si>
  <si>
    <t>Salimun, Ester/ABF-4018-2020; Ivan, Parnikoza/O-2781-2019; Ariff, Noratiqah Mohd/HKE-9176-2023; Johari, Wan Lutfi Wan/AAL-4095-2020; Cain, Michelle/AAX-4672-2021; FOONG, Swee Yeok/AAX-2431-2020; Chenoli, Sheeba Nettukandy/G-6726-2012; Mustafa, Emienour Muzalina/F-7573-2016; NOOR, AHMAD YUNUS MOHD/AAH-6479-2020; Abu Bakar, Mohd Aftar/AAC-8226-2020; Parnikoza, Ivan/I-2398-2016; FASc, SITI AISYAH A. HJ ALIAS/B-9785-2010; Ahmad, Mohd Riduan/AAO-9370-2020; nadzir, mohd shahrul mohd/AAM-8428-2020; Latif, Mohd Talib/E-9560-2010; Hussin, Wan Mohd Rauhan Wan/F-9262-2016; Yusop, Norbayah/HDO-2248-2022; Khan, Md Firoz/I-6065-2013; Cheah, Wee/C-8282-2012; Alhasa, Kemal/AFI-7394-2022; Uning, Royston/O-7355-2019; Morris, Kenobi/F-1625-2015</t>
  </si>
  <si>
    <t>Ivan, Parnikoza/0000-0002-0490-8134; Johari, Wan Lutfi Wan/0000-0001-8607-7620; Cain, Michelle/0000-0003-2062-6556; FOONG, Swee Yeok/0000-0001-5099-227X; NOOR, AHMAD YUNUS MOHD/0000-0001-9100-0126; Abu Bakar, Mohd Aftar/0000-0002-3009-6168; FASc, SITI AISYAH A. HJ ALIAS/0000-0002-6759-5745; Ahmad, Mohd Riduan/0000-0001-9474-7153; nadzir, mohd shahrul mohd/0000-0003-0925-3998; Latif, Mohd Talib/0000-0003-2339-3321; Hussin, Wan Mohd Rauhan Wan/0000-0003-1544-0677; Khan, Md Firoz/0000-0003-3567-9634; Cheah, Wee/0000-0002-1824-0577; Uning, Royston/0000-0002-1958-0784; Morris, Kenobi/0000-0002-3330-054X; Salimun, Ester/0000-0003-1298-9496; Harris, Neil/0000-0003-1256-3006</t>
  </si>
  <si>
    <t>Sultan Mizan Antarctic Research Foundation (YPASM) as part of the Malaysian Antarctic Research Programme (MARP) [ZF-2015-001]; Sciencefund under Malaysian Ministry of Science, Technology and Innovation (MOSTI) [06-01-02-SF1274]; Universiti Kebangsaan Malaysia [GUP-2014-041]; National Science Foundation [PLR 1341742]; NERC [NE/K016253/1] Funding Source: UKRI</t>
  </si>
  <si>
    <t>Sultan Mizan Antarctic Research Foundation (YPASM) as part of the Malaysian Antarctic Research Programme (MARP); Sciencefund under Malaysian Ministry of Science, Technology and Innovation (MOSTI); Universiti Kebangsaan Malaysia; National Science Foundation(National Science Foundation (NSF)); NERC(UK Research &amp; Innovation (UKRI)Natural Environment Research Council (NERC))</t>
  </si>
  <si>
    <t>We would like to thank the Sultan Mizan Antarctic Research Foundation (YPASM) for the research grant registered as ZF-2015-001 as part of the Malaysian Antarctic Research Programme (MARP) and Sciencefund 06-01-02-SF1274 under Malaysian Ministry of Science, Technology and Innovation (MOSTI) and Universiti Kebangsaan Malaysia for the grant GUP-2014-041, for giving the opportunity and financial support to the Research Centre for Tropical Climate Change System (IKLIM, UKM) to participate in this scientific cruise. Secondly, we would like to thank MASEC' 16 scientists on board the RV Australis, the vessel crew and Envirotech Sdn. Bhd, who helped immensely with the expedition activities. We also like to thank Dr. Michelle Cain from Oxford Martin School University of Oxford and Cranfield University, United Kingdom for the analysis of NAME model and Dr Rose Norman from the United Kingdom for her assistance in proofreading this article. TN Rosenstiel would like to acknowledge support from the National Science Foundation (PLR 1341742). We also thank all scientists from the National Antarctic Scientific Centre of the Ministry of Education and Science of Ukraine, as well as the scientists in King Sejong Base, which operates under the Korea Polar Research Institute.</t>
  </si>
  <si>
    <t>10.1016/j.polar.2018.12.006</t>
  </si>
  <si>
    <t>Green Submitted, hybrid, Green Accepted</t>
  </si>
  <si>
    <t>WOS:000483368600008</t>
  </si>
  <si>
    <t>Chu, WL; Dang, NL; Kok, YY; Yap, KSI; Phang, SM; Convey, P</t>
  </si>
  <si>
    <t>Chu, Wan-Loy; Dang, Nguk-Ling; Kok, Yih-Yih; Yap, Kok-Seng Ivan; Phang, Siew-Moi; Convey, Peter</t>
  </si>
  <si>
    <t>Heavy metal pollution in Antarctica and its potential impacts on algae</t>
  </si>
  <si>
    <t>Antarctica; Heavy metals; Algae; Toxicity</t>
  </si>
  <si>
    <t>KING GEORGE ISLAND; TERRA-NOVA BAY; BENTHIC DIATOM COMMUNITIES; SOUTH SHETLAND ISLANDS; CASEY-STATION; ADMIRALTY BAY; CIERVA POINT; ROSS SEA; TRACE-ELEMENTS; MCMURDO SOUND</t>
  </si>
  <si>
    <t>Antarctica is not free from environmental pollutants although it is often perceived as the last pristine continent on Earth. Research stations represent one of the largest forms of anthropogenic activity and are the main source of locally derived contamination in Antarctica. Elevated levels of heavy metals such as copper (Cu), lead (Pb) and mercury (Hg) have been detected in Antarctica. Fuel combustion, accidental oil spills, waste incineration and sewage disposal are amongst the primary sources of heavy metal contaminants in Antarctica, besides natural sources such as animal excrements and volcanism. Studies on the impacts of heavy metals on biota in Antarctica have been focused mainly on invertebrates and cryptogams but not on algae. However, adverse impacts of heavy metals on sensitive algae may affect organisms at the higher trophic levels, and consequently disrupt Antarctic food chains. Heavy metals may be accumulated by algae and biomagnified through the food chain. The sensitivity and response of Antarctic algae to heavy metal toxicity have not been well studied. Robust toxicity protocols for the testing of the impacts of heavy metals on Antarctic algae need to be developed. This review aims to give an overview of the status of heavy metal pollution in Antarctica and its potential impacts on algae.</t>
  </si>
  <si>
    <t>[Chu, Wan-Loy; Dang, Nguk-Ling; Yap, Kok-Seng Ivan] Int Med Univ, Sch Postgrad Studies, 126 Jalan Jalil Perkasa 19, Kuala Lumpur 57000, Malaysia; [Chu, Wan-Loy] Univ Malaya, Natl Antarctic Res Ctr, Kuala Lumpur 50603, Malaysia; [Kok, Yih-Yih] Int Med Univ, Sch Hlth Sci, Div Appl Biomed Sci &amp; Biotechnol, 126 Jalan Jalil Perkasa 19, Kuala Lumpur 57000, Malaysia; [Yap, Kok-Seng Ivan] Sarawak Gen Hosp, Clin Res Ctr, Jalan Hosp, Kuching 93586, Sarawak, Malaysia; [Phang, Siew-Moi] Univ Malaya, Inst Biol Sci, Kuala Lumpur 50603, Malaysia; [Phang, Siew-Moi] Univ Malaya, Inst Ocean &amp; Earth Sci, Kuala Lumpur 50603, Malaysia; [Convey, Peter] British Antarctic Survey, NERC, Madingley Rd, Cambridge CB3 OET, England</t>
  </si>
  <si>
    <t>International Medical University Malaysia; Universiti Malaya; International Medical University Malaysia; Universiti Malaya; Universiti Malaya; UK Research &amp; Innovation (UKRI); Natural Environment Research Council (NERC); NERC British Antarctic Survey</t>
  </si>
  <si>
    <t>Chu, WL (corresponding author), Int Med Univ, Sch Postgrad Studies, 126 Jalan Jalil Perkasa 19, Kuala Lumpur 57000, Malaysia.</t>
  </si>
  <si>
    <t>wanloy_chu@imu.edu.my</t>
  </si>
  <si>
    <t>Phang, Siew Moi/A-7653-2008; Convey, Peter/AAV-5728-2020; kok, yih yih/D-7860-2016</t>
  </si>
  <si>
    <t>Convey, Peter/0000-0001-8497-9903; Kok, Yih Yih/0000-0002-4999-7126; Dang, Nguk-Ling/0000-0001-6687-0840; Yap, Ivan K. S./0000-0002-7523-5352</t>
  </si>
  <si>
    <t>Ministry of Science, Technology and Innovation (MOSTI), Malaysia, under the Antarctica Flagship Programme [FP1213E036]; NERC; NERC [bas0100036] Funding Source: UKRI</t>
  </si>
  <si>
    <t>Ministry of Science, Technology and Innovation (MOSTI), Malaysia, under the Antarctica Flagship Programme; NERC(UK Research &amp; Innovation (UKRI)Natural Environment Research Council (NERC)); NERC(UK Research &amp; Innovation (UKRI)Natural Environment Research Council (NERC))</t>
  </si>
  <si>
    <t>The funding support from the Ministry of Science, Technology and Innovation (MOSTI), Malaysia, under the Antarctica Flagship Programme (Sub-Project 4: FP1213E036) is gratefully acknowledged. PC is supported by NERC core funding to the BAS 'Biodiversity, Evolution and Adaptation' Team. This paper also contributes to the SCAR 'State of the Antarctic Ecosystem' international research programme.</t>
  </si>
  <si>
    <t>10.1016/j.polar.2018.10.004</t>
  </si>
  <si>
    <t>WOS:000483368600009</t>
  </si>
  <si>
    <t>Yusop, N; Ahmad, MR; Abdullah, M; Zainudin, SK; Nor, WNAWM; Alhasa, KM; Esa, MRM; Sabri, MHM; Suparta, W; Gulisano, AM; Cooray, V</t>
  </si>
  <si>
    <t>Yusop, Norbayah; Ahmad, Mohd Riduan; Abdullah, Mardina; Zainudin, Siti Khalijah; Nor, Wan Nur Arina Wan Mohd; Alhasa, Kemal Maulana; Esa, Mona Riza Mohd; Sabri, Muhammad Haziq Mohamad; Suparta, Wayan; Maria Gulisano, Adriana; Cooray, Vernon</t>
  </si>
  <si>
    <t>Cloud-to-Ground lightning observations over the Western Antarctic region</t>
  </si>
  <si>
    <t>Antarctic; Cloud-to-ground flash; Flash rate; Stroke multiplicity</t>
  </si>
  <si>
    <t>FLASHES; PULSE; 1ST</t>
  </si>
  <si>
    <t>This paper presents the observations and characterization of Cloud-to-Ground (CG) lightning activity in Western Antarctica in a region that covers the Amundsen/Bellingshausen Sea (ABS), the Antarctic Peninsula (AP) and the Weddell Sea (WS). Lightning data have been collected by a lightning detector (Boltek LD-350) and an atmospheric electric field mill (EFM-100) sensors deployed at the Carlini Base on the Antarctic Peninsula (CARL: 62.23 degrees S, 58.63 degrees W). The flash rate and flash multiplicity were analysed for three different seasons within a 1,000 km range, starting at the end of summer (February 2017) and ending in winter (July 2017). Three storm days for each month (within the 1,000 km radius from the LD sensor) with three composite active thunderstorms (labelled as Storm region A, B, and C) for each day have been selected from a collection of storm days between February and July 2017. A total of 355,899 flashes have been recorded with 156,190 Positive CG and 199,709 Negative CG flashes from these 54 thunderstorms. In total, Positive CG flash counts made up around 43.9% of the total detected CG flashes. Most of the Positive CG flashes (&gt; 80%) had only 1 or 2 strokes with a maximum number of 5. For Negative CG flashes, the average multiplicity and the maximum multiple stroke were 1.2 and 16 respectively. Most CG flashes were detected during the summer and fall months. Positive CG flashes were prevalent in Western Antarctic storms even during the winter. The mean, median and range of the ratio of Positive CG to Negative CG flashes were 0.7, 0.718 and 0.217-1.279, respectively.</t>
  </si>
  <si>
    <t>[Yusop, Norbayah; Zainudin, Siti Khalijah; Nor, Wan Nur Arina Wan Mohd; Alhasa, Kemal Maulana] Univ Kebangsaan Malaysia, Inst Climate Change, Space Sci Ctr ANGKASA, Bangi 43600, Selangor Darul, Malaysia; [Yusop, Norbayah; Ahmad, Mohd Riduan; Sabri, Muhammad Haziq Mohamad] Univ Tekn Malaysia Melaka, Fak Kejuruteraan Elekt &amp; Kejuruteraan Komputer, Atmospher &amp; Lightning Res Lab, Ctr Telecommun Res &amp; Innovat CeTRI, Durian Tunggal 76100, Melaka, Malaysia; [Abdullah, Mardina] Univ Kebangsaan Malaysia, Inst Climate Change, Bangi 43600, Selangor Darul, Malaysia; [Abdullah, Mardina] Univ Kebangsaan, Fac Engn &amp; Built Environm, Ctr Adv Elect &amp; Commun Engn, Bangi, Malaysia; [Esa, Mona Riza Mohd] Univ Teknol Malaysia, Inst High Voltage &amp; High Current IVAT, Skudai 81310, Johor Bharu, Malaysia; [Suparta, Wayan] Pembangunan Jaya Univ, Dept Informat, South Tangerang 15413, Banten, Indonesia; [Maria Gulisano, Adriana] Inst Antartico Argentino DNA, RA-1248 Buenos Aires, DF, Argentina; [Maria Gulisano, Adriana] UBA, CONICET, Inst Astron &amp; Fis Espacio, Buenos Aires, DF, Argentina; [Maria Gulisano, Adriana] Univ Buenos Aires, FCEyN, Dept Fis, Buenos Aires, DF, Argentina; [Cooray, Vernon] Uppsala Univ, Dept Engn Sci, Div Elect, Angstrom Lab, Box 534, S-75121 Uppsala, Sweden</t>
  </si>
  <si>
    <t>Universiti Kebangsaan Malaysia; University Teknikal Malaysia Melaka; Universiti Kebangsaan Malaysia; Universiti Kebangsaan Malaysia; Universiti Teknologi Malaysia; Instituto Antartico Argentino; University of Buenos Aires; Consejo Nacional de Investigaciones Cientificas y Tecnicas (CONICET); Instituto de Astronomia y Fisica del Espacio (IAFE); University of Buenos Aires; Uppsala University</t>
  </si>
  <si>
    <t>Yusop, N (corresponding author), Univ Kebangsaan Malaysia, Inst Climate Change, Space Sci Ctr ANGKASA, Bangi 43600, Selangor Darul, Malaysia.</t>
  </si>
  <si>
    <t>norbayah@utem.edu.my</t>
  </si>
  <si>
    <t>Abdullah, Mardina/J-9781-2016; Mohammad Sabri, Muhammad Haziq/AGW-4940-2022; Alhasa, Kemal/AFI-7394-2022; Ahmad, Mohd Riduan/AAO-9370-2020; Gulisano, AM/HTQ-2717-2023; Mohd Esa, Mona Riza/AGQ-0209-2022; Gulisano, Adriana M./AAD-9554-2021; Yusop, Norbayah/HDO-2248-2022; SUPARTA, WAYAN/K-3110-2013</t>
  </si>
  <si>
    <t>Mohammad Sabri, Muhammad Haziq/0000-0001-9622-3230; Ahmad, Mohd Riduan/0000-0001-9474-7153; Gulisano, Adriana M./0000-0002-2234-4432; SUPARTA, WAYAN/0000-0002-6193-1867; alhasa, kemal maulana/0000-0003-0833-6986</t>
  </si>
  <si>
    <t>Ministry of Science, Technology and Innovation Malaysia (MOSTI) through the Flagship Program [ZF-2014-016]; Universiti Teknikal Malaysia Melaka; Ministry of Higher Education; UTM GUP Grants [04G19, 14J64]; UTeM Short Term Grant [PJP/2018/FKEKK/(3B)/S01615]</t>
  </si>
  <si>
    <t>Ministry of Science, Technology and Innovation Malaysia (MOSTI) through the Flagship Program; Universiti Teknikal Malaysia Melaka; Ministry of Higher Education(Science and Technology Development Fund (STDF)Ministry of Higher Education &amp; Scientific Research (MHESR)); UTM GUP Grants; UTeM Short Term Grant</t>
  </si>
  <si>
    <t>This research was funded by the Ministry of Science, Technology and Innovation Malaysia (MOSTI) through the Flagship Program under ZF-2014-016 grant. The authors would like to thank to Dr. Wayan Suparta and the Instituto Antartico Argentino (IAA) for the expedition to Antarctica at Carlini Base during the summer campaign 2016/2017, Universiti Teknikal Malaysia Melaka and the Ministry of Higher Education for their moral, operational and financial support throughout this PhD study. The authors wish to thank the World Wide Lightning Location Network (WWLLN) (http://wwlln.net), a collaboration among over 50 universities and institutions, for providing the lightning location data used in this paper. Participation of M. R. M. Esa is funded by UTM GUP Grants: 04G19 and 14J64. Participation of MR Ahmad is funded by UTeM Short Term Grant (PJP/2018/FKEKK/(3B)/S01615).</t>
  </si>
  <si>
    <t>10.1016/j.polar.2019.05.002</t>
  </si>
  <si>
    <t>WOS:000483368600010</t>
  </si>
  <si>
    <t>Goh, HC; Wahab, NFA; Alias, SA; Yusof, K; Komaruddin, ATM</t>
  </si>
  <si>
    <t>Goh, Hong Ching; Wahab, Nur Fathin Amira; Alias, Siti Aisyah; Yusof, Kamila; Komaruddin, Anna Tutsilawati Md</t>
  </si>
  <si>
    <t>The influence of Malaysia's involvement in Antarctica on the awareness of Antarctica and its values amongst Malaysian citizens in state capital cities</t>
  </si>
  <si>
    <t>Scientific involvement; Antarctic values; Malaysian working adults; Urban citizens; Antarctic awareness</t>
  </si>
  <si>
    <t>PERCEPTIONS; STRATEGIES; MANAGEMENT</t>
  </si>
  <si>
    <t>Values are the core of human when it comes to decision making. In the context of Antarctica, the study of Antarctic values helps to direct the future development in policy formulation related to the continent. The research on value perception in Malaysia has been quite recent and is focusing on young citizens in secondary schools and within the university campus. This paper aims to share the results of research conducted nationwide among the working adults in the state capital cities. Specifically, it aims to identify the influence of Malaysia's scientific involvement on the awareness and values perceived by the urban citizens in Malaysia. Data was collected using a questionnaire survey in all the state capital cities. The analysis results reveal that, the scientific research and publicity of these scientific activities in Antarctica in local media has a significant influence on the awareness and values perceived among the respondents. These include scientific and environmental values. The authors conclude that the recommendations to strengthen the existing awareness programs by focusing on the target audience and to setup media and information centre and coordinating body must be backed by enhancing the existing science communication quality and incorporating the element at all programs.</t>
  </si>
  <si>
    <t>[Goh, Hong Ching] Univ Malaya, Fac Built Environm, Ctr Sustainable Urban Planning &amp; Real Estate SUPR, Kuala Lumpur 50603, Malaysia; [Goh, Hong Ching] Univ Malaya, Water Engn &amp; Spatial Environm Governance UM WESER, Kuala Lumpur 50603, Malaysia; [Wahab, Nur Fathin Amira; Alias, Siti Aisyah; Yusof, Kamila; Komaruddin, Anna Tutsilawati Md] Univ Malaya, NARC, Kuala Lumpur 50603, Malaysia; [Alias, Siti Aisyah] Univ Malaya, IOES, Kuala Lumpur 50603, Malaysia</t>
  </si>
  <si>
    <t>Universiti Malaya; Universiti Malaya; Universiti Malaya; Universiti Malaya</t>
  </si>
  <si>
    <t>Goh, HC (corresponding author), Univ Malaya, Fac Built Environm, Ctr Sustainable Urban Planning &amp; Real Estate SUPR, Kuala Lumpur 50603, Malaysia.</t>
  </si>
  <si>
    <t>gohhc@um.edu.my</t>
  </si>
  <si>
    <t>GOH, HONG CHING/B-8546-2010; FASc, SITI AISYAH A. HJ ALIAS/B-9785-2010; Komar, Anna/HMU-9124-2023</t>
  </si>
  <si>
    <t>GOH, HONG CHING/0000-0002-9250-2205; FASc, SITI AISYAH A. HJ ALIAS/0000-0002-6759-5745;</t>
  </si>
  <si>
    <t>Ministry of Science, Technology and Innovations (MOSTI) Malaysia under the flagship program [FP1213E037]</t>
  </si>
  <si>
    <t>Ministry of Science, Technology and Innovations (MOSTI) Malaysia under the flagship program</t>
  </si>
  <si>
    <t>This research is financially supported by the Ministry of Science, Technology and Innovations (MOSTI) Malaysia under the flagship program FP1213E037 titled 'Connectivity between Equatorial and polar regions: From Global Warming to Environmental and Microbial Community Changes' under the leadership of Azizan Abu Samah, the director of Malaysia National Antarctic Research Centre. The authors also would like to acknowledge Hamzah Ahmad, Peter Convey, Elizabeth Leane, Daniela Liggett, Zeeda Fatimah Mohamad and Sharina Abdul Halim for the validation of questionnaire, enumerators for performing the on-site questionnaire survey in each state and federal territories and Ahmad Firdaus who assisted in listing the outreach activities conducted by Universiti Sains Malaysia in the northern region.</t>
  </si>
  <si>
    <t>10.1016/j.polar.2019.04.004</t>
  </si>
  <si>
    <t>Science Citation Index Expanded (SCI-EXPANDED); Social Science Citation Index (SSCI); Conference Proceedings Citation Index - Science (CPCI-S)</t>
  </si>
  <si>
    <t>WOS:000483368600011</t>
  </si>
  <si>
    <t>Hussin, WMRW; Husin, A; Mahdzar, SFS; Nadzir, MSM</t>
  </si>
  <si>
    <t>Hussin, Wan Mohd Rauhan Wan; Husin, Afifah; Mahdzar, Syarifah Fatimah Syed; Nadzir, Mohd Shahrul Mohd</t>
  </si>
  <si>
    <t>Preliminary investigation on the structural, taxonomic and functional diversities of benthic communities at different areas in the West Antarctic Peninsula</t>
  </si>
  <si>
    <t>Benthos; Community structure; Functional diversity</t>
  </si>
  <si>
    <t>KING GEORGE ISLAND; SPECIES RICHNESS; SOUTHERN-OCEAN; BODY-SIZE; PATTERNS; INDEX; ESTUARINE; BIODIVERSITY; ASSEMBLAGES; INTEGRITY</t>
  </si>
  <si>
    <t>A study was carried out to determine the influence of latitudes on benthic community assemblages at different stations in the West Antarctic Peninsula in January 2016. Three replicate sediment samples were collected using a hand-made dredge from 3 stations with different latitudes. Benthic communities were compared in terms of their structure, taxonomy (i.e. Taxonomic Distinctness index, TD) and function (i.e. Functional Diversity index, FD). Results showed that in terms of abundance, Trinity Island (the lowest latitude station) recorded the highest number of individuals while the lowest abundance was recorded at higher latitude station, Paradise Bay. However, from a general observation, the benthic organisms in Paradise Bay were relatively larger than in the other two stations. The functional aspects of the communities were also different where the higher latitude station encompassed a less functionally diverse benthic community compared to the other two stations. This finding showed that the different latitudes not only affected the community structure, but such effect was also evident for the functional aspect of the Antarctic benthic communities.</t>
  </si>
  <si>
    <t>[Hussin, Wan Mohd Rauhan Wan; Husin, Afifah; Mahdzar, Syarifah Fatimah Syed] Univ Malaysia Terengganu, Sch Fisheries &amp; Aquaculture Sci, Kuala Terengganu, Malaysia; [Nadzir, Mohd Shahrul Mohd] Univ Kebangsaan Malaysia, Fac Sci &amp; Technol, Sch Environm Sci &amp; Nat Resources, Bangi, Malaysia</t>
  </si>
  <si>
    <t>Universiti Malaysia Terengganu; Universiti Kebangsaan Malaysia</t>
  </si>
  <si>
    <t>Hussin, WMRW (corresponding author), Univ Malaysia Terengganu, Sch Fisheries &amp; Aquaculture Sci, Kuala Terengganu, Malaysia.</t>
  </si>
  <si>
    <t>rauhan@umt.edu.my</t>
  </si>
  <si>
    <t>nadzir, mohd shahrul mohd/AAM-8428-2020; Hussin, Wan Mohd Rauhan Wan/F-9262-2016</t>
  </si>
  <si>
    <t>nadzir, mohd shahrul mohd/0000-0003-0925-3998; Hussin, Wan Mohd Rauhan Wan/0000-0003-1544-0677</t>
  </si>
  <si>
    <t>Sultan Mizan Antarctic Research Foundation (YPASM); MOSTI [53164]</t>
  </si>
  <si>
    <t>Sultan Mizan Antarctic Research Foundation (YPASM); MOSTI(Ministry of Energy, Science, Technology, Environment and Climate Change (MESTECC), Malaysia)</t>
  </si>
  <si>
    <t>The authors are highly thankful to Universiti Malaysia Terengganu, where all laboratorial works and analyses were carried out. This study was supported by the Sultan Mizan Antarctic Research Foundation (YPASM) [YPASM Research Fellowship Award, 2012). This study was part of works carried out during Malaysian Antarctic Scientific Expedition 2016, organised by the YPASM. This study was also partly funded by the MOSTI (former name for MESTECC) flagship grant (UMT's vot: 53164). A special gratitude also goes to the Korean's King Sejong Station for the facilities provided during the expedition. The authors also thank two anonymous reviewers for comments and suggestions that helped to improve this manuscript.</t>
  </si>
  <si>
    <t>10.1016/j.polar.2019.01.002</t>
  </si>
  <si>
    <t>WOS:000483368600012</t>
  </si>
  <si>
    <t>Surface radiation balance and weather conditions on a non-glaciated coastal area in the Antarctic region</t>
  </si>
  <si>
    <t>Surface radiation balance; Surface wind and temperature; Antarctic peninsula; King george island; Antarctica</t>
  </si>
  <si>
    <t>KING-GEORGE-ISLAND; NCEP-NCAR REANALYSIS; ENERGY-BALANCE; SOUTHERN-OCEAN; CLIMATE-CHANGE; SEA-ICE; SEMIANNUAL OSCILLATION; PENINSULA; SUMMER; BUDGET</t>
  </si>
  <si>
    <t>Meteorological measurements were performed on the non-glaciated coastal area of the Ferraz Station, the Brazilian Antarctic Station, at King George Island. Near the Station there are different topographic attributes, such as sea, glacier and hill, in addition to the intermittent presence of snow. The local atmospheric characteristics depend on wind direction, which is related in small scale to the local features and in large scale to the synoptic systems acting over the region. Westerly winds were the most frequent, with relatively lower speed and higher temperature and humidity values compared to the also frequent easterly winds, related to the coolest and driest winds. The average monthly barometric pressure and wind speed were higher during winter, associated with the presence of high-pressure systems. The radiation balance, measured for the first time in Ferraz Station, evidenced the presence of clouds throughout the year, especially during summer months, associated with the frequent synoptic systems of the region. During nighttimes (daytimes) and in winter (summer) months, the surface lost (gained) energy mainly by net longwave (shortwave) radiation. Reflected shortwave radiation was higher during spring months because of the its relatively higher albedo values combined with the already increased magnitude of the incident shortwave radiation.</t>
  </si>
  <si>
    <t>[Soares, Jacyra; Alves, Marco; Codato, Georgia] Univ Sao Paulo, Dept Atmospher Sci, IAG, Sao Paulo, Brazil; [Dutra Ribeiro, Flavia Noronha] Univ Sao Paulo, Sch Arts Sci &amp; Humanities, Sao Paulo, Brazil</t>
  </si>
  <si>
    <t>Universidade de Sao Paulo; Universidade de Sao Paulo</t>
  </si>
  <si>
    <t>Soares, J (corresponding author), Univ Sao Paulo, Dept Atmospher Sci, IAG, Sao Paulo, Brazil.</t>
  </si>
  <si>
    <t>jacyra@usp.br</t>
  </si>
  <si>
    <t>Soares, Jacyra/B-1501-2012; Ribeiro, Flavia N D/E-9828-2012; Ribeiro, Flavia N. D./P-3808-2019; Alves, Marco/AAL-6153-2021</t>
  </si>
  <si>
    <t>Soares, Jacyra/0000-0003-0242-5603; Ribeiro, Flavia N D/0000-0001-9589-7911; Ribeiro, Flavia N. D./0000-0001-9589-7911; Alves, Marco/0000-0002-1567-9058</t>
  </si>
  <si>
    <t>CNPq [305357/2012-3, 407137/2013-0]; INCT-APA [574018/2008-5, 16/170.023/2008]; Brazilian Navy; Coordenacao de Aperfeicoamento de Pessoal de Nivel Superior -Brasil (CAPES) [001]</t>
  </si>
  <si>
    <t>CNPq(Conselho Nacional de Desenvolvimento Cientifico e Tecnologico (CNPQ)); INCT-APA; Brazilian Navy; Coordenacao de Aperfeicoamento de Pessoal de Nivel Superior -Brasil (CAPES)(Coordenacao de Aperfeicoamento de Pessoal de Nivel Superior (CAPES))</t>
  </si>
  <si>
    <t>This work was supported by CNPq [grant numbers 305357/2012-3 and 407137/2013-0]; the INCT-APA [grant CNPq number 574018/2008-5 and FAPERJ E number 16/170.023/2008] and the Brazilian Navy. The second author acknowledges a scholarship from Coordenacao de Aperfeicoamento de Pessoal de Nivel Superior -Brasil (CAPES) -Finance Code 001. This work used a dataset from READER Project -British Antarctic Survey (https://doi.org/10.5285/569d53fb-9b90-47a6-b3ca-26306e696706).</t>
  </si>
  <si>
    <t>10.1016/j.polar.2019.04.001</t>
  </si>
  <si>
    <t>IU1XF</t>
  </si>
  <si>
    <t>WOS:000483369900002</t>
  </si>
  <si>
    <t>Bottiglieri, N</t>
  </si>
  <si>
    <t>Bottiglieri, Nicola</t>
  </si>
  <si>
    <t>THE LANGUAGE FROM A REMOTE PLACE IN THE WORK OF FATHER ALBERTO MARIA DE AGOSTINI (1883-1960)</t>
  </si>
  <si>
    <t>ANALES DE LITERATURA CHILENA</t>
  </si>
  <si>
    <t>De Agostini; Patagonia; Cape Horn; natural sublime; horrid nature; mountain photography</t>
  </si>
  <si>
    <t>While describing Southern Patagonia and Tierra del Fuego and taking photos of its landscapes, Alberto De Agostini enhances the category of the natural sublime dear to the European Romantic literature of the XIX century. The Antarctic nature is as fascinating as the world seen just after the Creation, still untrodden by human feet. Therefore, in the American natural sublime there is a primigenial and perturbing beauty still unknown in Europe. The essay analyzes the narrative modes used by the author in order to describe this peculiar nature.</t>
  </si>
  <si>
    <t>[Bottiglieri, Nicola] Univ Cassino &amp; Lazio Meridionale, Cassino, Italy</t>
  </si>
  <si>
    <t>University of Cassino</t>
  </si>
  <si>
    <t>Bottiglieri, N (corresponding author), Univ Cassino &amp; Lazio Meridionale, Cassino, Italy.</t>
  </si>
  <si>
    <t>n.bottiglieri@unicas.it</t>
  </si>
  <si>
    <t>PONTIFICIA UNIV CATOLICA CHILE, FAC LETRAS ,</t>
  </si>
  <si>
    <t>CENTRO ESTUDIOS LITERATURA CHILENA, AV VICUNA MACKENNA 4860, SANTIAGO, 00000, CHILE</t>
  </si>
  <si>
    <t>0717-6058</t>
  </si>
  <si>
    <t>AN LIT CHIL</t>
  </si>
  <si>
    <t>An. Lit. Chil.</t>
  </si>
  <si>
    <t>Literature, Romance</t>
  </si>
  <si>
    <t>Literature</t>
  </si>
  <si>
    <t>IR6SG</t>
  </si>
  <si>
    <t>WOS:000481568400005</t>
  </si>
  <si>
    <t>O'Leary, TJ; Gifford, RM; Double, RL; Reynolds, RM; Woods, DR; Wardle, SL; Greeves, JP</t>
  </si>
  <si>
    <t>O'Leary, Thomas J.; Gifford, Robert M.; Double, Rebecca L.; Reynolds, Rebecca M.; Woods, David R.; Wardle, Sophie L.; Greeves, Julie P.</t>
  </si>
  <si>
    <t>Skeletal Responses To An All-female Unsupported Antarctic Expedition</t>
  </si>
  <si>
    <t>MEDICINE AND SCIENCE IN SPORTS AND EXERCISE</t>
  </si>
  <si>
    <t>Annual Meeting of the American-College-of-Sports-Medicine (ACSM)</t>
  </si>
  <si>
    <t>MAY 28-JUN 01, 2019</t>
  </si>
  <si>
    <t>Orlando, FL</t>
  </si>
  <si>
    <t>[O'Leary, Thomas J.; Double, Rebecca L.; Wardle, Sophie L.; Greeves, Julie P.] Army Headquarters, Andover, England; [Gifford, Robert M.; Reynolds, Rebecca M.] Univ Edinburgh, Edinburgh, Midlothian, Scotland; [Woods, David R.] Def Med Serv, Lichfield, England</t>
  </si>
  <si>
    <t>University of Edinburgh</t>
  </si>
  <si>
    <t>thomas.oleary100@mod.gov.uk</t>
  </si>
  <si>
    <t>O'Leary, Thomas/AAS-6938-2021; Reynolds, Rebecca M/C-3044-2008</t>
  </si>
  <si>
    <t>UK Ministry of Defence (Army)</t>
  </si>
  <si>
    <t>Supported by UK Ministry of Defence (Army)</t>
  </si>
  <si>
    <t>LIPPINCOTT WILLIAMS &amp; WILKINS</t>
  </si>
  <si>
    <t>TWO COMMERCE SQ, 2001 MARKET ST, PHILADELPHIA, PA 19103 USA</t>
  </si>
  <si>
    <t>0195-9131</t>
  </si>
  <si>
    <t>1530-0315</t>
  </si>
  <si>
    <t>MED SCI SPORT EXER</t>
  </si>
  <si>
    <t>Med. Sci. Sports Exerc.</t>
  </si>
  <si>
    <t>10.1249/01.mss.0000561794.81449.a2</t>
  </si>
  <si>
    <t>IR8AG</t>
  </si>
  <si>
    <t>WOS:000481662801524</t>
  </si>
  <si>
    <t>Morozov, EG; Frey, DI; Neiman, VG; Makarenko, NI; Tarakanov, RY</t>
  </si>
  <si>
    <t>Morozov, E. G.; Frey, D. I.; Neiman, V. G.; Makarenko, N. I.; Tarakanov, R. Yu.</t>
  </si>
  <si>
    <t>Extreme Transport Velocities of Antarctic Bottom Water in the Deep-Water Vema Channel</t>
  </si>
  <si>
    <t>DOKLADY EARTH SCIENCES</t>
  </si>
  <si>
    <t>FLOW</t>
  </si>
  <si>
    <t>In April 2017 and October 2018, a Russian expedition on the R/V Akademik Sergei Vavilov in the Southwest Atlantic carried out measurements of the temperature, salinity, and velocity over a standard section across the deep Vema Channel at 31 degrees 12 ' S. Extremely high and extremely low velocities and transports of Antarctic Bottom Water for the entire history of our observations over this section were found. In 2017, the maximum speed over the section reached 55 cm/s, and in 2018, it did not exceed 30 cm/s. In 2018, no core of high velocities in the bottom layers of the channel characteristic of the Antarctic Bottom Water flow was found.</t>
  </si>
  <si>
    <t>[Morozov, E. G.; Frey, D. I.; Neiman, V. G.; Tarakanov, R. Yu.] Russian Acad Sci, Shirshov Inst Oceanol, Moscow 117218, Russia; [Makarenko, N. I.] Russian Acad Sci, Lavrentev Inst Hydrodynam, Siberian Branch, Novosibirsk 630090, Russia</t>
  </si>
  <si>
    <t>Russian Academy of Sciences; Shirshov Institute of Oceanology; Lavrentyev Institute of Hydrodynamics; Russian Academy of Sciences</t>
  </si>
  <si>
    <t>Morozov, EG; Neiman, VG (corresponding author), Russian Acad Sci, Shirshov Inst Oceanol, Moscow 117218, Russia.</t>
  </si>
  <si>
    <t>egmorozov@mail.ru; vneiman2007@yandex.ru</t>
  </si>
  <si>
    <t>Frey, Dmitry/X-9812-2018; Tarakanov, Roman/R-3325-2016; Morozov, Eugene G/L-3023-2018</t>
  </si>
  <si>
    <t>Tarakanov, Roman/0000-0002-8711-1859; Frey, Dmitry/0000-0001-8141-9513; Morozov, Eugene/0000-0002-0251-3454</t>
  </si>
  <si>
    <t>Russian Foundation for Basic Research [0149-2019-0004]; [17-08-00085]</t>
  </si>
  <si>
    <t>Russian Foundation for Basic Research(Russian Foundation for Basic Research (RFBR)Spanish Government);</t>
  </si>
  <si>
    <t>This work was performed within State Assignment no. 0149-2019-0004; the measurements in the ocean were supported by the Russian Foundation for Basic Research, project no. 17-08-00085.</t>
  </si>
  <si>
    <t>1028-334X</t>
  </si>
  <si>
    <t>1531-8354</t>
  </si>
  <si>
    <t>DOKL EARTH SCI</t>
  </si>
  <si>
    <t>Dokl. Earth Sci.</t>
  </si>
  <si>
    <t>10.1134/S1028334X19060060</t>
  </si>
  <si>
    <t>IO0SF</t>
  </si>
  <si>
    <t>WOS:000479089000017</t>
  </si>
  <si>
    <t>Ramesh, K; Yarra, T; Clark, MS; John, U; Melzner, F</t>
  </si>
  <si>
    <t>Ramesh, Kirti; Yarra, Tejaswi; Clark, Melody S.; John, Uwe; Melzner, Frank</t>
  </si>
  <si>
    <t>Expression of calcification-related ion transporters during blue mussel larval development</t>
  </si>
  <si>
    <t>biomineralization; bivalves; gene expression; larvae</t>
  </si>
  <si>
    <t>TRANSCRIPTION FACTOR-2 RUNX2; PEARL OYSTER; GENE-EXPRESSION; SEAWATER ACIDIFICATION; OCEAN ACIDIFICATION; PINCTADA-FUCATA; MYTILUS-EDULIS; PROTEIN; SHELL; GENOME</t>
  </si>
  <si>
    <t>The physiological processes driving the rapid rates of calcification in larval bivalves are poorly understood. Here, we use a calcification substrate-limited approach (low dissolved inorganic carbon, C-T) and mRNA sequencing to identify proteins involved in bicarbonate acquisition during shell formation. As a secondary approach, we examined expression of ion transport and shell matrix proteins (SMPs) over the course of larval development and shell formation. We reared four families of Mytilus edulis under ambient (ca. 1865 mu mol/kg) and low C-T (ca. 941 mu mol/kg) conditions and compared expression patterns at six developmental time points. Larvae reared under low C-T exhibited a developmental delay, and a small subset of contigs was differentially regulated between ambient and low C-T conditions. Of particular note was the identification of one contig encoding an anion transporter (SLC26) which was strongly upregulated (2.3-2.9 fold) under low C-T conditions. By analyzing gene expression profiles over the course of larval development, we are able to isolate sequences encoding ion transport and SMPs to enhance our understanding of cellular pathways underlying larval calcification processes. In particular, we observe the differential expression of contigs encoding SLC4 family members (sodium bicarbonate cotransporters, anion exchangers), calcium-transporting ATPases, sodium/calcium exchangers, and SMPs such as nacrein, tyrosinase, and transcripts related to chitin production. With a range of candidate genes, this work identifies ion transport pathways in bivalve larvae and by applying comparative genomics to investigate temporal expression patterns, provides a foundation for further studies to functionally characterize the proteins involved in larval calcification.</t>
  </si>
  <si>
    <t>[Ramesh, Kirti; Melzner, Frank] GEOMAR Helmholtz Ctr Ocean Res, D-24105 Kiel, Germany; [Ramesh, Kirti] Univ Gothenburg, Sven Loven Ctr Marine Infrastruct Kristineberg, Dept Biol &amp; Environm Sci, Fiskebackskil, Sweden; [Yarra, Tejaswi; Clark, Melody S.] NERC, British Antarctic Survey, Cambridge, England; [Yarra, Tejaswi] Univ Edinburgh, Ashworth Labs, Inst Evolutionary Biol, Edinburgh, Midlothian, Scotland; [John, Uwe] Alfred Wegener Inst Helmholtz Zentrum Polar &amp; Mee, Ecol Chem, Bremerhaven, Germany; [John, Uwe] Helmholtz Inst Funct Marine Biodivers, Oldenburg, Germany</t>
  </si>
  <si>
    <t>Helmholtz Association; GEOMAR Helmholtz Center for Ocean Research Kiel; University of Gothenburg; UK Research &amp; Innovation (UKRI); Natural Environment Research Council (NERC); NERC British Antarctic Survey; University of Edinburgh; Helmholtz Association; Alfred Wegener Institute, Helmholtz Centre for Polar &amp; Marine Research</t>
  </si>
  <si>
    <t>Ramesh, K (corresponding author), GEOMAR Helmholtz Ctr Ocean Res, D-24105 Kiel, Germany.</t>
  </si>
  <si>
    <t>kirti.ramesh@bioenv.gu.se</t>
  </si>
  <si>
    <t>john, uwe/S-3009-2016; Clark, Melody/D-7371-2014; Melzner, Frank/X-4339-2018</t>
  </si>
  <si>
    <t>Clark, Melody/0000-0002-3442-3824; Melzner, Frank/0000-0002-5884-1318; Ramesh, Kirti/0000-0001-7889-6722</t>
  </si>
  <si>
    <t>European Union's Seventh Framework Programme; NERC Core Funding; NERC [bas0100036] Funding Source: UKRI</t>
  </si>
  <si>
    <t>European Union's Seventh Framework Programme(European Union (EU)); NERC Core Funding; NERC(UK Research &amp; Innovation (UKRI)Natural Environment Research Council (NERC))</t>
  </si>
  <si>
    <t>European Union's Seventh Framework Programme; NERC Core Funding</t>
  </si>
  <si>
    <t>10.1002/ece3.5287</t>
  </si>
  <si>
    <t>IN4MD</t>
  </si>
  <si>
    <t>WOS:000478648300032</t>
  </si>
  <si>
    <t>Balakin, RA; Golayskii, VE</t>
  </si>
  <si>
    <t>Balakin, R. A.; Golayskii, V. E.</t>
  </si>
  <si>
    <t>Measurements of the Water Flow in Rivers with Ice Cover by the Method of Horizontal Hydroacoustic Sounding</t>
  </si>
  <si>
    <t>MEASUREMENT TECHNIQUES</t>
  </si>
  <si>
    <t>hydroacoustics; water flow in rivers; measurement errors; acoustic sounding; multipath effect; ice cover</t>
  </si>
  <si>
    <t>We perform experimental investigation of the method of horizontal hydroacoustic sounding intended for measuring the flow of water in rivers with ice cover. The serviceability of the method is confirmed. We study two versions of the method: impulsive sounding by broad-band signals with linear-frequency modulation and difference-phase sounding by narrow-band sinusoidal signals. The characteristics of sounding signals and the order of values of measurement errors are determined.</t>
  </si>
  <si>
    <t>[Balakin, R. A.; Golayskii, V. E.] Arctic &amp; Antarctic Res Inst, St Petersburg, Russia</t>
  </si>
  <si>
    <t>Arctic &amp; Antarctic Research Institute</t>
  </si>
  <si>
    <t>Balakin, RA (corresponding author), Arctic &amp; Antarctic Res Inst, St Petersburg, Russia.</t>
  </si>
  <si>
    <t>rigms@aari.ru</t>
  </si>
  <si>
    <t>Ministry of Education and Science of Russia [14.607.21.0009, RFMEFI60714X0009]</t>
  </si>
  <si>
    <t>Ministry of Education and Science of Russia(Ministry of Education and Science, Russian Federation)</t>
  </si>
  <si>
    <t>The present work was financially supported by the Ministry of Education and Science of Russia within the framework of applied scientific research according to the Federal Targeted Program Investigations in the Priority Directions of Development of the Scientific and Technological Complex of Russian Federation for 2014-2020; subsidy agreement No. 14.607.21.0009 of June 5, 2014 (unique project identifier RFMEFI60714X0009).</t>
  </si>
  <si>
    <t>0543-1972</t>
  </si>
  <si>
    <t>1573-8906</t>
  </si>
  <si>
    <t>MEAS TECH+</t>
  </si>
  <si>
    <t>Meas. Tech.</t>
  </si>
  <si>
    <t>10.1007/s11018-019-01616-y</t>
  </si>
  <si>
    <t>Engineering, Multidisciplinary; Instruments &amp; Instrumentation</t>
  </si>
  <si>
    <t>Engineering; Instruments &amp; Instrumentation</t>
  </si>
  <si>
    <t>IN6CK</t>
  </si>
  <si>
    <t>WOS:000478763700013</t>
  </si>
  <si>
    <t>Calado, GG; Valverde, MC; Baigorria, GA</t>
  </si>
  <si>
    <t>Calado, Gabrielle Gomes; Valverde, Maria Cleofe; Baigorria, Guillermo Antonio</t>
  </si>
  <si>
    <t>Use of Teleconnection Indices for Water Management in the Cantareira System-Sao Paulo - Brazil</t>
  </si>
  <si>
    <t>ENVIRONMENTAL PROCESSES-AN INTERNATIONAL JOURNAL</t>
  </si>
  <si>
    <t>Cantareira system; Teleconnection indices; Drought; Antarctic Oscillation; Water management</t>
  </si>
  <si>
    <t>RAINFALL ANOMALIES; AUSTRAL SUMMER; SOUTHEAST; PRECIPITATION</t>
  </si>
  <si>
    <t>The drought that occurred in 2014/2015 over the Metropolitan Region of Sao Paulo (MRSP) was considered one of the most intense in the region's history, causing a crisis in the state of Sao Paulo's public water-supply sector. The objectives of this study were: (1) to generate a hydroclimatological baseline for the Cantareira System region; (2) to evaluate the local potential relationship between teleconnections based on global climatic indices and rainfall/flow anomalies; and (3) to propose a tool to assist in the management of the MRSP's largest water-production system. Precipitation and natural-flow data in the Cantareira System for 1948-2015 were used in this study. The evaluated teleconnection indices included the Oceanic Nino Index (ONI), Antarctic Oscillation (AAO), Pacific Decadal Oscillation (PDO), Atlantic Multidecadal Oscillation (AMO) and North Atlantic Oscillation (NAO). We verified that these indices were more sensitive on a seasonal scale to the occurrence of excess rainfall and flow events than drought events. For the ONI and AAO positive phases, the Cantareira System's flow was above-average in summer and winter, which is associated with flood events. The AAO's negative phase was associated with deficit events in summer and winter, but not extreme deficit events. The PDO's positive phase was associated with flood events in winter and spring. The results from this study could be used as an additional climatic tool for managing the Cantareira System through the monitoring of average flows and seasonal indices.</t>
  </si>
  <si>
    <t>[Calado, Gabrielle Gomes; Valverde, Maria Cleofe] Univ Fed ABC UFABC, Ave Estados 5001, BR-09210580 Santo Andre, SP, Brazil; [Baigorria, Guillermo Antonio] Univ Nebraska, Lincoln, NE USA</t>
  </si>
  <si>
    <t>University of Nebraska System; University of Nebraska Lincoln</t>
  </si>
  <si>
    <t>Calado, GG (corresponding author), Univ Fed ABC UFABC, Ave Estados 5001, BR-09210580 Santo Andre, SP, Brazil.</t>
  </si>
  <si>
    <t>gabrielle_calado@hotmail.com; maria.brambila@ufabc.edu.br; gbindy6@gmail.com</t>
  </si>
  <si>
    <t>Baigorria, Guillermo/ISU-4394-2023; Valverde, Maria Cleofé/AAH-9943-2020</t>
  </si>
  <si>
    <t>Baigorria, Guillermo/0000-0001-7618-1125; Valverde, Maria Cleofé/0000-0003-1439-5325; Gomes Calado, Gabrielle/0000-0002-7619-7706</t>
  </si>
  <si>
    <t>SPRINGER INT PUBL AG</t>
  </si>
  <si>
    <t>CHAM</t>
  </si>
  <si>
    <t>GEWERBESTRASSE 11, CHAM, CH-6330, SWITZERLAND</t>
  </si>
  <si>
    <t>2198-7491</t>
  </si>
  <si>
    <t>2198-7505</t>
  </si>
  <si>
    <t>ENVIRON PROCESS</t>
  </si>
  <si>
    <t>Environ. Process.</t>
  </si>
  <si>
    <t>10.1007/s40710-019-00368-9</t>
  </si>
  <si>
    <t>Engineering, Environmental</t>
  </si>
  <si>
    <t>Engineering</t>
  </si>
  <si>
    <t>IN5YM</t>
  </si>
  <si>
    <t>WOS:000478752900005</t>
  </si>
  <si>
    <t>Torstensson, A; Young, JN; Carlson, LT; Ingalls, AE; Deming, JW</t>
  </si>
  <si>
    <t>Torstensson, Anders; Young, Jodi N.; Carlson, Laura T.; Ingalls, Anitra E.; Deming, Jody W.</t>
  </si>
  <si>
    <t>Use of exogenous glycine betaine and its precursor choline as osmoprotectants in Antarctic sea-ice diatoms1</t>
  </si>
  <si>
    <t>JOURNAL OF PHYCOLOGY</t>
  </si>
  <si>
    <t>Antarctica; choline; compatible solutes; diatoms; glycine betaine; osmolytes; salinity; sea ice</t>
  </si>
  <si>
    <t>FRAGILARIOPSIS-CYLINDRUS; DIMETHYLSULFIDE DMS; COMPATIBLE SOLUTES; PACK ICE; DIMETHYLSULFONIOPROPIONATE; SALINITY; ALGAE; BACTERIA; STRESS; TEMPERATURE</t>
  </si>
  <si>
    <t>Wide salinity ranges experienced during the seasonal freeze and melt of sea ice likely constrain many biological processes. Microorganisms generally protect against fluctuating salinities through the uptake, production, and release of compatible solutes. Little is known, however, about the use or fate of glycine betaine (GBT hereafter), one of the most common compatible solutes, in sea-ice diatoms confronted with shifts in salinity. We quantified intracellular concentrations and used [C-14]-labeled compounds to track the uptake and fate of the nitrogen-containing osmolyte GBT and its precursor choline in three Antarctic sea-ice diatoms Nitzschia lecointei, Navicula cf. perminuta, and Fragilariopsis cylindrus at -1 degrees C. Experiments show that these diatoms have effective transporters for GBT, but take up lesser amounts of choline. Neither compound was respired. Uptake of GBT protected cells against hyperosmotic shock and corresponded with reduced production of extracellular polysaccharides in N. lecointei cells, which released 85% of the retained GBT following hypoosmotic shock. The ability of sea-ice diatoms to rapidly scavenge and release compatible solutes is likely an important strategy for survival during steep fluctuations in salinity. The release and recycling of compatible solutes may play an important role in algal-bacterial interactions and nitrogen cycling within the semi-enclosed brines of sea ice.</t>
  </si>
  <si>
    <t>[Torstensson, Anders; Young, Jodi N.; Carlson, Laura T.; Ingalls, Anitra E.; Deming, Jody W.] Univ Washington, Sch Oceanog, Box 357940, Seattle, WA 98195 USA</t>
  </si>
  <si>
    <t>Torstensson, A (corresponding author), Univ Washington, Sch Oceanog, Box 357940, Seattle, WA 98195 USA.</t>
  </si>
  <si>
    <t>andtor@uw.edu</t>
  </si>
  <si>
    <t>Ingalls, Anitra/0000-0003-1953-7329; Torstensson, Anders/0000-0002-8283-656X</t>
  </si>
  <si>
    <t>School of Oceanography at the University of Washington in Seattle; College of the Environment, through Future of Ice Initiative at the University of Washington in Seattle; College of the Environment, through Walters Endowed Professorship at the University of Washington in Seattle; Simons Foundation (SCOPE Award) [329108]</t>
  </si>
  <si>
    <t>School of Oceanography at the University of Washington in Seattle; College of the Environment, through Future of Ice Initiative at the University of Washington in Seattle; College of the Environment, through Walters Endowed Professorship at the University of Washington in Seattle; Simons Foundation (SCOPE Award)</t>
  </si>
  <si>
    <t>We thank S.D. Carpenter for performing pEPS analyses and for laboratory support, and E. Firth, G.M. Showalter, Z. Cooper, and H. Dawson for helpful input. This work was supported by the School of Oceanography and the College of the Environment, through its Future of Ice Initiative and the Walters Endowed Professorship (to J.W.D.), at the University of Washington in Seattle, and by a grant from the Simons Foundation (SCOPE Award ID 329108, A.E.I.).</t>
  </si>
  <si>
    <t>0022-3646</t>
  </si>
  <si>
    <t>1529-8817</t>
  </si>
  <si>
    <t>J PHYCOL</t>
  </si>
  <si>
    <t>J. Phycol.</t>
  </si>
  <si>
    <t>10.1111/jpy.12839</t>
  </si>
  <si>
    <t>IM3SA</t>
  </si>
  <si>
    <t>WOS:000477913900013</t>
  </si>
  <si>
    <t>Paxman, GJG; Jamieson, SSR; Ferraccioli, F; Jordan, TA; Bentley, MJ; Ross, N; Forsberg, R; Matsuoka, K; Steinhage, D; Eagles, G; Casal, TG</t>
  </si>
  <si>
    <t>Paxman, Guy J. G.; Jamieson, Stewart S. R.; Ferraccioli, Fausto; Jordan, Tom A.; Bentley, Michael J.; Ross, Neil; Forsberg, Rene; Matsuoka, Kenichi; Steinhage, Daniel; Eagles, Graeme; Casal, Tania G.</t>
  </si>
  <si>
    <t>Subglacial Geology and Geomorphology of the Pensacola-Pole Basin, East Antarctica</t>
  </si>
  <si>
    <t>East Antarctica; South Pole; airborne geophysics; subglacial topography; subglacial geology; ice sheet dynamics</t>
  </si>
  <si>
    <t>LARGE IGNEOUS PROVINCE; WEDDELL SEA SECTOR; ICE-SHEET; TRANSANTARCTIC MOUNTAINS; RIFT SYSTEM; GRAVITY-ANOMALIES; CRUSTAL STRUCTURE; ELEVATION MODEL; VICTORIA LAND; SOUTH-POLE</t>
  </si>
  <si>
    <t>The East Antarctic Ice Sheet (EAIS) is underlain by a series of low-lying subglacial sedimentary basins. The extent, geology, and basal topography of these sedimentary basins are important boundary conditions governing the dynamics of the overlying ice sheet. This is particularly pertinent for basins close to the grounding line wherein the EAIS is grounded below sea level and therefore potentially vulnerable to rapid retreat. Here we analyze newly acquired airborne geophysical data over the Pensacola-Pole Basin (PPB), a previously unexplored sector of the EAIS. Using a combination of gravity and magnetic and ice-penetrating radar data, we present the first detailed subglacial sedimentary basin model for the PPB. Radar data reveal that the PPB is defined by a topographic depression situated 500 m below sea level. Gravity and magnetic depth-to-source modeling indicate that the southern part of the basin is underlain by a sedimentary succession 2-3 km thick. This is interpreted as an equivalent of the Beacon Supergroup and associated Ferrar dolerites that are exposed along the margin of East Antarctica. However, we find that similar rocks appear to be largely absent from the northern part of the basin, close to the present-day grounding line. In addition, the eastern margin of the basin is characterized by a major geological boundary and a system of overdeepened subglacial troughs. We suggest that these characteristics of the basin may reflect the behavior of past ice sheets and/or exert an influence on the present-day dynamics of the overlying EAIS.</t>
  </si>
  <si>
    <t>[Paxman, Guy J. G.; Jamieson, Stewart S. R.; Bentley, Michael J.] Univ Durham, Dept Geog, Durham, England; [Ferraccioli, Fausto; Jordan, Tom A.] British Antarctic Survey, Cambridge, England; [Ross, Neil] Newcastle Univ, Sch Geog Polit &amp; Sociol, Newcastle Upon Tyne, Tyne &amp; Wear, England; [Forsberg, Rene] Tech Univ Denmark, Natl Space Inst, Geodynam, Lyngby, Denmark; [Matsuoka, Kenichi] Norwegian Polar Res Inst, Tromso, Norway; [Steinhage, Daniel; Eagles, Graeme] Helmholtz Ctr Polar &amp; Marine Res, Alfred Wegener Inst, Bremerhaven, Germany; [Casal, Tania G.] European Space Agcy ESTEC, Noordwijk, Netherlands</t>
  </si>
  <si>
    <t>Durham University; UK Research &amp; Innovation (UKRI); Natural Environment Research Council (NERC); NERC British Antarctic Survey; Newcastle University - UK; Technical University of Denmark; Norwegian Polar Institute; Helmholtz Association; Alfred Wegener Institute, Helmholtz Centre for Polar &amp; Marine Research; European Space Agency</t>
  </si>
  <si>
    <t>Paxman, GJG (corresponding author), Univ Durham, Dept Geog, Durham, England.</t>
  </si>
  <si>
    <t>guy.j.paxman@durham.ac.uk</t>
  </si>
  <si>
    <t>Bentley, Michael J/F-7386-2011; Jamieson, Stewart S.R./B-8330-2013; Matsuoka, Kenichi/B-7298-2017</t>
  </si>
  <si>
    <t>Bentley, Michael J/0000-0002-2048-0019; Jamieson, Stewart S.R./0000-0002-9036-2317; Gil Duarte Casal, Tania/0000-0001-7119-3928; Forsberg, Rene/0000-0002-7288-9545; Eagles, Graeme/0000-0001-5325-0810; Jordan, Tom/0000-0003-2780-1986; Ferraccioli, Fausto/0000-0002-9347-4736; Matsuoka, Kenichi/0000-0002-3587-3405; Paxman, Guy/0000-0003-1787-7442</t>
  </si>
  <si>
    <t>Natural Environment Research Council UK studentship [NE/L002590/1]; NERC [NE/R000824/1]; European Space Agency; NERC [NE/J008176/1, NE/R000824/1, NE/F014260/1, bas0100029, NE/K003674/1] Funding Source: UKRI</t>
  </si>
  <si>
    <t>Natural Environment Research Council UK studentship(UK Research &amp; Innovation (UKRI)Natural Environment Research Council (NERC)); NERC(UK Research &amp; Innovation (UKRI)Natural Environment Research Council (NERC)); European Space Agency(European Space Agency); NERC(UK Research &amp; Innovation (UKRI)Natural Environment Research Council (NERC))</t>
  </si>
  <si>
    <t>G. J. G. P. is in receipt of a Natural Environment Research Council UK studentship NE/L002590/1, and S. S. R. J. is supported by NERC grant NE/R000824/1. Financial support for the PolarGAP project was provided by the European Space Agency. The authors wish to extend especial thanks to the PolarGAP field team for the collection of the airborne geophysical data. We thank the British Antarctic Survey and the Center for Ice, Climate and Ecosystems (ICE) of the Norwegian Polar Institute for field and logistics support and Danish Technical University (DTU) staff for their contributions in data collection and laser altimetry processing. We also thank the National Science Foundation (NSF) for providing access to and field support at South Pole station. We are also grateful to Angelika Humbert and the Alfred Wegener Institute (AWI) Glaciology section for providing access to the RECISL radar and gravity data sets. We thank John Goodge, Carol Finn, and an anonymous reviewer for their constructive reviews, which greatly improved the quality of the manuscript. PolarGAP airborne geophysical data used in this article are available from the European Space Agency data portal (https://earth.esa.int/web/guest/campaigns). ICECAP and Operation IceBridge data products used in this study are available through the IceBridge data portal at the National Snow and Ice Data Center (http://nsdic.org/icebridge/portal/). Grids and figures were produced using the Generic Mapping Tools (GMT) software package (Wessel et al., 2013).</t>
  </si>
  <si>
    <t>10.1029/2018GC008126</t>
  </si>
  <si>
    <t>IL9CI</t>
  </si>
  <si>
    <t>WOS:000477582400014</t>
  </si>
  <si>
    <t>Wu, L; Wang, RJ; Krijgsman, W; Chen, ZH; Xiao, WS; Ge, SL; Wu, JW</t>
  </si>
  <si>
    <t>Wu, Li; Wang, Rujian; Krijgsman, Wout; Chen, Zhihua; Xiao, Wenshen; Ge, Shulan; Wu, Jiawang</t>
  </si>
  <si>
    <t>Deciphering Color Reflectance Data of a 520-kyr Sediment Core From the Southern Ocean: Method Application and Paleoenvironmental Implications</t>
  </si>
  <si>
    <t>marine sediment; color reflectance; factor analysis; Mn peaks; Southern Ocean; Fe minerals</t>
  </si>
  <si>
    <t>CLAY-MINERAL ASSEMBLAGES; PRYDZ BAY-REGION; CHINA SEA; DETERMINING HEMATITE; HOLOCENE SEDIMENTS; CONTINENTAL-SLOPE; MARINE-SEDIMENTS; ATLANTIC-OCEAN; ORGANIC-CARBON; ODP SITE-1166</t>
  </si>
  <si>
    <t>Sediment color reflectance contains important information on paleoenvironmental changes. Such data are routinely measured on sediment cores from the Southern Ocean. Their usefulness, however, is undervalued. Here for the first time, color reflectance of an 520-kyr sediment core retrieved off Prydz Bay (East Antarctica) was intensively investigated to correlate sediment color changes to changes in sediment compositions. Total carbon, total organic carbon, X-ray fluorescence-derived Fe/Ti and Br/Ti ratios, water content and mineral composition of sediment from this core, and color reflectance of another two sediment cores retrieved nearby were analyzed in this study. The raw reflectance data were transformed into their first-order derivatives and subjected to factor analysis algorithms. A four-factor model was selected to unmix the data set, explaining &gt;80% of the total data variance. Its robustness is supported by similar factor analysis results from the other two cores. The four factors represent (from Factors 1-4) pulses of sedimentary Mn enrichment and Fe3+/Fe2+ changes in clay minerals, relative content changes of colorless components, hematite and goethite, and water, respectively. Scores of Factor 1 show high spikes at glacial terminations, recording enhanced deglacial ventilation in the abyssal Southern Ocean. Scores of Factor 2 mainly reflect biogenic components and chlorite but are further complicated by refractory terrigenous organic carbon and Mn-oxides/-hydroxides. Higher Scores of Factor 3 occur mainly at peak interglacial intervals, associated with enhanced transport of sediment of Antarctic origin by oceanic currents. Water content (Factor 4) in the core sediment was significantly influenced by opal content and sediment grain size compositions.</t>
  </si>
  <si>
    <t>[Wu, Li; Wang, Rujian; Xiao, Wenshen; Wu, Jiawang] Tongji Univ, State Key Lab Marine Geol, Shanghai, Peoples R China; [Krijgsman, Wout; Wu, Jiawang] Univ Utrecht, Dept Earth Sci, Utrecht, Netherlands; [Chen, Zhihua; Ge, Shulan] State Ocean Adm, Inst Oceanog 1, Qingdao, Shandong, Peoples R China</t>
  </si>
  <si>
    <t>Tongji University; Utrecht University; First Institute of Oceanography, Ministry of Natural Resources</t>
  </si>
  <si>
    <t>Wu, L; Wang, RJ (corresponding author), Tongji Univ, State Key Lab Marine Geol, Shanghai, Peoples R China.</t>
  </si>
  <si>
    <t>wuli@tongji.edu.cn; rjwang@tongji.edu.cn</t>
  </si>
  <si>
    <t>WU, Li/KHX-2389-2024</t>
  </si>
  <si>
    <t>Krijgsman, Wout/0000-0002-1472-1074; Wu, Jiawang/0000-0002-1670-1536; WU, Li/0000-0001-8560-8223</t>
  </si>
  <si>
    <t>Chinese National Natural Science Foundation; China Postdoctoral Science Foundation [41806223, 2018 M632158, 41776191, 41676191]</t>
  </si>
  <si>
    <t>Chinese National Natural Science Foundation(National Natural Science Foundation of China (NSFC)); China Postdoctoral Science Foundation(China Postdoctoral Science Foundation)</t>
  </si>
  <si>
    <t>We sincerely thank the reviewers for their constructive comments and suggestions that helped to improve the manuscript significantly. Thanks also go to Prof. Gert J. Delange, who read and commented an early version of this manuscript, and Dr. Pingyuan Li and Dr. Guoyong Zhao, who kindly helped conducting the XRD experiment. Prof. Ellen A. Cowan helped rephrasing the final version of the manuscript and is sincerely thanked here. We thank the 29th and 30th Chinese Antarctic Expedition cruise members for retrieving the sediments. This work is jointly supported by Chinese National Natural Science Foundation and China Postdoctoral Science Foundation (grants 41806223, 2018 M632158, 41776191, and 41676191). The data sets analyzed during the current study can be downloaded as the supporting information.</t>
  </si>
  <si>
    <t>10.1029/2019GC008212</t>
  </si>
  <si>
    <t>WOS:000477582400015</t>
  </si>
  <si>
    <t>Anand, SS; Rahaman, W; Lathika, N; Thamban, M; Patil, S; Mohan, R</t>
  </si>
  <si>
    <t>Anand, S. Subha; Rahaman, Waliur; Lathika, N.; Thamban, M.; Patil, S.; Mohan, Rahul</t>
  </si>
  <si>
    <t>Trace Elements and Sr, Nd Isotope Compositions of Surface Sediments in the Indian Ocean: An Evaluation of Sources and Processes for Sediment Transport and Dispersal</t>
  </si>
  <si>
    <t>Sr-87; Sr-86 ratio; epsilon(Nd); Indian Ocean; Central Indian Ridge; Southwest Indian Ridge; Antarctica</t>
  </si>
  <si>
    <t>RARE-EARTH-ELEMENTS; DEEP-SEA SEDIMENTS; LATE-QUATERNARY; TERRIGENOUS SEDIMENT; GADOLINIUM ANOMALIES; MAGMATIC EVOLUTION; LOESS STRATIGRAPHY; BOUNDARY EXCHANGE; TRIPLE JUNCTION; ATLANTIC-OCEAN</t>
  </si>
  <si>
    <t>To decipher sediment provenance, understand dispersal pattern and its controlling factors in the Indian Ocean, we have studied major and trace element abundances and isotope compositions of Sr (Sr-87/Sr-86) and Nd (epsilon(Nd)) in silicate fractions of 38 surface sediment samples collected at similar to 1.5 degrees interval from India (similar to 10 degrees N) to Antarctica (similar to 70 degrees S). The Sr-87/Sr-86 ratio and epsilon(Nd) vary from 0.70527 and 0.1 near Crozet Island to 0.77854 and -34.8 near Antarctica, respectively. Higher Sr-87/Sr-86 ratio and lower epsilon(Nd) near Antarctica indicate source of old granitic rocks, and the opposite is observed in sediments from the Central and the Southwest Indian Ridges indicating source of seafloor spreading and mid-ocean ridge hydrothermal activity. Chondrite normalized Rare Earth Elements (REEs) pattern reveals positive Europium anomaly for Central and Southwest Indian Ridge sediments, while positive Gadolinium anomaly is observed in Indian and Antarctic coastal sediments. Sediments in the Indian sector of Southern Ocean and coastal Antarctica are highly dispersed through deep, bottom, and Antarctic circumpolar currents. The epsilon(Nd) spatial map generated for the entire Indian Ocean based on compilation of present study and results from literature shows dominance of terrigenous inputs from continental erosion with minor contribution from the ridges in the Indian Ocean. The epsilon(Nd) map together with trace elements can be employed for reconnaissancefor mineral exploration associated with hydrothermal deposits. Further, comparison of detrital epsilon(Nd) with its counter phases, that is, authigenic fractions and modern seawater at the sampling sites, would enhance our knowledge of benthic exchange processes, with an implication in using Nd isotopes asa water mass circulation proxy.</t>
  </si>
  <si>
    <t>[Anand, S. Subha; Rahaman, Waliur; Lathika, N.; Thamban, M.; Patil, S.; Mohan, Rahul] Natl Ctr Polar &amp; Ocean Res, Vasco Da Gama, Goa, India</t>
  </si>
  <si>
    <t>Ministry of Earth Sciences (MoES) - India; National Centre for Polar and Ocean Research (NCPOR)</t>
  </si>
  <si>
    <t>Anand, SS (corresponding author), Natl Ctr Polar &amp; Ocean Res, Vasco Da Gama, Goa, India.</t>
  </si>
  <si>
    <t>subha@ncaor.gov.in</t>
  </si>
  <si>
    <t>Rahaman, Waliur/0000-0001-6439-4529; N, Lathika/0000-0001-7617-6377</t>
  </si>
  <si>
    <t>10.1029/2019GC008332</t>
  </si>
  <si>
    <t>WOS:000477582400029</t>
  </si>
  <si>
    <t>Vergara, O; Morrow, R; Pujol, I; Dibarboure, G; Ubelmann, C</t>
  </si>
  <si>
    <t>Vergara, Oscar; Morrow, Rosemary; Pujol, Isabelle; Dibarboure, Gerald; Ubelmann, Clement</t>
  </si>
  <si>
    <t>Revised Global Wave Number Spectra From Recent Altimeter Observations</t>
  </si>
  <si>
    <t>satellite altimetry; mesoscale variability; energy cascade; internal waves; space oceanography</t>
  </si>
  <si>
    <t>SEA-SURFACE HEIGHT; MESOSCALE VARIABILITY; TRANSITION; DYNAMICS; NOISE; MODEL; SCALE</t>
  </si>
  <si>
    <t>Global sea surface height wave number spectra are revisited using the most recent, lower-noise satellite altimeter missions from Saral/AltiKa and Sentinel-3 and compared to Jason-2 wave number spectra. Spectral preprocessing is configured to minimize the spectral slope distortion in the mesoscale wavelength range. A geographically variable wavelength range is used to calculate the spectral slopes, taking into account the regional eddy length scales based on the local Rossby radius. This dynamical wavelength range increases the spectral slope by 0.5 in middle to high latitudes, compared to a fixed wavelength range, and by -1.0 to 1.0 in different regions of the intertropical band. Using this dynamical wavelength range, mean sea surface height wave number spectra for these lower-noise missions exhibit low slope values (k(-2)) in the intertropical band, values of k(-11/3) in the midlatitudes, and reaches k(-5) in the subpolar regions and the Antarctic circumpolar current. An important seasonality is also revealed, with mesoscale spectral slope amplitudes decreasing in winter by 0.5 to 1.5 compared to summer, for the middle- to high-energy regions. A phase-locked internal tide correction is tested but has only a small impact on the spectral slope estimates when using the dynamical wavelength range.</t>
  </si>
  <si>
    <t>[Vergara, Oscar; Morrow, Rosemary] Univ Toulouse, CNRS, CNES, LEGOS,IRD, Toulouse, France; [Pujol, Isabelle; Ubelmann, Clement] CLS Space Oceanog, Toulouse, France; [Dibarboure, Gerald] CNES, Toulouse, France</t>
  </si>
  <si>
    <t>Vergara, O (corresponding author), Univ Toulouse, CNRS, CNES, LEGOS,IRD, Toulouse, France.</t>
  </si>
  <si>
    <t>oscar.vergara@legos.obs-mip.fr</t>
  </si>
  <si>
    <t>Vergara, Oscar/0000-0001-5673-8192</t>
  </si>
  <si>
    <t>French Space Agency (CNES)</t>
  </si>
  <si>
    <t>French Space Agency (CNES)(Centre National D'etudes Spatiales)</t>
  </si>
  <si>
    <t>The Jason-2, SARAL/AltiKa and Sentinel-3A data were computed from the Geophysical Data Record (GDR) available on the AVISO website (https://www.aviso.altimetry.fr). The Mean Sea Surface Model CNES_CLS_2015 is also available on the same website. Mixed Layer Depth data are available at the IFREMER MLD climatology website (http://www.ifremer.fr/cerweb/deboyer/mld/home.php). The authors would like to acknowledge the support from the French Space Agency (CNES) received to conduct the present study. The authors would like to thank the two anonymous reviewers for their comments that helped improving the original manuscript.</t>
  </si>
  <si>
    <t>10.1029/2018JC014844</t>
  </si>
  <si>
    <t>IM1BA</t>
  </si>
  <si>
    <t>WOS:000477722200003</t>
  </si>
  <si>
    <t>Fu, Y; Wang, CZ; Brandt, P; Greatbatch, RJ</t>
  </si>
  <si>
    <t>Fu, Yao; Wang, Chunzai; Brandt, Peter; Greatbatch, Richard J.</t>
  </si>
  <si>
    <t>Interannual Variability of Antarctic Intermediate Water in the Tropical North Atlantic</t>
  </si>
  <si>
    <t>interannual variability of Antarctic Intermediate Water in the tropical North Atlantic; meridional propagating AAIW salinity anomalies associated with the western boundary transport; zonal propagating AAIW anomalies related to baroclinic Rossby wave propagation</t>
  </si>
  <si>
    <t>MERIDIONAL OVERTURNING CIRCULATION; PLANETARY WAVE-PROPAGATION; OXYGEN-MINIMUM ZONES; VARYING MEAN FLOW; BRAZIL CURRENT; AGULHAS LEAKAGE; BOTTOM TOPOGRAPHY; DECADAL CHANGES; TRANSPORT; OCEAN</t>
  </si>
  <si>
    <t>Interannual variability of Antarctic Intermediate Water (AAIW) in the tropical North Atlantic is investigated using the GECCO2 ocean state estimate and Argo data. AAIW salinity variability near the western boundary is highly correlated with the transport along the western boundary on interannual timescales. Northward propagating anomalies are associated with the western boundary transport variability that, to some extent, is related to the large-scale wind stress curl forcing by means of the Sverdrup balance. AAIW anomalies also propagate westward with the speed of baroclinic Rossby waves, indicating that the displacement of the meridional salinity gradient by westward propagation of baroclinic Rossby waves plays a role in the variability of AAIW characteristics. Slower eastward spreading of AAIW anomalies is identified on decadal timescales likely associated with the advection of salinity anomalies by weak eastward current bands. Understanding the observed interannual and decadal variability of AAIW salinity is important to properly interpret salinity changes reported in response to changes in the hydrological cycle. Plain Language Summary Antarctic Intermediate Water (AAIW) is characterized by its low salinity in the ocean. Here we examine the variability of AAIW in the tropical North Atlantic on interannual timescales by using an ocean assimilation product (GECCO2) and Argo data. The analysis of these data shows that in the tropical northwestern Atlantic, variability of the AAIW salinity is associated with the transport variability near the western boundary and with the westward propagation of planetary waves. Decadal AAIW signals propagate eastward, which is indicative of eastward spreading of water mass anomalies with the weak circulation at intermediate depths. The identified AAIW water mass variability in the tropical North Atlantic has implications for the transport of tracers and particularly the ventilation of the oxygen minimum zone of the eastern tropical North Atlantic.</t>
  </si>
  <si>
    <t>[Fu, Yao; Wang, Chunzai] Chinese Acad Sci, State Key Lab Trop Oceanog, South China Sea Inst Oceanol, Guangzhou, Guangdong, Peoples R China; [Brandt, Peter; Greatbatch, Richard J.] GEOMAR Helmholtz Ctr Ocean Res Kiel, Kiel, Germany; [Brandt, Peter; Greatbatch, Richard J.] Christian Albrechts Univ Kiel, Fac Math &amp; Nat Sci, Kiel, Germany</t>
  </si>
  <si>
    <t>Chinese Academy of Sciences; South China Sea Institute of Oceanology, CAS; Helmholtz Association; GEOMAR Helmholtz Center for Ocean Research Kiel; University of Kiel</t>
  </si>
  <si>
    <t>Wang, CZ (corresponding author), Chinese Acad Sci, State Key Lab Trop Oceanog, South China Sea Inst Oceanol, Guangzhou, Guangdong, Peoples R China.</t>
  </si>
  <si>
    <t>cwang@scsio.ac.cn</t>
  </si>
  <si>
    <t>Wang, Chunzai/C-9712-2009; Brandt, Peter/C-8254-2013</t>
  </si>
  <si>
    <t>Wang, Chunzai/0000-0002-7611-0308; Brandt, Peter/0000-0002-9235-955X; Fu, Yao/0000-0003-2227-3694</t>
  </si>
  <si>
    <t>National Natural Science Foundation of China [41731173]; Pioneer Hundred Talents Program of the Chinese Academy of Sciences; Leading Talents of Guangdong Province Program; Strategic Priority Research Program of the Chinese Academy of Sciences [XDA20060502]; National Program on Global Change and Air-Sea Interaction [GASI-IPOVAI-04]; Deutsche Forschungsgemeinschaft [FOR1740]; Deutsche Bundesministerium fur Bildung und Forschung (BMBF) as part of the project RACE II [03F0651B]</t>
  </si>
  <si>
    <t>National Natural Science Foundation of China(National Natural Science Foundation of China (NSFC)); Pioneer Hundred Talents Program of the Chinese Academy of Sciences; Leading Talents of Guangdong Province Program; Strategic Priority Research Program of the Chinese Academy of Sciences(Chinese Academy of Sciences); National Program on Global Change and Air-Sea Interaction; Deutsche Forschungsgemeinschaft(German Research Foundation (DFG)); Deutsche Bundesministerium fur Bildung und Forschung (BMBF) as part of the project RACE II(Federal Ministry of Education &amp; Research (BMBF))</t>
  </si>
  <si>
    <t>This study is supported by the National Natural Science Foundation of China (41731173), the Pioneer Hundred Talents Program of the Chinese Academy of Sciences, the Leading Talents of Guangdong Province Program, the Strategic Priority Research Program of the Chinese Academy of Sciences (XDA20060502), the National Program on Global Change and Air-Sea Interaction (GASI-IPOVAI-04), and by the Deutsche Forschungsgemeinschaft as part of cooperative project FOR1740. We appreciate the preliminary discussion with Sunke Schmidtko, which initiated this work and thank Ruixin Huang for helpful discussion. We also thank Jeff Blundell for providing the theoretical Rossby wave speed of Killworth and Blundell (2003a, 2003a, 2003b). The GECCO2, GODAS, ORAS4, SODA, and ECCO2 ocean reanalysis products are available at http://icdc.cen.uni-ham-burg.de/projekte/easy-init/easy-initocean.html.The Argo data were collected and made freely available by the International Argo Program and the national programs that contribute to it (http://www.argo.ucsd.edu,http://argo.jcommops.org).The Argo Program is part of the Global Ocean Observing System (https://doi.org/10.17882/42182).This study was funded by the Deutsche Bundesministerium fur Bildung und Forschung (BMBF) as part of the project RACE II (03F0651B).</t>
  </si>
  <si>
    <t>10.1029/2018JC014878</t>
  </si>
  <si>
    <t>WOS:000477722200032</t>
  </si>
  <si>
    <t>Silvano, A; Rintoul, SR; Kusahara, K; Peña-Molino, B; van Wijk, E; Gwyther, DE; Williams, GD</t>
  </si>
  <si>
    <t>Silvano, Alessandro; Rintoul, Stephen R.; Kusahara, Kazuya; Pena-Molino, Beatriz; van Wijk, Esmee; Gwyther, David E.; Williams, Guy D.</t>
  </si>
  <si>
    <t>Seasonality of Warm Water Intrusions Onto the Continental Shelf Near the Totten Glacier</t>
  </si>
  <si>
    <t>Totten; Moscow University; East Antarctica; Circumpolar Deep Water; basal melting; sea level rise</t>
  </si>
  <si>
    <t>CIRCUMPOLAR DEEP-WATER; ICE MASS-LOSS; PINE ISLAND GLACIER; AMUNDSEN SEA; SUBMARINE CANYONS; EAST ANTARCTICA; CIRCULATION; TRANSPORT; VARIABILITY; MELTWATER</t>
  </si>
  <si>
    <t>Warm Modified Circumpolar Deep Water (MCDW) from the Southern Ocean drives rapid basal melt of the Totten Ice Shelf on the Sabrina Coast (East Antarctica), affecting the mass balance of the grounded Totten Glacier. Recent observations show that MCDW intrudes onto the continental shelf through a depression at the shelf break. Here we investigate such intrusions by combining (1) new oceanographic and bathymetric observations collected for two consecutive years by profiling floats in the depression south of the shelf break, (2) oceanographic measurements collected by conductivity-temperature-depth-instrumented seals on continental slope, and (3) an ocean model. The depression provides a pathway for persistent inflow of warm (0-1 degrees C) MCDW to the inner shelf. In austral autumn and early winter MCDW intrusions were up to 0.5 degrees C warmer and were similar to 75 m thicker than in spring and summer. The seasonality of the flow on the continental slope explains the seasonality of the intrusions. The MCDW layer on the continental slope is warmer and thicker to the east of the depression than to the west. In autumn and early winter a strong, top-to-bottom westward current (Antarctic Slope Current) transports the warmer and thicker MCDW layer along the slope and is diverted poleward at the eastern entrance of the depression. A bottom-intensified eastward current (Antarctic Slope Undercurrent) develops in other months, allowing cooler and thinner intrusions to enter the depression from the west. Our study illustrates how circulation on the Antarctic slope regulates the ocean heat delivery to the continental shelf and ultimately to the ice shelves.</t>
  </si>
  <si>
    <t>[Silvano, Alessandro; Gwyther, David E.; Williams, Guy D.] Univ Tasmania, Inst Marine &amp; Antarctic Studies, Hobart, Tas, Australia; [Silvano, Alessandro; Rintoul, Stephen R.; Pena-Molino, Beatriz; van Wijk, Esmee] CSIRO Oceans &amp; Atmosphere, Hobart, Tas, Australia; [Silvano, Alessandro; Rintoul, Stephen R.; Kusahara, Kazuya; Pena-Molino, Beatriz; van Wijk, Esmee; Williams, Guy D.] Univ Tasmania, Antarctic Climate &amp; Ecosyst Cooperat Res Ctr, Hobart, Tas, Australia; [Kusahara, Kazuya] Japan Agcy Marine Earth Sci &amp; Technol, Yokohama, Kanagawa, Japan; [Rintoul, Stephen R.; Pena-Molino, Beatriz] Ctr Southern Hemisphere Oceans Res, Hobart, Tas, Australia; [Williams, Guy D.] Univ New South Wales, Antarctic Res Council, Ctr Excellence Climate Syst Sci, Sydney, NSW, Australia</t>
  </si>
  <si>
    <t>University of Tasmania; Commonwealth Scientific &amp; Industrial Research Organisation (CSIRO); University of Tasmania; Antarctic Climate &amp; Ecosystems Cooperative Research Centre (ACE CRC); Japan Agency for Marine-Earth Science &amp; Technology (JAMSTEC); University of New South Wales Sydney</t>
  </si>
  <si>
    <t>Silvano, A (corresponding author), Univ Tasmania, Inst Marine &amp; Antarctic Studies, Hobart, Tas, Australia.;Silvano, A (corresponding author), CSIRO Oceans &amp; Atmosphere, Hobart, Tas, Australia.;Silvano, A (corresponding author), Univ Tasmania, Antarctic Climate &amp; Ecosyst Cooperat Res Ctr, Hobart, Tas, Australia.</t>
  </si>
  <si>
    <t>alessandro.silvano@utas.edu.au</t>
  </si>
  <si>
    <t>Gwyther, David E/Q-2987-2018; van Wijk, Esmee/AAB-2451-2020; Pena-Molino, Beatriz/IYK-0313-2023; Rintoul, Stephen/A-1471-2012</t>
  </si>
  <si>
    <t>Gwyther, David E/0000-0002-7218-2785; van Wijk, Esmee/0000-0002-9375-4383; Pena-Molino, Beatriz/0000-0003-1587-1696; Silvano, Alessandro/0000-0002-6441-1496; Kusahara, Kazuya/0000-0003-4067-7959; Williams, Guy/0000-0002-3975-2977; Rintoul, Stephen/0000-0002-7055-9876</t>
  </si>
  <si>
    <t>Australian Government's Cooperative Research Centres Program through the Antarctic Climate and Ecosystems Cooperative Research Centre; Australian Antarctic Research Programme; Australian Research Council's Special Research Initiative for the Antarctic Gateway Partnership; Australia's Integrated Marine Observing System; National Environmental Science Programme; Centre for Southern Hemisphere Oceans Research; Australian Government Research Training Program Scholarship</t>
  </si>
  <si>
    <t>Australian Government's Cooperative Research Centres Program through the Antarctic Climate and Ecosystems Cooperative Research Centre(Australian GovernmentDepartment of Industry, Innovation and ScienceCooperative Research Centres (CRC) Programme); Australian Antarctic Research Programme; Australian Research Council's Special Research Initiative for the Antarctic Gateway Partnership(Australian Research Council); Australia's Integrated Marine Observing System; National Environmental Science Programme; Centre for Southern Hemisphere Oceans Research(Commonwealth Scientific &amp; Industrial Research Organisation (CSIRO)); Australian Government Research Training Program Scholarship(Australian GovernmentDepartment of Industry, Innovation and Science)</t>
  </si>
  <si>
    <t>We thank the scientists, technicians, officers, and crew that participated on the R/V Aurora Australis expedition. We also thank the reviewers and Editor for useful comments that helped improve the paper. This project was supported by the Australian Government's Cooperative Research Centres Program through the Antarctic Climate and Ecosystems Cooperative Research Centre, the Australian Antarctic Research Programme, the Australian Research Council's Special Research Initiative for the Antarctic Gateway Partnership, the Australia's Integrated Marine Observing System, the National Environmental Science Programme, and the Centre for Southern Hemisphere Oceans Research, a partnership between Commonwealth Scientific and Industrial Research Organisation (CSIRO) and Qingdao National Laboratory for Marine Science and Technology. Alessandro Silvano was supported by the Australian Government Research Training Program Scholarship. The marine mammal data were collected and made freely available by the International MEOP (Marine Mammals Exploring the Oceans Pole to Pole) Consortium and the national programs that contribute to it (www.meop.net).Data collected by the profiling floats are available from www.marine.csiro.au/similar to gronell/ArgoRT/floats (WMO ID float 1: 7900397; WMO ID float 2: 7900398; WMO ID float 3: 7900603).</t>
  </si>
  <si>
    <t>10.1029/2018JC014634</t>
  </si>
  <si>
    <t>WOS:000477722200046</t>
  </si>
  <si>
    <t>Lessard, MR; Paulson, K; Spence, HE; Weaver, C; Engebretson, MJ; Millan, R; Woodger, L; Halford, A; Horne, R; Rodger, CJ; Hendry, A</t>
  </si>
  <si>
    <t>Lessard, Marc R.; Paulson, Kristoff; Spence, Harlan E.; Weaver, Carol; Engebretson, Mark J.; Millan, Robyn; Woodger, Leslie; Halford, Alexa; Horne, Richard; Rodger, Craig J.; Hendry, Aaron</t>
  </si>
  <si>
    <t>Generation of EMIC Waves and Effects on Particle Precipitation During a Solar Wind Pressure Intensification With Bz &gt; 0</t>
  </si>
  <si>
    <t>ION-CYCLOTRON WAVES; VAN ALLEN PROBES; RELATIVISTIC ELECTRON-PRECIPITATION; DYNAMIC PRESSURE; ENERGETIC PARTICLE; GEOMAGNETIC STORMS; DRIVEN; DISTRIBUTIONS; PLASMAPAUSE; DEPENDENCE</t>
  </si>
  <si>
    <t>During geomagnetic storms, some fraction of the solar wind energy is coupled via reconnection at the dayside magnetopause, a process that requires a southward interplanetary magnetic field B-z. Through a complex sequence of events, some of this energy ultimately drives the generation of electromagnetic ion cyclotron (EMIC) waves, which can then scatter energetic electrons and ions from the radiation belts. In the event described in this paper, the interplanetary magnetic field remained northward throughout the event, a condition unfavorable for solar wind energy coupling through low-latitude reconnection. While this resulted in SYM/H remaining positive throughout the event (so this may not be considered a storm, in spite of the very high solar wind densities), pressure fluctuations were directly transferred into and then propagated throughout the magnetosphere, generating EMIC waves on global scales. The generation mechanism presumably involved the development of temperature anisotropies via perpendicular pressure perturbations, as evidenced by strong correlations between the pressure variations and the intensifications of the waves globally. Electron precipitation was recorded by the Balloon Array for RBSP Relativistic Electron Losses balloons, although it did not have the same widespread signatures as the waves and, in fact, appears to have been quite patchy in character. Observations from Van Allen Probe A satellite (at postmidnight local time) showed clear butterfly distributions, and it may be possible that the EMIC waves contributed to the development of these distribution functions. Ion precipitation was also recorded by the Polar-orbiting Operational Environmental Satellite satellites, though tended to be confined to the dawn-dusk meridians.</t>
  </si>
  <si>
    <t>[Lessard, Marc R.; Paulson, Kristoff; Spence, Harlan E.; Weaver, Carol] Univ New Hampshire, Ctr Space Sci, Durham, NH 03824 USA; [Engebretson, Mark J.] Augsburg Univ, Dept Phys, Minneapolis, MN USA; [Millan, Robyn; Woodger, Leslie] Dartmouth Coll, Dept Phys &amp; Astron, Hanover, NH 03755 USA; [Halford, Alexa] Aerosp Corp, Chantilly, VA USA; [Horne, Richard] British Antarctic Survey, Cambridge, England; [Rodger, Craig J.; Hendry, Aaron] Univ Otago, Dept Phys, Dunedin, New Zealand; [Hendry, Aaron] Czech Acad Sci, Inst Atmospher Phys, Prague, Czech Republic</t>
  </si>
  <si>
    <t>University System Of New Hampshire; University of New Hampshire; Augsburg University; Dartmouth College; Aerospace Corporation - USA; UK Research &amp; Innovation (UKRI); Natural Environment Research Council (NERC); NERC British Antarctic Survey; University of Otago; Czech Academy of Sciences; Institute of Atmospheric Physics of the Czech Academy of Sciences</t>
  </si>
  <si>
    <t>Lessard, MR (corresponding author), Univ New Hampshire, Ctr Space Sci, Durham, NH 03824 USA.</t>
  </si>
  <si>
    <t>marc.lessard@unh.edu</t>
  </si>
  <si>
    <t>Spence, Harlan E/A-1942-2011; Rodger, Craig/A-1501-2011; Horne, Richard B/U-3764-2019; Halford, Alexa/AAH-2098-2019; Hendry, Aaron/T-1911-2019</t>
  </si>
  <si>
    <t>Spence, Harlan E/0000-0002-2526-2205; Horne, Richard B/0000-0002-0412-6407; Halford, Alexa/0000-0002-5383-4602; Hendry, Aaron/0000-0002-9130-3781; Woodger, Leslie/0000-0001-9173-0970; Rodger, Craig J./0000-0002-6770-2707; Paulson, Kristoff/0000-0002-5699-090X</t>
  </si>
  <si>
    <t>Canadian Space Agency; NSF [PLR-1341677, ANT-1141987, PLR-1341493, ANT-1142045]; NASA [NNX15AF66G, NAS5-01072]; European Community [263218]; NASA [805645, NNX15AF66G] Funding Source: Federal RePORTER; NERC [NE/P01738X/1, bas0100031] Funding Source: UKRI</t>
  </si>
  <si>
    <t>Canadian Space Agency(Canadian Space Agency); NSF(National Science Foundation (NSF)); NASA(National Aeronautics &amp; Space Administration (NASA)); European Community; NASA(National Aeronautics &amp; Space Administration (NASA)); NERC(UK Research &amp; Innovation (UKRI)Natural Environment Research Council (NERC))</t>
  </si>
  <si>
    <t>We gratefully acknowledge helpful discussions with V. Jordanova during this effort. We thank Kazuo Shiokawa of Nagoya University for provision of Magadan search coil data and Tero Raita of Sodankyla Geophysical Observatory for provision of Sodankyla search coil data. We also thank I. R. Mann, D. K. Milling, and the rest of the CARISMA team for data. CARISMA is operated by the University of Alberta, funded by the Canadian Space Agency. We also acknowledge the gracious support provided at Halley Station by the British Antarctic Survey. Support for thisworkwas provided at UNHby NSF awards PLR-1341677 and ANT-1141987. Support at Augsburg College was provided by NSF awards PLR-1341493 and ANT-1142045. A. J. H. was supported by NASA under Grant NNX15AF66G. The research by C. J. R. and A. T. H. leading to these results was supported by the European Community Seventh Framework Programme ([FP7/2007013]) under Grant 263218. Support for NASA Van Allen Probes efforts was provided through Grant NAS5-01072. Data used in this paper are available at NOAA National Geophysical Data Center (NGDC - POES MEPED data) and the University of Alberta CARISMA data repository (magnetometer data at Canadian sites). Other data used in this study are available at space. augsburg. edu/searchcoilrequest. Links to the dynamic spectrograms are available through the VirtualWaves Observatory (VWO) at NASA/Goddard Space Flight Center, and 0.5-second cadence digital data from Halley and South Pole, Antarctica, from 2004 to 2007 are archived at the Virtual Magnetospheric Observatory (VMO) at UCLA.</t>
  </si>
  <si>
    <t>10.1029/2019JA026477</t>
  </si>
  <si>
    <t>IM1BJ</t>
  </si>
  <si>
    <t>WOS:000477723100041</t>
  </si>
  <si>
    <t>Martinis, C; Baumgardner, J; Mendillo, M; Taylor, M; Moffat-Griffin, T; Wroten, J; Sullivan, C; Macinnis, R; Alford, B; Nishimura, Y</t>
  </si>
  <si>
    <t>Martinis, C.; Baumgardner, J.; Mendillo, M.; Taylor, Mj; Moffat-Griffin, T.; Wroten, J.; Sullivan, C.; Macinnis, R.; Alford, B.; Nishimura, Y.</t>
  </si>
  <si>
    <t>First Ground-Based Conjugate Observations of Stable Auroral Red (SAR) Arcs</t>
  </si>
  <si>
    <t>SPACE WEATHER; O+</t>
  </si>
  <si>
    <t>During the geomagnetic storm of 1 June 2013, all-sky imagers located at geomagnetically conjugate locations at Millstone Hill, USA (42.6 degrees N, 71.4 degrees W, 50.9 degrees mag lat) and at Rothera, Antarctica (67.5 degrees S, 68.1 degrees W, -53.2 degrees mag lat), allowed us to measure a stable auroral red (SAR) arc simultaneously in both hemispheres for the first time. The arc measured in one hemisphere was observed very close to its conjugate location in the opposite hemisphere. While spatial characteristics, such as equatorward motion and latitudinal extent, were similar at both sites, morphological properties, for example, arc brightness and shape of the poleward edges, differed. The overall brightness of the northern hemisphere arc was considerably weaker, by a factor of similar to 2-3, throughout the night. Reduced magnetospheric forcing, in a short time interval between similar to 0345 UT and 0445 UT, led to decreased SAR arc brightness and reduced equatorward motion at both sites. A substorm occurring near 0500UT provided additional energization that increased the SAR arc brightness as well as the speed of the equatorward motion. These results provide evidence of a complex coupling between energy sources in the inner magnetosphere and the ionospheric receptor conditions within the subauroral domain at opposite ends of the same geomagnetic field line.</t>
  </si>
  <si>
    <t>[Martinis, C.; Baumgardner, J.; Mendillo, M.; Wroten, J.; Sullivan, C.; Macinnis, R.; Alford, B.; Nishimura, Y.] Boston Univ, Ctr Space Phys, Boston, MA 02215 USA; [Taylor, Mj] Utah State Univ, Ctr Atmospher &amp; Space Sci, Logan, UT 84322 USA; [Taylor, Mj] Utah State Univ, Dept Phys, Logan, UT 84322 USA; [Moffat-Griffin, T.] British Antarctic Survey, Cambridge, England</t>
  </si>
  <si>
    <t>Boston University; Utah System of Higher Education; Utah State University; Utah System of Higher Education; Utah State University; UK Research &amp; Innovation (UKRI); Natural Environment Research Council (NERC); NERC British Antarctic Survey</t>
  </si>
  <si>
    <t>Martinis, C (corresponding author), Boston Univ, Ctr Space Phys, Boston, MA 02215 USA.</t>
  </si>
  <si>
    <t>martinis@bu.edu</t>
  </si>
  <si>
    <t>Taylor, Michael/0000-0002-3796-0836; Wroten, Joei/0000-0001-7188-3793</t>
  </si>
  <si>
    <t>NSF [OPP 1246423, AGS 1659304]; ANGWIN program (NSF) [1443730]; NERC [bas0100032] Funding Source: UKRI; Office of Polar Programs (OPP); Directorate For Geosciences [1443730] Funding Source: National Science Foundation</t>
  </si>
  <si>
    <t>NSF(National Science Foundation (NSF)); ANGWIN program (NSF); NERC(UK Research &amp; Innovation (UKRI)Natural Environment Research Council (NERC)); Office of Polar Programs (OPP); Directorate For Geosciences(National Science Foundation (NSF)NSF - Directorate for Geosciences (GEO))</t>
  </si>
  <si>
    <t>This work was supported by NSF grants (CM: OPP 1246423 and MM: AGS 1659304). The Rothera ASI is currently run under a joint MoU agreement between the British Antarctic Survey and Utah State University in support of the ANGWIN program (NSF grant 1443730). Thanks to the Rothera wintering team for their work in ensuring the ASI data set is as complete as possible. Data used in this study are available at http://www.buimaging.com.DMSP data were obtained from the CEDAR Madrigal database website: https://w3id.org/cedar? experimen_tlist=experiments3/202013/dms/01jun13&amp; file_list=dms_20130601_15s4.002.hdf5. Geomagnetic indices and solar wind parameters were obtained from the OMNI website at https://omniweb.gsfc.nasa.gov/.GOES satellite data were obtained from: https://www.ngdc.noaa.gov/stp/satellite/goes/dataaccess.html.</t>
  </si>
  <si>
    <t>10.1029/2018JA026017</t>
  </si>
  <si>
    <t>WOS:000477723100053</t>
  </si>
  <si>
    <t>Koustov, AV; Lavoie, DB; Kouznetsov, AF; Burchill, JK; Knudsen, DJ; Fiori, RAD</t>
  </si>
  <si>
    <t>Koustov, A., V; Lavoie, D. B.; Kouznetsov, A. F.; Burchill, J. K.; Knudsen, D. J.; Fiori, R. A. D.</t>
  </si>
  <si>
    <t>A Comparison of Cross-Track Ion Drift Measured by the Satellites and Plasma Convection Velocity Measured by SuperDARN</t>
  </si>
  <si>
    <t>REVERSAL BOUNDARY; RISR-C; RADAR; SWARM</t>
  </si>
  <si>
    <t>Cross-track ion drifts measured by the Swarm A satellite are compared with colocated line-of-sight Super Dual Auroral Radar Network (SuperDARN) velocities in approximately the same directions. More than 200 Swarm A passes over four polar cap SuperDARN radars in the Northern and Southern Hemispheres are considered. Overall, the Swarm-based velocities are larger than the SuperDARN velocities; the slope of the best fit line to the data is similar to 0.67. Somewhat stronger differences are found when Swarm A measurements for the entire year 2016 are compared with SuperDARN vector data from global-scale convection maps. Swarm ion drift data demonstrate known features of the high-latitude convection patterns, for example, reverse convection cells at interplanetary magnetic field B-z &gt; 0. The latitudes of the convection reversal boundary inferred from SuperDARN are found to be in reasonable agreement with those determined from Swarm A and Swarm B, with Swarm-based latitudes occurring roughly 1 degrees more equatorward, typically.</t>
  </si>
  <si>
    <t>[Koustov, A., V; Lavoie, D. B.] Univ Saskatchewan, Inst Space &amp; Atmospher Studies, Dept Phys &amp; Engn Phys, Saskatoon, SK, Canada; [Kouznetsov, A. F.; Burchill, J. K.; Knudsen, D. J.] Univ Calgary, Dept Phys &amp; Astron, Calgary, AB, Canada; [Fiori, R. A. D.] Nat Resources Canada, Geomagnet Lab, Ottawa, ON, Canada</t>
  </si>
  <si>
    <t>University of Saskatchewan; University of Calgary; Natural Resources Canada</t>
  </si>
  <si>
    <t>Koustov, AV (corresponding author), Univ Saskatchewan, Inst Space &amp; Atmospher Studies, Dept Phys &amp; Engn Phys, Saskatoon, SK, Canada.</t>
  </si>
  <si>
    <t>sasha.koustov@usask.ca</t>
  </si>
  <si>
    <t>Knudsen, David/JJF-1802-2023; Burchill, Johnathan Kerr/KAZ-9414-2024</t>
  </si>
  <si>
    <t>Burchill, Johnathan/0000-0002-8364-0307; Knudsen, David/0000-0001-5898-2260; Fiori, Robyn/0000-0002-7313-8890; Koustov, Alexander/0000-0002-3604-4991</t>
  </si>
  <si>
    <t>Canadian Space Agency's Geospace Observatory (GO Canada) continuation initiative; Italian National Research Council; National Program for Antarctic Research; NSERC Discovery grant; NSERC USRA; CSA</t>
  </si>
  <si>
    <t>Canadian Space Agency's Geospace Observatory (GO Canada) continuation initiative; Italian National Research Council(Consiglio Nazionale delle Ricerche (CNR)); National Program for Antarctic Research; NSERC Discovery grant(Natural Sciences and Engineering Research Council of Canada (NSERC)); NSERC USRA(Natural Sciences and Engineering Research Council of Canada (NSERC)); CSA</t>
  </si>
  <si>
    <t>Swarm is a European Space Agency mission with major support from the Canadian Space Agency (CSA) for the EFI. J.K.B. was supported in part by the CSA. Swarm data can be accessed from ESA at https://earth.esa.int/web/guest/swarm/data-access.The SuperDARN data from the Canadian radars used in this work were collected with the support of the Canadian Space Agency's Geospace Observatory (GO Canada) continuation initiative. We appreciate PIs efforts for continuous operation of the McMurdo (USA) and Dome C East radars (Italy, France). The Dome C East radar was installed in the framework of a French-Italian collaboration and is operated by the Institute for Space Astrophysics and Planetology (INAF-IAPS) with the support of Italian National Research Council and National Program for Antarctic Research. The research was supported by a NSERC Discovery grant to A.V.K. D.L. acknowledges the NSERC USRA funding for the summers of 2017 and 2018. Original SuperDARN data used in this study can be obtained from https://superdarn.ca.We appreciate discussions of various aspects of the paper with P.V. Ponomarenko. We thank W. Archer for sharing with us some results of his analysis of Swarm and SuperDARN data.</t>
  </si>
  <si>
    <t>10.1029/2018JA026245</t>
  </si>
  <si>
    <t>WOS:000477723100056</t>
  </si>
  <si>
    <t>Freeman, MP; Forsyth, C; Rae, IJ</t>
  </si>
  <si>
    <t>Freeman, Mervyn P.; Forsyth, Colin; Rae, I. Jonathan</t>
  </si>
  <si>
    <t>The Influence of Substorms on Extreme Rates of Change of the Surface Horizontal Magnetic Field in the United Kingdom</t>
  </si>
  <si>
    <t>GEOMAGNETICALLY INDUCED CURRENTS; HEIGHT-INTEGRATED CONDUCTIVITY; DP 2 FLUCTUATIONS; MAGNETOSPHERIC SUBSTORMS; AURORAL SUBSTORMS; PLASMA CONVECTION; MODEL; EXCITATION; CYCLE; POWER</t>
  </si>
  <si>
    <t>We investigate how statistical properties of the rate of change R of the surface horizontal magnetic field in the United Kingdom differ during substorm expansion and recovery phases compared with other times. R is calculated from 1-min magnetic field data from three INTERMAGNET observatories-Lerwick, Eskdalemuir, and Hartland and between 1996 and 2014-nearly two solar cycles. Substorm expansion and recovery phases are identified from the SuperMAG Lower index using the Substorm Onsets and Phases from Indices of the Electrojet method. The probability distribution of R is decomposed into categories of whether during substorm expansion and recovery phases, in enhanced convection intervals, or at other times. From this, we find that 54-56% of all extreme R values (defined as above the 99.97th percentile) occur during substorm expansion or recovery phases. By similarly decomposing the magnetic local time variation of the occurrence of large R values (&gt;99th percentile), we deduce that 21-25% of large R during substorm expansion and recovery phases are attributable to the Disturbance Polar (DP)1 magnetic perturbation caused by the substorm current wedge. This corresponds to 10-14% of all large R in the entire data set. These results, together with asymptotic trends in occurrence probabilities, may indicate the two-cell DP2 magnetic perturbation caused by magnetospheric convection as the dominant source of hazardous R &gt; 600 nT/min that is potentially damaging to the U.K. National Grid. Thus, further research is needed to understand and model DP2, its mesoscale turbulent structure, and substorm feedbacks in order that GIC impact on the National Grid may be better understood and predicted.</t>
  </si>
  <si>
    <t>[Freeman, Mervyn P.] British Antarctic Survey, Cambridge, England; [Forsyth, Colin; Rae, I. Jonathan] Univ Coll London, Mullard Space Sci Lab, Dorking, Surrey, England</t>
  </si>
  <si>
    <t>UK Research &amp; Innovation (UKRI); Natural Environment Research Council (NERC); NERC British Antarctic Survey; University of London; University College London</t>
  </si>
  <si>
    <t>Freeman, MP (corresponding author), British Antarctic Survey, Cambridge, England.</t>
  </si>
  <si>
    <t>mpf@bas.ac.uk</t>
  </si>
  <si>
    <t>Rae, Jonathan/D-8132-2013; Forsyth, Colin/E-4159-2010; Freeman, Mervyn/E-5687-2019</t>
  </si>
  <si>
    <t>Rae, Jonathan/0000-0002-2637-4786; Forsyth, Colin/0000-0002-0026-8395; Freeman, Mervyn/0000-0002-8653-8279</t>
  </si>
  <si>
    <t>British Geological Survey; U. K. Natural Environment Research Council (NERC) [NE/P016693/1, NE/P017150/1]; NERC Independent Research Fellowship [NE/N014480/2]; NERC [NE/N014480/1, NE/P016693/1, bas0100031, NE/P017150/1] Funding Source: UKRI</t>
  </si>
  <si>
    <t>British Geological Survey; U. K. Natural Environment Research Council (NERC)(UK Research &amp; Innovation (UKRI)Natural Environment Research Council (NERC)); NERC Independent Research Fellowship(UK Research &amp; Innovation (UKRI)Natural Environment Research Council (NERC)); NERC(UK Research &amp; Innovation (UKRI)Natural Environment Research Council (NERC))</t>
  </si>
  <si>
    <t>The author thanks Gemma Richardson for providing Figure 1 and Alan Thomson for helpful suggestions and comments. The results presented in this paper rely on the data collected at the Eskdalemuir, Hartland, and Lerwick observatories. We thank the British Geological Survey for supporting their operation and INTERMAGNET for promoting high standards of magnetic observatory practice. The data were downloaded from www.intermagnet.org and are freely available there. Corrected geomagnetic coordinates given in section 2 were calculated on 31 July 2018 using the online calculator at https://omniweb.sci.gsfc.nasa.gov/vitmo/cgm.html, and sunspot data were retrieved on 31 July 2018 from the WDC-SILSO, Royal Observatory of Belgium, Brussels, at their website (http://sidc.oma.be/silso/datafiles). Carrington rotation dates were downloaded on 11 October 2018 from http://umtof.umd.edu/pm/crn/, courtesy of the CELIAS/MTOF experiment team of the Solar Heliospheric Observatory (SOHO) spacecraft. M. P. F. and I. J. R. were supported by U. K. Natural Environment Research Council (NERC) grants NE/P016693/1 and NE/P017150/1, respectively. C. F. was supported by NERC Independent Research Fellowship NE/N014480/2.</t>
  </si>
  <si>
    <t>10.1029/2018SW002148</t>
  </si>
  <si>
    <t>IM1BY</t>
  </si>
  <si>
    <t>WOS:000477724600005</t>
  </si>
  <si>
    <t>Berngardt, OI; Ruohoniemi, JM; St-Maurice, JP; Marchaudon, A; Kosch, MJ; Yukimatu, AS; Nishitani, N; Shepherd, SG; Marcucci, MF; Hu, H; Nagatsuma, T; Lester, M</t>
  </si>
  <si>
    <t>Berngardt, O., I; Ruohoniemi, J. M.; St-Maurice, J-P; Marchaudon, A.; Kosch, M. J.; Yukimatu, A. S.; Nishitani, N.; Shepherd, S. G.; Marcucci, M. F.; Hu, H.; Nagatsuma, T.; Lester, M.</t>
  </si>
  <si>
    <t>Global Diagnostics of Ionospheric Absorption During X-Ray Solar Flares Based on 8-to 20-MHz Noise Measured by Over-the-Horizon Radars</t>
  </si>
  <si>
    <t>HF PROPAGATION; SUPERDARN; MODEL; IRREGULARITIES; DYNAMICS; NETWORK; LYRA</t>
  </si>
  <si>
    <t>An analysis of noise attenuation during 80 solar flares between 2013 and 2017 was carried out at frequencies 8-20 MHz using 34 Super Dual Auroral Radar Network radars and the EKB ISTP SB RAS radar. The attenuation was determined on the basis of noise measurements performed by the radars during the intervals between transmitting periods. The location of the primary contributing ground sources of noise was found by consideration of the propagation paths of radar backscatter from the ground. The elevation angle for the ground echoes was determined through a new empirical model. It was used to determine the paths of the noise and the location of its source. The method was particularly well suited for daytime situations, which had to be limited for the most part to only two crossings through the D region. Knowing the radio path was used to determine an equivalent vertical propagation attenuation factor. The change in the noise during solar flares was correlated with solar radiation lines measured by GOES/XRS, GOES/EUVS, SDO/AIA, SDO/EVE, SOHO/SEM, and PROBA2/LYRA instruments. Radiation in the 1 to 8 angstrom and near 100 angstrom are shown to be primarily responsible for the increase in the radionoise absorption, and by inference, for an increase in the D and E region density. The data are also shown to be consistent with a radar frequency dependence having a power law with an exponent of -1.6. This study shows that a new data set can be made available to study D and E regions.</t>
  </si>
  <si>
    <t>[Berngardt, O., I] SB RAS, Inst Solar Terr Phys, Irkutsk, Russia; [Ruohoniemi, J. M.] Virginia Polytech Inst &amp; State Univ, Bradley Dept Elect &amp; Comp EnghtQcring, Blacksburg, VA 24061 USA; [St-Maurice, J-P] Univ Saskatchewan, Dept Phys &amp; Engn Phys, Saskatoon, SK, Canada; [Marchaudon, A.] Toulouse Univ, Res Inst Astrophysi &amp; Planetol, CNRS, CNES, Toulouse, France; [Kosch, M. J.] South African Natl Space Agcy, Hermanus, South Africa; [Kosch, M. J.] Univ Lancaster, Phys Dept, Lancaster, England; [Kosch, M. J.] Univ Western Cape, Dept Phys &amp; Astron, Bellville, South Africa; [Yukimatu, A. S.] Natl Inst Polar Res, Tokyo, Japan; [Yukimatu, A. S.] Grad Univ Adv Studies SOKENDAI, Dept Polar Sci, Sch Multidisciplinary Sci, Tokyo, Japan; [Nishitani, N.] Nagoya Univ, Inst Space Earth Environm Res, Nagoya, Aichi, Japan; [Shepherd, S. G.] Dartmouth Coll, Thayer Sch Engn, Hanover, NH 03755 USA; [Marcucci, M. F.] Inst Space Astrophys &amp; Planetol, Rome, Italy; [Hu, H.] Polar Res Inst China, Shanghai, Peoples R China; [Nagatsuma, T.] Natl Inst Informat &amp; Commun Technol, Tokyo, Japan; [Lester, M.] Univ Leicester, Dept Phys &amp; Astron, Leicester, Leics, England</t>
  </si>
  <si>
    <t>Russian Academy of Sciences; Irkutsk Science Centre of the Russian Academy of Sciences; Institute of Solar-Terrestrial Physics of the Siberian Branch of the Russian Academy of Sciences; Virginia Polytechnic Institute &amp; State University; University of Saskatchewan; Centre National de la Recherche Scientifique (CNRS); Universite Federale Toulouse Midi-Pyrenees (ComUE); Lancaster University; University of the Western Cape; Research Organization of Information &amp; Systems (ROIS); National Institute of Polar Research (NIPR) - Japan; Graduate University for Advanced Studies - Japan; Nagoya University; Dartmouth College; Polar Research Institute of China; National Institute of Information &amp; Communications Technology (NICT) - Japan; University of Leicester</t>
  </si>
  <si>
    <t>Berngardt, OI (corresponding author), SB RAS, Inst Solar Terr Phys, Irkutsk, Russia.</t>
  </si>
  <si>
    <t>berng@iszf.irk.ru</t>
  </si>
  <si>
    <t>Nagatsuma, Tsutomu/AAS-8526-2020; Lester, Mark/C-9657-2016; Marcucci, Maria federica/HNJ-5276-2023; Berngardt, Oleg/I-3609-2014; Nishitani, Nozomu/R-8831-2019</t>
  </si>
  <si>
    <t>Nagatsuma, Tsutomu/0000-0002-9334-0738; Nishitani, Nozomu/0000-0001-9842-5119; Berngardt, Oleg/0000-0002-3837-8207; shepherd, simon/0000-0003-1992-4118; Marchaudon, Aurelie/0000-0002-1625-3462; Marcucci, Maria Federica/0000-0002-5002-6060; St-Maurice, Jean-Pierre/0000-0001-6504-3595; Kosch, Michael Jurgen/0000-0003-2846-3915</t>
  </si>
  <si>
    <t>FSR Program II.12.2; IPEV; CNRS through INSU program; CNRS through PNST program; CNR; PNRA; NIPR under Ministry of Education, Culture, Sports, Science and technology (MEXT), Japan; Canada Foundation for Innovation; Canadian Space Agency; Province of Saskatchewan; Belgian Federal Science Policy Office (BELSPO); Swiss Bundesamt fur Bildung und Wissenschaft; Japan Society for the Promotion of Science (JSPS) [25287129]; NSF [AGS-1341918]; RFBR [18-05-00539a]; STFC [ST/N000749/1] Funding Source: UKRI</t>
  </si>
  <si>
    <t>FSR Program II.12.2; IPEV; CNRS through INSU program; CNRS through PNST program; CNR(Consiglio Nazionale delle Ricerche (CNR)); PNRA; NIPR under Ministry of Education, Culture, Sports, Science and technology (MEXT), Japan; Canada Foundation for Innovation(Canada Foundation for InnovationCGIARSpanish Government); Canadian Space Agency(Canadian Space Agency); Province of Saskatchewan; Belgian Federal Science Policy Office (BELSPO)(Belgian Federal Science Policy Office); Swiss Bundesamt fur Bildung und Wissenschaft; Japan Society for the Promotion of Science (JSPS)(Ministry of Education, Culture, Sports, Science and Technology, Japan (MEXT)Japan Society for the Promotion of Science); NSF(National Science Foundation (NSF)); RFBR(Russian Foundation for Basic Research (RFBR)); STFC(UK Research &amp; Innovation (UKRI)Science &amp; Technology Facilities Council (STFC))</t>
  </si>
  <si>
    <t>The authors acknowledge the use of SuperDARN data, which are freely available through the SuperDARN website at Virginia Polytechnic Institute and State University (http://vt.superdarn.org/). The data of the SuperDARN radars were obtained using the DaViT (https://github.com/vtsuperdarn/davitpy).The authors are grateful to all the developers of the DaViT system, in particular K. Sterne, N. Frissel, S. de Larquier, and A. J. Ribeiro, as well as to all the organizations supporting the radars operation. O. B. is grateful to X. Shi (Virginia Tech) for help in using DaViT. In the paper we used the data of EKB ISTP SB RAS, operating under financial support of FSR Program II.12.2. The data of EKB ISTP SB RAS radar are available at ISTP SB RAS (http://sdrus.iszf.irk.ru/ekb/page_example/simple). The authors acknowledge the use of SuperDARN data. SuperDARN is a collection of radars funded by the national scientific funding agencies of Australia, Canada, China, France, Italy, Japan, Norway, South Africa, United Kingdom, and the United States. The SuperDARN Kerguelen radar is operated by IRAP (CNRS and Toulouse University) and is funded by IPEV and CNRS through INSU and PNST programs. The Dome C East radar was installed in the framework of a French-Italian collaboration and is operated by INAF-IAPS with the support of CNR and PNRA. The SuperDARN SENSU Syowa East and South radars are the property of National Institute of Polar Research (NIPR); this study is a part of the Science Program of Japanese Antarctic Research Expedition (JARE) and is supported by NIPR under Ministry of Education, Culture, Sports, Science and technology (MEXT), Japan. The SuperDARN Canada radar operations (SAS, PGR, INV, RKN, and CLY) are supported by the Canada Foundation for Innovation, the Canadian Space Agency, and the Province of Saskatchewan. The authors thank SuperDARN Canada for providing the data from the two-frequency operating modes. The authors are grateful to Altyntsev A. T., Tashchilin A. V., Kashapova L. K. (ISTP SB RAS) for useful discussions. The authors are grateful to NOAA for GOES/XRS and GOES/EUVS data (available at https://satdat.ngdc.noaa.gov/sem/goes/data), to NASA/SDO and to the AIA and EVE teams for SDO/AIA and SDO/EVE data (available at https://sdo.gsfc.nasa.gov/data/, http://lasp.colorado.edu/eve/data_ access/service/file_ download/, and http://suntoday.lmsal.com/suntoday/), to Royal Observatory of Belgium for PROBA2/LYRA data (available at http://proba2.oma.be/lyra/data/bsd/) used for analysis. The authors are grateful to the University of Southern California Space Sciences Center for using SOHO/SEM data (available at https://dornsifecms.usc.edu/space-sciences-center/download-sem-data/).Solar Heliospheric Observatory (SOHO) is a joint mission project of United States National Aeronautics and Space Administration (NASA) and European Space Agency (ESA). LYRA is a project of the Centre Spatial de Liege, the Physikalisch-Meteorologisches Observatorium Davos and the Royal Observatory of Belgium funded by the Belgian Federal Science Policy Office (BELSPO) and by the Swiss Bundesamt fur Bildung und Wissenschaft. A. S. Y. is supported by Japan Society for the Promotion of Science (JSPS), Grant-in-Aid for Scientific Research (B) (Grant 25287129). J. M. R. acknowledges the support of NSF through award AGS-1341918. O. I. B. is supported by RFBR grant 18-05-00539a.</t>
  </si>
  <si>
    <t>10.1029/2018SW002130</t>
  </si>
  <si>
    <t>Green Published, Green Submitted, Bronze, Green Accepted</t>
  </si>
  <si>
    <t>WOS:000477724600010</t>
  </si>
  <si>
    <t>Her, C; Yeh, Y; Krishnan, VV</t>
  </si>
  <si>
    <t>Her, Cheenou; Yeh, Yin; Krishnan, Viswanathan V.</t>
  </si>
  <si>
    <t>The Ensemble of Conformations of Antifreeze Glycoproteins (AFGP8): A Study Using Nuclear Magnetic Resonance Spectroscopy</t>
  </si>
  <si>
    <t>BIOMOLECULES</t>
  </si>
  <si>
    <t>AFGP; NMR; ensemble of structures; antifreeze proteins</t>
  </si>
  <si>
    <t>FREEZING RESISTANCE; PROTEINS; ICE; DYNAMICS; GLYCOPEPTIDES; INHIBITION; PEPTIDE; WATER; CLASSIFICATION; MECHANISMS</t>
  </si>
  <si>
    <t>The primary sequence of antifreeze glycoproteins (AFGPs) is highly degenerate, consisting of multiple repeats of the same tripeptide, Ala-Ala-Thr*, in which Thr* is a glycosylated threonine with the disaccharide beta-d-galactosyl-(1,3)-alpha-N-acetyl-d-galactosamine. AFGPs seem to function as intrinsically disordered proteins, presenting challenges in determining their native structure. In this work, a different approach was used to elucidate the three-dimensional structure of AFGP8 from the Arctic cod Boreogadus saida and the Antarctic notothenioid Trematomus borchgrevinki. Dimethyl sulfoxide (DMSO), a non-native solvent, was used to make AFGP8 less dynamic in solution. Interestingly, DMSO induced a non-native structure, which could be determined via nuclear magnetic resonance (NMR) spectroscopy. The overall three-dimensional structures of the two AFGP8s from two different natural sources were different from a random coil ensemble, but their compactness was very similar, as deduced from NMR measurements. In addition to their similar compactness, the conserved motifs, Ala-Thr*-Pro-Ala and Ala-Thr*-Ala-Ala, present in both AFGP8s, seemed to have very similar three-dimensional structures, leading to a refined definition of local structural motifs. These local structural motifs allowed AFGPs to be considered functioning as effectors, making a transition from disordered to ordered upon binding to the ice surface. In addition, AFGPs could act as dynamic linkers, whereby a short segment folds into a structural motif, while the rest of the AFGPs could still be disordered, thus simultaneously interacting with bulk water molecules and the ice surface, preventing ice crystal growth.</t>
  </si>
  <si>
    <t>[Her, Cheenou; Krishnan, Viswanathan V.] Calif State Univ Fresno, Dept Chem, Fresno, CA 93740 USA; [Yeh, Yin] Univ Calif Davis, Dept Appl Sci, Davis, CA 95616 USA; [Krishnan, Viswanathan V.] Univ Calif Davis, Davis Sch Med, Dept Med Pathol &amp; Lab Med, Davis, CA 95616 USA</t>
  </si>
  <si>
    <t>California State University System; California State University Fresno; University of California System; University of California Davis; University of California System; University of California Davis</t>
  </si>
  <si>
    <t>Krishnan, VV (corresponding author), Calif State Univ Fresno, Dept Chem, Fresno, CA 93740 USA.;Yeh, Y (corresponding author), Univ Calif Davis, Dept Appl Sci, Davis, CA 95616 USA.;Krishnan, VV (corresponding author), Univ Calif Davis, Davis Sch Med, Dept Med Pathol &amp; Lab Med, Davis, CA 95616 USA.</t>
  </si>
  <si>
    <t>cheenouher09@mail.fresnostate.edu; yyeh@ucdavis.edu; krish@csufresno.edu</t>
  </si>
  <si>
    <t>2218-273X</t>
  </si>
  <si>
    <t>Biomolecules</t>
  </si>
  <si>
    <t>10.3390/biom9060235</t>
  </si>
  <si>
    <t>II6JZ</t>
  </si>
  <si>
    <t>WOS:000475301500031</t>
  </si>
  <si>
    <t>Lavers, JL; Lisovski, S; Bond, AL</t>
  </si>
  <si>
    <t>Lavers, Jennifer L.; Lisovski, Simeon; Bond, Alexander L.</t>
  </si>
  <si>
    <t>Preliminary survival and movement data for a declining population of Flesh-footed Shearwater Ardenna carneipes in Western Australia provides insights into marine threats</t>
  </si>
  <si>
    <t>BIRD CONSERVATION INTERNATIONAL</t>
  </si>
  <si>
    <t>AT-SEA DISTRIBUTION; PUFFINUS-CARNEIPES; REPRODUCTIVE SUCCESS; SEABIRD BYCATCH; ADULT SURVIVAL; WIND-SPEED; MIGRATION; FISHERIES; SOUTH; MORTALITY</t>
  </si>
  <si>
    <t>Seabirds face diverse threats on their breeding islands and while at sea. Human activities have been linked to the decline of seabird populations, yet over-wintering areas typically receive little or no protection. Adult survival rates, a crucial parameter for population persistence in long-lived species, tend to be spatially or temporally restricted for many seabird species, limiting our understanding of factors driving population trends at some sites. We used bio-loggers to study the migration of Western Australian Flesh-footed Shearwaters Ardenna carneipes carneipes and estimated adult survival over five years. Western Australia is home to around 35% of the world's breeding Flesh-footed Shearwaters, a population which was up-listed to Vulnerable in 2015. During the austral winter, shearwaters migrated across the central Indian Ocean to their non-breeding grounds off western Sri Lanka. Low site fidelity on breeding islands, mortality of adult birds at sea (e.g. fisheries bycatch), and low annual breeding frequency likely contributed to the low estimated annual adult survival (2011-2015: phi = 0.634-0.835).</t>
  </si>
  <si>
    <t>[Lavers, Jennifer L.] Univ Tasmania, Inst Marine &amp; Antarctic Studies, 20 Castray Esplanade, Battery Point, Tas 7004, Australia; [Lisovski, Simeon] Deakin Univ, Ctr Integrat Ecol, Sch Life &amp; Environm Sci, Geelong, Vic 3220, Australia; [Bond, Alexander L.] Nat Hist Museum, Bird Grp, Dept Life Sci, Akeman St, Tring HP23 6AP, Herts, England</t>
  </si>
  <si>
    <t>University of Tasmania; Deakin University; Natural History Museum London</t>
  </si>
  <si>
    <t>Lavers, JL (corresponding author), Univ Tasmania, Inst Marine &amp; Antarctic Studies, 20 Castray Esplanade, Battery Point, Tas 7004, Australia.</t>
  </si>
  <si>
    <t>jennifer.lavers@utas.edu.au</t>
  </si>
  <si>
    <t>Lisovski, Simeon/AAD-4201-2019; Lavers, Jennifer/O-4831-2017; Bond, Alexander L/A-3786-2010; Lavers, Jennifer/IWM-5417-2023</t>
  </si>
  <si>
    <t>Lavers, Jennifer/0000-0001-7596-6588; Lisovski, Simeon/0000-0002-6399-0035; Bond, Alexander/0000-0003-2125-7238</t>
  </si>
  <si>
    <t>BirdLife Tasmania; Trading Consultants Ltd; W.V. Scott Charitable Trust; Integrated Marine Observing System (IMOS)</t>
  </si>
  <si>
    <t>BirdLife Tasmania, Trading Consultants Ltd, W.V. Scott Charitable Trust, and the Integrated Marine Observing System (IMOS) provided funding or equipment for this research. Special thanks to C. &amp; G. Biddulph, P. Collins, A. Fidler, M. Hindell, C. McMahon, J. Pridham, P. Sharp, M. Stadler, S. Stuckenbrock, S. Toole, the Two Hands Project, and V. Wellington for providing generous support. Discussions with A. Breton improved the survival analysis. Research was undertaken with approval from the University of Tasmania animal ethics committee (permit no. A12279 and A13598) and Western Australian Department of Parks and Wildlife (permit no. CE004240 and SF010159). The manuscript benefited from discussions with A. Kumar, R. Jeyabaskaran, M. Hindell, J. Praveen, and two anonymous reviewers improved previous drafts.</t>
  </si>
  <si>
    <t>0959-2709</t>
  </si>
  <si>
    <t>1474-0001</t>
  </si>
  <si>
    <t>BIRD CONSERV INT</t>
  </si>
  <si>
    <t>Bird Conserv. Int.</t>
  </si>
  <si>
    <t>10.1017/S0959270918000084</t>
  </si>
  <si>
    <t>Biodiversity Conservation; Ornithology</t>
  </si>
  <si>
    <t>Biodiversity &amp; Conservation; Zoology</t>
  </si>
  <si>
    <t>IJ1VF</t>
  </si>
  <si>
    <t>Green Submitted, Green Accepted, Bronze</t>
  </si>
  <si>
    <t>WOS:000475686300011</t>
  </si>
  <si>
    <t>Suárez, GM; Bordin, J; Câmara, P</t>
  </si>
  <si>
    <t>Suarez, Guillermo M.; Bordin, Jucara; Camara, Paulo</t>
  </si>
  <si>
    <t>SYZYGIELLA TERES (MACHANTIOPHYTA) IN THE ELEPHANT ISLAND, ANTARCTICA</t>
  </si>
  <si>
    <t>BOLETIN DE LA SOCIEDAD ARGENTINA DE BOTANICA</t>
  </si>
  <si>
    <t>Bryophytes; Geographic distribution; Liverworts; Marchantiophyta; South Shetland Islands</t>
  </si>
  <si>
    <t>Background and aims: The known liverworts flora of Elephant Island, Antarctica, is composed by six species: Cephalozia badia, Cephaloziella varians, Anthelia juratzkana, Barbilophozia hatched, Lophoziopsis excise, and Syzygiella jacquinotii. The aim of this communication is to record Syzygiella tares in the island. M&amp;M: The liverworts were studied by conventional technics for bryophytes and mounted in Hoyer's solution. Results: Syzygiella tares is characterized by unlobed leaves with colorless marginal border. The species is briefly described and illustrated. A comparative key for all liverworts known from Elephant Island is presented.</t>
  </si>
  <si>
    <t>[Suarez, Guillermo M.] CONICET Fdn Miguel Lillo, Unidad Ejecutora Lillo, Miguel Lillo 251, RA-4000 San Miguel De Tucuman, Tucuman, Argentina; [Suarez, Guillermo M.] Univ Nacl Tucuman, Fac Ciencias Nat &amp; IML, Miguel Lillo 205, San Miguel De Tucuman, Tucuman, Argentina; [Bordin, Jucara] Univ Estadual Rio Grande do Sul, Unidade Litoral Norte Osorio, Rua Machado Assis 1456, BR-95520000 Osorio, RS, Brazil; [Camara, Paulo] Univ Brasilia, Dept Bot, Campus Darcy Ribeiro, BR-70910900 Brasilia, DF, Brazil</t>
  </si>
  <si>
    <t>Miguel Lillo Foundation; Consejo Nacional de Investigaciones Cientificas y Tecnicas (CONICET); Universidad Nacional de Tucuman; Universidade Estadual do Rio Grande do Sul (UERGS); Universidade de Brasilia</t>
  </si>
  <si>
    <t>Suárez, GM (corresponding author), CONICET Fdn Miguel Lillo, Unidad Ejecutora Lillo, Miguel Lillo 251, RA-4000 San Miguel De Tucuman, Tucuman, Argentina.;Suárez, GM (corresponding author), Univ Nacl Tucuman, Fac Ciencias Nat &amp; IML, Miguel Lillo 205, San Miguel De Tucuman, Tucuman, Argentina.</t>
  </si>
  <si>
    <t>suarezgm@csnat.unt.edu.ar</t>
  </si>
  <si>
    <t>Bordin, Juçara/CAF-1661-2022; Camara, Paulo/GPP-2054-2022</t>
  </si>
  <si>
    <t>Camara, Paulo/0000-0002-3944-996X; Suarez, Guillermo/0000-0002-7131-0634</t>
  </si>
  <si>
    <t>Brazilian Council for Scientific and Technological Development (Conselho Nacional de Desenvolvimento Cientifico e Tecnologico, CNPq); Brazilian Antarctic Program (Programa Antartico Brasileiro, PROANTAR); Brazilian Navy; Ministry of Science, Technology, Innovation and Communication of Brazil (Ministerio da Ciencia, Tecnologia, Inovacoes e Comunicacoes, MCTIC) [64/2013]; Consejo Nacional de Investigaciones Cientificas y Tecnicas (CONICET) from Argentina [PICT 2016-0810, PIUNT G631]</t>
  </si>
  <si>
    <t>Brazilian Council for Scientific and Technological Development (Conselho Nacional de Desenvolvimento Cientifico e Tecnologico, CNPq)(Conselho Nacional de Desenvolvimento Cientifico e Tecnologico (CNPQ)); Brazilian Antarctic Program (Programa Antartico Brasileiro, PROANTAR); Brazilian Navy; Ministry of Science, Technology, Innovation and Communication of Brazil (Ministerio da Ciencia, Tecnologia, Inovacoes e Comunicacoes, MCTIC); Consejo Nacional de Investigaciones Cientificas y Tecnicas (CONICET) from Argentina(Consejo Nacional de Investigaciones Cientificas y Tecnicas (CONICET))</t>
  </si>
  <si>
    <t>We would like to acknowledge the financial support from the Brazilian Council for Scientific and Technological Development (Conselho Nacional de Desenvolvimento Cientifico e Tecnologico, CNPq), the Brazilian Antarctic Program (Programa Antartico Brasileiro, PROANTAR), the Brazilian Navy, and the Ministry of Science, Technology, Innovation and Communication of Brazil (Ministerio da Ciencia, Tecnologia, Inovacoes e Comunicacoes, MCTIC, under Acao Transversal no 64/2013). GS thanks to Consejo Nacional de Investigaciones Cientificas y Tecnicas (CONICET), the Program PICT 2016-0810 and PIUNT G631 from Argentina.</t>
  </si>
  <si>
    <t>SOC ARGENTINA BOTANICA</t>
  </si>
  <si>
    <t>CORDOBA</t>
  </si>
  <si>
    <t>INST MULTIDISCIPLINARIO BIOLOGIA VEGETAL, CASILLA DE CORREO 495, CORDOBA, 5000, ARGENTINA</t>
  </si>
  <si>
    <t>1851-2372</t>
  </si>
  <si>
    <t>B SOC ARGENT BOT</t>
  </si>
  <si>
    <t>Bol. Soc. Argent. Bot.</t>
  </si>
  <si>
    <t>10.31055/1851.2372.v54.n2.24363</t>
  </si>
  <si>
    <t>II8CC</t>
  </si>
  <si>
    <t>WOS:000475417500003</t>
  </si>
  <si>
    <t>Lutz, S; Ziolkowski, LA; Benning, LG</t>
  </si>
  <si>
    <t>Lutz, Stefanie; Ziolkowski, Lori A.; Benning, Liane G.</t>
  </si>
  <si>
    <t>The Biodiversity and Geochemistry of Cryoconite Holes in Queen Maud Land, East Antarctica</t>
  </si>
  <si>
    <t>Cryoconite holes; Antarctica; high-throughput sequencing; bacteria; eukaryotes; carbon; C-13; C-14</t>
  </si>
  <si>
    <t>RNA GENE DATABASE; MICROBIAL ACTIVITY; DIVERSITY; GLACIERS; CARBON; COMMUNITIES; BACTERIAL; ALBEDO</t>
  </si>
  <si>
    <t>Cryoconite holes are oases of microbial diversity on ice surfaces. In contrast to the Arctic, where during the summer most cryoconite holes are open', in Continental Antarctica they are most often lidded' or completely frozen year-round. Thus, they represent ideal systems for the study of microbial community assemblies as well as carbon accumulation, since individual cryoconite holes can be isolated from external inputs for years. Here, we use high-throughput sequencing of the 16S and 18S rRNA genes to describe the bacterial and eukaryotic community compositions in cryoconite holes and surrounding lake, snow, soil and rock samples in Queen Maud Land. We cross correlate our findings with a broad range of geochemical data including for the first time C-13 and C-14 analyses of Antarctic cryoconites. We show that the geographic location has a larger effect on the distribution of the bacterial community compared to the eukaryotic community. Cryoconite holes are distinct from the local soils in both C-13 and C-14 and their isotopic composition is different from similar samples from the Arctic. Carbon contents were generally low (&lt;= 0.2%) and older (6-10 ky) than the surrounding soils, suggesting that the cryoconite holes are much more isolated from the atmosphere than the soils.</t>
  </si>
  <si>
    <t>[Lutz, Stefanie; Benning, Liane G.] GFZ German Res Ctr Geosci, D-14473 Potsdam, Germany; [Ziolkowski, Lori A.] Univ South Carolina, Sch Earth Ocean &amp; Environm, 701 Sumter St,EWS 617, Columbia, SC 29208 USA; [Benning, Liane G.] Free Univ Berlin, Dept Earth Sci, D-12249 Berlin, Germany; [Lutz, Stefanie] Agroscope, Mueller Thurgau Str 29, CH-8820 Wadenswil, Switzerland</t>
  </si>
  <si>
    <t>Helmholtz Association; Helmholtz-Center Potsdam GFZ German Research Center for Geosciences; University of South Carolina System; University of South Carolina Columbia; Free University of Berlin; Swiss Federal Research Station Agroscope</t>
  </si>
  <si>
    <t>Lutz, S; Benning, LG (corresponding author), GFZ German Res Ctr Geosci, D-14473 Potsdam, Germany.;Benning, LG (corresponding author), Free Univ Berlin, Dept Earth Sci, D-12249 Berlin, Germany.;Lutz, S (corresponding author), Agroscope, Mueller Thurgau Str 29, CH-8820 Wadenswil, Switzerland.</t>
  </si>
  <si>
    <t>stefanie.lutz@agroscope.admin.ch; lziolkowski@geol.sc.edu; benning@gfz-potsdam.de</t>
  </si>
  <si>
    <t>Benning, Liane G./E-7071-2011</t>
  </si>
  <si>
    <t>Benning, Liane G./0000-0001-9972-5578</t>
  </si>
  <si>
    <t>Baillet Latour Antarctica Fellowship; Helmholtz Recruiting Initiative [I-044-16-01]</t>
  </si>
  <si>
    <t>Baillet Latour Antarctica Fellowship; Helmholtz Recruiting Initiative</t>
  </si>
  <si>
    <t>This research was funded by the Baillet Latour Antarctica Fellowship (2016-2018) awarded to LZ and by the Helmholtz Recruiting Initiative (award no: I-044-16-01) granted to LGB.</t>
  </si>
  <si>
    <t>10.3390/microorganisms7060160</t>
  </si>
  <si>
    <t>II6EX</t>
  </si>
  <si>
    <t>WOS:000475287000008</t>
  </si>
  <si>
    <t>van der Wurff, ISM; von Schacky, C; Bergeland, T; Leontjevas, R; Zeegers, MP; Jolles, J; Kirschner, PA; de Groot, RHM</t>
  </si>
  <si>
    <t>van der Wurff, Inge S. M.; von Schacky, Clemens; Bergeland, Trygve; Leontjevas, Roeslan; Zeegers, Maurice P.; Jolles, Jelle; Kirschner, Paul A.; de Groot, Renate H. M.</t>
  </si>
  <si>
    <t>Effect of 1 Year Krill Oil Supplementation on Cognitive Achievement of Dutch Adolescents: A Double-Blind Randomized Controlled Trial</t>
  </si>
  <si>
    <t>NUTRIENTS</t>
  </si>
  <si>
    <t>docosahexaenoic acid (DHA); eicosapentaenoic acid (EPA); adolescents; cognition; omega-3 fatty acids; omega-3 Index; krill oil; randomized controlled trial (RCT); fatty acids</t>
  </si>
  <si>
    <t>POLYUNSATURATED FATTY-ACIDS; DIGIT SUBSTITUTION TEST; DOCOSAHEXAENOIC ACID; FISH CONSUMPTION; NORMATIVE DATA; CHILDREN; PLACEBO; OMEGA-3; HEALTHY; PERFORMANCE</t>
  </si>
  <si>
    <t>Long-chain polyunsaturated fatty acids (LCPUFA) are important for brain development and function, maybe especially during adolescence. Observational studies have demonstrated an association between fish consumption (a source of LCPUFA) and cognition in adolescents, but intervention trials are lacking. The goal of the current study was to investigate the effect of one year of krill oil (a source of LCPUFA) supplementation on the cognitive performance of adolescents with a low Omega-3 Index (O3I &lt;= 5%). A double-blind, randomized, and placebo-controlled supplementation trial with repeated measurements (baseline (T0), three months (T1), six months (T2), and 12 months (T3)) in adolescents (267 randomized) was executed. Participants were randomized to 400 mg eicosapentaenoic acid (EPA) and docosahexaenoic acid (DHA) per day in Cohort I or placebo and 800 mg EPA + DHA per day in Cohort II or placebo. O3I was monitored by a finger prick at all time points. At T0, T2, and T3, participants executed a neurocognitive test battery. Covariate corrected mixed models were run with either condition (krill or placebo) or O3I as predictors. Krill oil supplementation led to a small but significant increase in mean O3I, but few participants increased to the intended O3I range (8-11%). There was no significant effect of supplementation on the neurocognitive tests, nor a relationship between O3I and neurocognitive test scores. The increase in O3I was small in most participants, probably due to non-compliance. Possibly the increase in O3I was too small to demonstrate an effect. More research on the influence of LCPUFAs on cognition in adolescents is needed.</t>
  </si>
  <si>
    <t>[van der Wurff, Inge S. M.; Kirschner, Paul A.; de Groot, Renate H. M.] Open Univ Netherlands, Res Ctr Learning Teaching &amp; Technol, Welten Inst, NL-6419 AT Heerlen, Netherlands; [von Schacky, Clemens] Omegametrix, D-82152 Martinsried, Germany; [von Schacky, Clemens] Ludwig Maximilians Univ Munchen, Med Clin &amp; Poli Clin 1, Prevent Cardiol, D-80336 Munich, Germany; [Bergeland, Trygve] Aker BioMarine Antarctic AS, NO-1327 Lysaker, Norway; [Leontjevas, Roeslan] Open Univ Netherlands, Fac Psychol &amp; Educ Sci, NL-6419 AT Heerlen, Netherlands; [Zeegers, Maurice P.; de Groot, Renate H. M.] Maastricht Univ, Sch NUTRIM, Nutr &amp; Translat Res Metab, NL-6200 MD Maastricht, Netherlands; [Zeegers, Maurice P.] Maastricht Univ, Care &amp; Publ Hlth Res Inst, Sch CAPHRI, NL-6200 MD Maastricht, Netherlands; [Jolles, Jelle] Vrije Univ Amsterdam, Fac Behav &amp; Movement Sci, Sect Educ Neurosci, NL-1081 BT Amsterdam, Netherlands; [Jolles, Jelle] Vrije Univ Amsterdam, Fac Behav &amp; Movement Sci, LEARN Res Inst, NL-1081 BT Amsterdam, Netherlands; [Kirschner, Paul A.] Univ Oulu, FI-90014 Oulu, Finland</t>
  </si>
  <si>
    <t>Open University Netherlands; University of Munich; Open University Netherlands; Maastricht University; Maastricht University; Maastricht University Medical Centre (MUMC); Vrije Universiteit Amsterdam; Vrije Universiteit Amsterdam; University of Oulu</t>
  </si>
  <si>
    <t>van der Wurff, ISM (corresponding author), Open Univ Netherlands, Res Ctr Learning Teaching &amp; Technol, Welten Inst, NL-6419 AT Heerlen, Netherlands.</t>
  </si>
  <si>
    <t>inge.vanderwurff@ou.nl; clemens.vonschacky@med.uni-muenchen.de; trygve.bergeland@getmail.no; Roeslan.leontjevas@ou.nl; m.zeegers@maastrichtuniversity.nl; j.jolles@vu.nl; paul.kirschner@ou.nl; renate.degroot@ou.nl</t>
  </si>
  <si>
    <t>Kirschner, Paul/KBC-4463-2024</t>
  </si>
  <si>
    <t>von Schacky, Clemens/0000-0001-6022-6624; Kirschner, Paul A./0000-0002-8743-0462</t>
  </si>
  <si>
    <t>Netherlands Organization for Scientific Research [057-13-002]; AkerBiomarine</t>
  </si>
  <si>
    <t>Netherlands Organization for Scientific Research(Netherlands Organization for Scientific Research (NWO)); AkerBiomarine</t>
  </si>
  <si>
    <t>This research was partly funded by The Netherlands Organization for Scientific Research grant number [057-13-002] and by AkerBiomarine.</t>
  </si>
  <si>
    <t>2072-6643</t>
  </si>
  <si>
    <t>Nutrients</t>
  </si>
  <si>
    <t>10.3390/nu11061230</t>
  </si>
  <si>
    <t>Nutrition &amp; Dietetics</t>
  </si>
  <si>
    <t>II1AJ</t>
  </si>
  <si>
    <t>WOS:000474936700036</t>
  </si>
  <si>
    <t>Blagoveshchensky, DV; Zhbankov, GA; Maltseva, OA</t>
  </si>
  <si>
    <t>Blagoveshchensky, D. V.; Zhbankov, G. A.; Maltseva, O. A.</t>
  </si>
  <si>
    <t>OBSERVED AND CALCULATED IONOGRAMS OF OBLIQUE IONOSPHERIC SOUNDING ON HF RADIO PATHS DURING A MAGNETIC STORM OF SEPTEMBER 7-8, 2017</t>
  </si>
  <si>
    <t>RADIOPHYSICS AND QUANTUM ELECTRONICS</t>
  </si>
  <si>
    <t>HIGH-LATITUDES; PROPAGATION; IRI</t>
  </si>
  <si>
    <t>Ionograms of the oblique ionospheric sounding radio paths Cyprus-Lovozero and Lovozero-Gor'kovskaya (near St. Petersburg) are analyzed using magnetometers and riometers. The behavior of the maximum observed frequencies (MOF) of the F-2 and E-s layers during a magnetic storm of September 7-8, 2017 is considered. The storm has a specific, not classical form and can be divided into two parts, namely, the first and the second storms. The main results are as follows. 1) The manifestation of the first storm is accompanied by a significant increase in absorption and frequent absence of signals on the paths. The second storm is characterized by increased values of MOF-E-s and the presence of signals. 2) The signals on the midlatitude Cyprus-Lovozero path propagate both as 1F(2), 2F(2), and 3F(2) modes and as 2E(s) and 3E(s) modes. 3) On the subpolar Lovozero-Gor'kovskaya path, during the disturbance, the signals mainly propagate via reflection from the sporadic E-s layer of very high intensity. 4) Modeling of the propagation of HF radio waves using the IRI-2016 model adapted to the vertical sounding data made it possible to match the model ionograms with the real oblique sounding ionograms, including the cases of presence of the M and N modes, as well as triplets, in both quiet and disturbed conditions, which is a new result.</t>
  </si>
  <si>
    <t>[Blagoveshchensky, D. V.] St Petersburg State Univ Aerosp Instrumentat, St Petersburg, Russia; [Zhbankov, G. A.; Maltseva, O. A.] Southern Fed Univ, Rostov Na Donu, Russia</t>
  </si>
  <si>
    <t>Saint Petersburg State University of Aerospace Instrumentation; Southern Federal University</t>
  </si>
  <si>
    <t>Maltseva, OA (corresponding author), Southern Fed Univ, Rostov Na Donu, Russia.</t>
  </si>
  <si>
    <t>mal@ip.rsu.ru</t>
  </si>
  <si>
    <t>Zhbankov, Gennady/0000-0001-6154-1917</t>
  </si>
  <si>
    <t>Russian Foundation for Basic Research [18-05-00343]; Ministry of Education and Science of the Russian Federation [3.9696.2017/8.9]</t>
  </si>
  <si>
    <t>Russian Foundation for Basic Research(Russian Foundation for Basic Research (RFBR)Spanish Government); Ministry of Education and Science of the Russian Federation(Ministry of Education and Science, Russian Federation)</t>
  </si>
  <si>
    <t>The work of D. V. Blagoveshchensky and O. A. Maltseva was supported by the Russian Foundation for Basic Research (project No. 18-05-00343). The work of G. A. Zhbankov was performed as part of the State Assignment of the Ministry of Education and Science of the Russian Federation (No. 3.9696.2017/8.9). The authors are grateful to the staff of the Arctic and Antarctic Research Institute for the opportunity to use the oblique sounding data and also the Sodankyla observatory employees for the opportunity to employ their riometric data.</t>
  </si>
  <si>
    <t>0033-8443</t>
  </si>
  <si>
    <t>1573-9120</t>
  </si>
  <si>
    <t>RADIOPHYS QUANT EL+</t>
  </si>
  <si>
    <t>Radiophys. Quantum Electron.</t>
  </si>
  <si>
    <t>10.1007/s11141-019-09944-3</t>
  </si>
  <si>
    <t>Engineering, Electrical &amp; Electronic; Physics, Applied; Physics, Fluids &amp; Plasmas</t>
  </si>
  <si>
    <t>Engineering; Physics</t>
  </si>
  <si>
    <t>IJ5ZI</t>
  </si>
  <si>
    <t>WOS:000475981500002</t>
  </si>
  <si>
    <t>Goulet, P; Guinet, C; Swift, R; Madsen, PT; Johnson, M</t>
  </si>
  <si>
    <t>Goulet, Pauline; Guinet, Christophe; Swift, Rene; Madsen, Peter T.; Johnson, Mark</t>
  </si>
  <si>
    <t>A miniature biomimetic sonar and movement tag to study the biotic environment and predator-prey interactions in aquatic animals</t>
  </si>
  <si>
    <t>Prey field mapping; Fisheries sonar; Foraging ecology; Elephant seal; Predator-prey interactions; Biologging</t>
  </si>
  <si>
    <t>SOUTHERN ELEPHANT SEALS; FORAGING SUCCESS; SPECIES IDENTIFICATION; ANTARCTIC KRILL; PHOCA-VITULINA; WHALES; BEHAVIOR; HEARING; OCEAN; ECHOLOCATION</t>
  </si>
  <si>
    <t>How predators find, select and capture prey is central to understanding trophic cascades and ecosystem structure. But despite advances in biologging technology, obtaining in situ observations of organisms and their interactions remains challenging in the marine environment. For some species of toothed whales, echoes from organisms insonified by echolocation clicks and recorded by sound logging tags have provided a fine-scale view of prey density, and predator and prey behaviour during capture attempts, but such information is not available for marine predators that do not echolocate. Here the development and performance of a miniature biomimetic sonar and movement tag capable of acquiring similar data from non-echolocating marine predators is reported. The tag, weighing 200 g in air, records wide bandwidth sonar data at up to 50 pings a second synchronously with fast-sampling sensors for depth, acceleration, magnetic field and GPS. This sensor suite enables biotic conditions and predator behaviour to be related to geographic location over long-duration foraging trips by apex marine predators. The sonar operates at 1.5 MHz with a 3.4 degrees beamwidth and a source level of 190 dB re 1 mu Pa at 1 m. Sonar recordings from a trial deployment of the tag on a southern elephant seal contained frequent targets corresponding to small organisms up to 6 m ahead of the tagged animal. Synchronously sampled movement data allowed interpretation of whether the seal attempted to capture organisms that it approached closely while the high sonar ping rate revealed attempts by prey to escape. Results from this trial demonstrate the ability of the tag to quantify the biotic environment and to track individual prey captures, providing fine-scale information on predator-prey interactions which has been difficult to obtain from non-echolocating marine animals.</t>
  </si>
  <si>
    <t>[Goulet, Pauline; Swift, Rene; Johnson, Mark] Univ St Andrews, Sea Mammal Res Unit, St Andrews KY16 8LB, Fife, Scotland; [Guinet, Christophe] CNRS, Ctr Etudes Biol Chize, F-79360 Villiers En Bois, France; [Madsen, Peter T.; Johnson, Mark] Aarhus Univ, Dept Biosci, Zoophysiol, CF Moellers Alle 3,Bldg 1131, DK-8000 Aarhus C, Denmark</t>
  </si>
  <si>
    <t>University of St Andrews; Centre National de la Recherche Scientifique (CNRS); Aarhus University</t>
  </si>
  <si>
    <t>Johnson, M (corresponding author), Univ St Andrews, Sea Mammal Res Unit, St Andrews KY16 8LB, Fife, Scotland.</t>
  </si>
  <si>
    <t>mj26@st-andrews.ac.uk</t>
  </si>
  <si>
    <t>Guinet, Christophe/AAR-8457-2020; Madsen, Peter T./K-5832-2013</t>
  </si>
  <si>
    <t>Goulet, Pauline/0000-0001-6801-1695; Johnson, Mark/0000-0001-8424-3197; Madsen, Peter T./0000-0002-5208-5259</t>
  </si>
  <si>
    <t>Carlsberg Foundation (PI PT Madsen); CNES-TOSCA program; French Polar Institute as part of the Cycle Eleph Programme [1201]; Next Generation Unmanned Systems Science (NEXUSS); National Environmental Research Council doctoral training programme; Marine Alliance for Science and Technology Scotland (MASTS); Marie Curie Sklodowska Career Integration Grant; MASTS; Aarhus University</t>
  </si>
  <si>
    <t>Carlsberg Foundation (PI PT Madsen); CNES-TOSCA program(Centre National D'etudes Spatiales); French Polar Institute as part of the Cycle Eleph Programme; Next Generation Unmanned Systems Science (NEXUSS); National Environmental Research Council doctoral training programme; Marine Alliance for Science and Technology Scotland (MASTS); Marie Curie Sklodowska Career Integration Grant; MASTS; Aarhus University</t>
  </si>
  <si>
    <t>Development of the sonar was supported by a Semper Ardens grant from the Carlsberg Foundation (PI PT Madsen) and from the CNES-TOSCA program (elephant seals as bio-samplers of biological fields in relation to in situ oceanographic conditions (PI C Guinet). Fieldwork in Kerguelen was supported by the French Polar Institute as part of the Cycle Eleph Programme (No 1201, PI. C Gilbert). PG was supported by the Next Generation Unmanned Systems Science (NEXUSS), a National Environmental Research Council doctoral training programme, and the Marine Alliance for Science and Technology Scotland (MASTS). MJ was supported by a Marie Curie Sklodowska Career Integration Grant, by MASTS, and by a visiting Professor scholarship at Aarhus University. I Staniland (BAS), J Kunzmann (Smart Material GmbH), B Limouzy (IPEV), S Fielding (BAS) and P Tyack (Univ. St Andrews) provided insightful advice. The Kerguelen fieldwork team 2017-2018 are gratefully acknowledged for deployment and recovery of tags as are G Melo-Santos for the elephant seal line drawing, S Balfour for mechanical fabrication, and E Terray for initial encouragement. Sonar testing was aided by the Fjord &amp; Baelt Centre, Denmark.</t>
  </si>
  <si>
    <t>10.1016/j.dsr.2019.04.007</t>
  </si>
  <si>
    <t>IH2LT</t>
  </si>
  <si>
    <t>WOS:000474327000001</t>
  </si>
  <si>
    <t>Schmid, F; Peters, M; Walter, M; Devey, C; Petersen, S; Yeo, I; Köhler, J; Jamieson, JW; Walker, S; Sültenfuss, J</t>
  </si>
  <si>
    <t>Schmid, Florian; Peters, Maike; Walter, Maren; Devey, Colin; Petersen, Sven; Yeo, Isobel; Koehler, Janna; Jamieson, John W.; Walker, Sharon; Sueltenfuss, Juergen</t>
  </si>
  <si>
    <t>Physico-chemical properties of newly discovered hydrothermal plumes above the Southern Mid-Atlantic Ridge (13°-33°S)</t>
  </si>
  <si>
    <t>Southern mid-atlantic ridge; Mid-ocean ridges; Hydrothermal plumes; Helium-3; Vent fauna biogeography</t>
  </si>
  <si>
    <t>HELIUM-ISOTOPES; MASSIVE SULFIDES; VENT FIELD; OCEAN; NEON; HE-3; BIOGEOGRAPHY; SEPARATION; DISPERSAL; EVOLUTION</t>
  </si>
  <si>
    <t>The oceanic crust is initially cooled and deep-sea chemosynthetic ecosystems are largely fed by hydrothermal circulation and venting on the seafloor. Much of this venting takes place at mid-ocean ridges and in order to make realistic models of the crusts thermal budget and to understand chemosynthetic biogeography it is important to have a detailed inventory of vent sites. Until recently, a major gap in this inventory was the Mid-Atlantic Ridge south of 13 degrees S, a key region for vent fauna biogeography as it is the corridor linking the Atlantic to the Indian and Pacific Oceans. In spring 2013 we systematically surveyed the axial region between 13 degrees S and 33 degrees S for hydrothermal signals in the water column, using turbidity, oxidation-reduction-potential (ORP) and noble gases as indicators. Standard conductivity-temperature-depth (CTD) rosette water-sampler deployments were complimented by a novel autonomous underwater vehicle (AUV) deployment strategy, in which the AUV made single-pass, segment-scale (up to 100 km long) dives close to the seafloor to detect small vents. The ca. 2100 km-long survey covered 16 ridge segments and we identified previously unknown hydrothermal plumes above ten segments that point to 14 new hydrothermal vent fields. The majority of plumes are located at high-relief segment centers, where magmatism is robust. A wide gap in the distribution of vents in the 19 degrees S-23 degrees S region coincides with the Rio de Janeiro Transform, the maximum southward progression of North Atlantic Deep Waters and the maximum northwards extent of He-3-enriched waters with Pacific origins. Crossflowing currents in the transform and the large gap between adjacent vents may prevent a meridional connection between the vent fauna communities in the North Atlantic and along the Antarctic Ridges. This makes the region a prime target for future biogeographical studies.</t>
  </si>
  <si>
    <t>[Schmid, Florian; Walter, Maren; Koehler, Janna] Univ Bremen, Ctr Marine Environm Sci, MARUM, Bremen, Germany; [Schmid, Florian; Devey, Colin; Petersen, Sven] Helmholtz Ctr Ocean Res Kiel, GEOMAR, Kiel, Germany; [Peters, Maike; Walter, Maren; Koehler, Janna; Sueltenfuss, Juergen] Univ Bremen, Inst Environm Phys, IUP, Bremen, Germany; [Peters, Maike] Carl von Ossietzky Univ Oldenburg, Inst Chem &amp; Biol Marine Environm Carl von Ossiet, ICBM, Oldenburg, Germany; [Yeo, Isobel] Natl Oceanog Ctr Southampton, Southampton, Hants, England; [Jamieson, John W.] Mem Univ Newfoundland, St John, NF, Canada; [Walker, Sharon] NOAA, Pacific Marine Environm Lab, 7600 Sand Point Way Ne, Seattle, WA 98115 USA</t>
  </si>
  <si>
    <t>University of Bremen; Helmholtz Association; GEOMAR Helmholtz Center for Ocean Research Kiel; University of Bremen; Carl von Ossietzky Universitat Oldenburg; University of Southampton; NERC National Oceanography Centre; Memorial University Newfoundland; National Oceanic Atmospheric Admin (NOAA) - USA</t>
  </si>
  <si>
    <t>Schmid, F (corresponding author), Helmholtz Ctr Ocean Res Kiel, GEOMAR, Kiel, Germany.</t>
  </si>
  <si>
    <t>fschmid@geomar.de</t>
  </si>
  <si>
    <t>Jamieson, John W/J-9440-2013; Petersen, Sven/N-9528-2016; Devey, Colin/I-3898-2016</t>
  </si>
  <si>
    <t>Schmid, Florian/0000-0001-9921-7397; Peters, Maike/0000-0002-9274-0676; Petersen, Sven/0000-0002-5469-105X; Devey, Colin/0000-0002-0930-7274</t>
  </si>
  <si>
    <t>DFG Cluster of Excellence Der Ozean im Erdsystem' at the University of Bremen [49926684]; DFG [WA 2556/4]; NERC [noc010011] Funding Source: UKRI</t>
  </si>
  <si>
    <t>DFG Cluster of Excellence Der Ozean im Erdsystem' at the University of Bremen; DFG(German Research Foundation (DFG)); NERC(UK Research &amp; Innovation (UKRI)Natural Environment Research Council (NERC))</t>
  </si>
  <si>
    <t>We acknowledge the captain and crew of RV Maria S. Merian expedition MSM-25. We are especially grateful to the GEOMAR AUV team and all other scientists of expedition MSM-25 for their contributions at sea. M. P. thanks O. Huhn for helpful advice on noble gas related matters. All data presented in this paper will be available via the PANGAEA earth data publisher (https://pangaea.de). MAPRs were kindly provided by the NOAA vents program and the ORP sensor for the AUV was kindly provided by Ko-ichi Nakamura (AIST, Japan). We acknowledge the inputs of two anonymous reviewers. Figures were created with the GMT software (Wessel et al., 2013). F. S. was funded through the DFG Cluster of Excellence Der Ozean im Erdsystem' at the University of Bremen, grant no. 49926684. M.W. was supported by DFG grant WA 2556/4. This is PMEL contribution 4920.</t>
  </si>
  <si>
    <t>10.1016/j.dsr.2019.04.010</t>
  </si>
  <si>
    <t>WOS:000474327000004</t>
  </si>
  <si>
    <t>Schlosser, C; Karstensen, J; Woodward, EMS</t>
  </si>
  <si>
    <t>Schlosser, Christian; Karstensen, Johannes; Woodward, E. Malcolm S.</t>
  </si>
  <si>
    <t>Distribution of dissolved and leachable particulate Pb in the water column along the GEOTRACES section GA10 in the South Atlantic</t>
  </si>
  <si>
    <t>Lead (Pb); Trace metals; GEOTRACES; South Atlantic; Biogeochemical cycles</t>
  </si>
  <si>
    <t>NORTH-ATLANTIC; LEAD CONCENTRATIONS; COASTAL SEDIMENTS; METAL POLLUTION; INDUSTRIAL LEAD; INDIAN-OCEAN; TRACE-METALS; ISOTOPES; SEA; CIRCULATION</t>
  </si>
  <si>
    <t>We measured concentrations of dissolved and leachable particulate lead in the water column along a 40 degrees S zonal transect in the South Atlantic Ocean, as part of the international GEOTRACES section GA10. Dissolved Pb (DPb) concentrations were highest in surface waters (8-29 pmol L-1) and lowest near the sea floor (&lt; 5 pmol L-1). Estimates for mineral sourced DPb for the South Atlantic surface ocean yielded a concentration of 5 +/- 1 pmol L-1, suggesting that about 59% of the 12 +/- 2 pmol L-1 (n = 85) DPb present in today's South Atlantic surface ocean has come from anthropogenic sources. Available values for wet deposition of 14 +/- 12 nmol Pb m(-2) d(-1) (Chance et al., 2015) allow the calculation of an average residence time of 35 +/- 31 days for DPb in the South Atlantic surface ocean. Elevated concentrations of LpPb, reaching 28 pmol L-1, were restricted to turbid bottom waters on the South American shelf and in the Argentine Basin, suggesting that strong turbulent mixing and resuspension of sediments was the main source of this Pb fraction. A negative linear regression between LpPb and DPb in these turbid waters indicated that the main removal mechanism for DPb in bottom waters on the shallow South American shelf and in nepheloid layers in the abyssal planes of the Argentine basin was the scavenging of DPb onto the surfaces of resuspended sediment particles. Elevated DPb concentrations in surface waters near the South African (23 +/- 3 pmol L-1 (n = 22)), and South American (18 +/- 3 pmol L-1 (n = 14)), continental margins coincided with the position and extension of the Agulhas (AC) and Brazil Current (BC). Elevated DPb concentrations of 12 +/- 1 pmol L-1 (n = 30) at depth in the Argentine Basin (the western basin of the 40 degrees S transect) coincided with the spreading of North Atlantic Deep Water (NADW) in the depth range of 1750 to 3000 m. Lowest DPb concentrations of 5 1 (n = 26) and 6 +/- 1 pmol L-1 (n = 22) corresponded with Weddell Sea Deep Water and Antarctic Bottom Water, located below NADW in the Argentine and Cape Basins (the eastern basin of the 40 degrees S transect).</t>
  </si>
  <si>
    <t>[Schlosser, Christian; Karstensen, Johannes] GEOMAR Helmhollz, Ctr Ocean Res Kiel, Wischhofstr 1-3, D-24148 Kiel, Germany; [Woodward, E. Malcolm S.] Plymouth Marine Lab, Prospect Pl, Plymouth PL1 3DH, Devon, England</t>
  </si>
  <si>
    <t>Plymouth Marine Laboratory</t>
  </si>
  <si>
    <t>Schlosser, C (corresponding author), GEOMAR Helmhollz, Ctr Ocean Res Kiel, Wischhofstr 1-3, D-24148 Kiel, Germany.</t>
  </si>
  <si>
    <t>cschlosser@geomar.de</t>
  </si>
  <si>
    <t>Woodward, Ernest M S/D-5755-2016; Karstensen, Johannes/A-8534-2013</t>
  </si>
  <si>
    <t>Karstensen, Johannes/0000-0001-5044-7079</t>
  </si>
  <si>
    <t>NERC [NE/H004394/1]; NERC [NE/H004394/1, NE/H004289/1] Funding Source: UKRI</t>
  </si>
  <si>
    <t>We would like to thank captain and crew of RRS Discovery and RRS James Cook. In addition, we thank chief scientist Gideon Henderson, the other participants of both cruises, especially the CTD deployment and sampling party, Maeve Lohan and Angie Milne, and the two independent reviewers. The work was supported by NERC funding NE/H004394/1.</t>
  </si>
  <si>
    <t>10.1016/j.dsr.2019.05.001</t>
  </si>
  <si>
    <t>WOS:000474327000012</t>
  </si>
  <si>
    <t>Oakes, RL; Peck, VL; Manno, C; Bralower, TJ</t>
  </si>
  <si>
    <t>Oakes, R. L.; Peck, V. L.; Manno, C.; Bralower, T. J.</t>
  </si>
  <si>
    <t>Degradation of Internal Organic Matter is the Main Control on Pteropod Shell Dissolution After Death</t>
  </si>
  <si>
    <t>pteropods; carbonate chemistry; aragonite; decay; taphonomy; dissolution</t>
  </si>
  <si>
    <t>HOLOPLANKTONIC MOLLUSCA GASTROPODA; CARBON-DIOXIDE; LIMACINA-HELICINA; CALCIUM-CARBONATE; CACO3 DISSOLUTION; LATE QUATERNARY; SEA-WATER; ARAGONITE; OCEAN; PRESERVATION</t>
  </si>
  <si>
    <t>The potential for preservation of thecosome pteropods is thought to be largely governed by the chemical stability of their delicate aragonitic shells in seawater. However, sediment trap studies have found that significant carbonate dissolution can occur above the carbonate saturation horizon. Here we present the results from experiments conducted on two cruises to the Scotia Sea to directly test whether the breakdown of the organic pteropod body influences shell dissolution. We find that on the timescales of 3 to 13 days, the oxidation of organic matter within the shells of dead pteropods is a stronger driver of shell dissolution than thearagonite saturation state of seawater. Three to four days after death, shells became milky white and nanoscanning electron microscope images reveal smoothing of internal surface features and increased shell porosity, both indicative of aragonite dissolution. These findings have implications for the interpretation of the condition of pteropod shells from sediment traps and the fossil record, as well as for understanding the processes controlling particulate carbonate export from the surface ocean.</t>
  </si>
  <si>
    <t>[Oakes, R. L.; Bralower, T. J.] Penn State Univ, Dept Geosci, University Pk, PA 16802 USA; [Oakes, R. L.] Drexel Univ, Acad Nat Sci, Philadelphia, PA 19104 USA; [Peck, V. L.; Manno, C.] British Antarctic Survey, Cambridge, England</t>
  </si>
  <si>
    <t>Pennsylvania Commonwealth System of Higher Education (PCSHE); Pennsylvania State University; Pennsylvania State University - University Park; Drexel University; UK Research &amp; Innovation (UKRI); Natural Environment Research Council (NERC); NERC British Antarctic Survey</t>
  </si>
  <si>
    <t>Oakes, RL (corresponding author), Penn State Univ, Dept Geosci, University Pk, PA 16802 USA.;Oakes, RL (corresponding author), Drexel Univ, Acad Nat Sci, Philadelphia, PA 19104 USA.</t>
  </si>
  <si>
    <t>roakes@drexel.edu</t>
  </si>
  <si>
    <t>Bralower, Timothy/0000-0002-3503-859X; Oakes, Rosie/0000-0001-8380-2049</t>
  </si>
  <si>
    <t>Ellis L. Yochelson Award; Hiroshi and Koya Ohmoto Graduate Student Fellowship; Alley Family Graduate Scholarship; Deike Research Fellowship; NERC [bas0100035, bas0100030] Funding Source: UKRI</t>
  </si>
  <si>
    <t>Ellis L. Yochelson Award; Hiroshi and Koya Ohmoto Graduate Student Fellowship; Alley Family Graduate Scholarship; Deike Research Fellowship; NERC(UK Research &amp; Innovation (UKRI)Natural Environment Research Council (NERC))</t>
  </si>
  <si>
    <t>The authors declare no conflicts of interest. The data presented in the figures are available in the supporting information. The reconstructed CT data are available on Dryad doi: 10.5061/dryad. 8ts30t5. This work was carried out as part of the Ecosystems programme at the British Antarctic Survey. The authors would like to thank the crew and scientists of cruises JR271 and JR15002 for making the sample collection and decay experiments possible. Thanks to J. Urbanski, W. Yetter, and the team at GE in Lewistown, PA, for help with CT scanning and to J. Anderson and W. Auker from the MCL lab at Penn State for help with the SEM. Thanks to M. Humphreys for help with carbonate chemistry calculations, J. Gardner for the carbonate chemistry measurement for the 3.5-day decay experiment, and S. Sandrini for help with carbonate chemistry analysis for the 13-day decay experiment. The authors thank one anonymous reviewer whose comments helped to improve the quality of the manuscript. R. L. O. received funding from the Ellis L. Yochelson Award, the Hiroshi and Koya Ohmoto Graduate Student Fellowship, and the Alley Family Graduate Scholarship to support this work. R. L. O. and T. J. B. received funding from the Deike Research Fellowship.</t>
  </si>
  <si>
    <t>10.1029/2019GB006223</t>
  </si>
  <si>
    <t>IH9PN</t>
  </si>
  <si>
    <t>WOS:000474839000007</t>
  </si>
  <si>
    <t>Foley, N; Tulaczyk, SM; Grombacher, D; Doran, PT; Mikucki, J; Myers, KF; Foged, N; Dugan, H; Auken, E; Virginia, R</t>
  </si>
  <si>
    <t>Foley, Neil; Tulaczyk, Slawek M.; Grombacher, Denys; Doran, Peter T.; Mikucki, Jill; Myers, Krista F.; Foged, Nikolaj; Dugan, Hilary; Auken, Esben; Virginia, Ross</t>
  </si>
  <si>
    <t>Evidence for Pathways of Concentrated Submarine Groundwater Discharge in East Antarctica from Helicopter-Borne Electrical Resistivity Measurements</t>
  </si>
  <si>
    <t>HYDROLOGY</t>
  </si>
  <si>
    <t>subglacial; Antarctica time-domain electromagnetics; submarine groundwater discharge; resistivity</t>
  </si>
  <si>
    <t>MCMURDO DRY VALLEYS; SOUTHERN-OCEAN; PHYTOPLANKTON BLOOMS; TAYLOR GLACIER; ICE-STREAM; IRON; BENEATH; NUTRIENTS; WATER; SEA</t>
  </si>
  <si>
    <t>The Southern Ocean receives limited liquid surface water input from the Antarctic continent. It has been speculated, however, that significant liquid water may flow from beneath the Antarctic Ice Sheet, and that this subglacial flow carries that water along with dissolved nutrients to the coast. The delivery of solutes, particularly limiting nutrients like bioavailable iron, to the Southern Ocean may contribute to ecosystem processes including primary productivity. Using a helicopter-borne time domain electromagnetic survey along the coastal margins of the McMurdo Dry Valleys region of Southern Victoria Land, Antarctica, we detected subsurface connections between inland lakes, aquifers, and subglacial waters. These waters, which appear as electrically conductive anomalies, are saline and may contain high concentrations of biologically important ions, including iron and silica. Local hydraulic gradients may drive these waters to the coast, where we postulate they emerge as submarine groundwater discharge. This high latitude groundwater system, imaged regionally in the McMurdo Dry Valleys, may be representative of a broader system of Antarctic submarine groundwater discharge that fertilizes the Southern Ocean. In total, it has the potential to deliver tens of gigagrams of bioavailable Fe and Si to the coastal zone.</t>
  </si>
  <si>
    <t>[Foley, Neil; Tulaczyk, Slawek M.] Univ Calif Santa Cruz, Dept Earth &amp; Planetary Sci, Santa Cruz, CA 95061 USA; [Grombacher, Denys; Foged, Nikolaj; Auken, Esben] Aarhus Univ, Dept Geosci, DK-8000 Midtjylland, Denmark; [Doran, Peter T.; Myers, Krista F.] Louisiana State Univ, Geol &amp; Geophys, Baton Rouge, LA 70803 USA; [Mikucki, Jill] Univ Tennessee, Dept Microbiol, Knoxville, TN 37996 USA; [Dugan, Hilary] Univ Wisconsin, Ctr Limnol, Madison, WI 53706 USA; [Virginia, Ross] Dartmouth Coll, Environm Studies Program, Hanover, NH 03755 USA</t>
  </si>
  <si>
    <t>University of California System; University of California Santa Cruz; Aarhus University; Louisiana State University System; Louisiana State University; University of Tennessee System; University of Tennessee Knoxville; University of Wisconsin System; University of Wisconsin Madison; Dartmouth College</t>
  </si>
  <si>
    <t>Foley, N (corresponding author), Univ Calif Santa Cruz, Dept Earth &amp; Planetary Sci, Santa Cruz, CA 95061 USA.</t>
  </si>
  <si>
    <t>ntfoley@ucsc.edu; stulaczy@ucsc.edu; denys.grombacher@geo.au.dk; pdoran@lsu.edu; jmikucki@utk.edu; kristafmyers@gmail.com; nikolaj.foged@geo.au.dk; hdugan@wisc.edu; esben.auken@geo.au.dk; ross.a.virginia@dartmouth.edu</t>
  </si>
  <si>
    <t>; Tulaczyk, Slawek/O-7375-2018; Auken, Esben/G-8036-2012</t>
  </si>
  <si>
    <t>Foged, Nikolaj/0000-0001-8029-6849; Tulaczyk, Slawek/0000-0002-9711-4332; Auken, Esben/0000-0002-5397-4832; Virginia, Ross/0000-0002-0890-0981</t>
  </si>
  <si>
    <t>National Science Foundation [1643687, 1644187]</t>
  </si>
  <si>
    <t>This research was funded by National Science Foundation Grant numbers 1643687 and 1644187.</t>
  </si>
  <si>
    <t>2306-5338</t>
  </si>
  <si>
    <t>HYDROLOGY-BASEL</t>
  </si>
  <si>
    <t>Hydrology</t>
  </si>
  <si>
    <t>10.3390/hydrology6020054</t>
  </si>
  <si>
    <t>IH1JU</t>
  </si>
  <si>
    <t>WOS:000474247900026</t>
  </si>
  <si>
    <t>Zhao, B; Zhang, B; Shi, CX; Liu, JW; Jiang, LP</t>
  </si>
  <si>
    <t>Zhao, Bin; Zhang, Bo; Shi, Chunxiang; Liu, Jingwei; Jiang, Lipeng</t>
  </si>
  <si>
    <t>Comparison of the Global Energy Cycle between Chinese Reanalysis Interim and ECMWF Reanalysis</t>
  </si>
  <si>
    <t>JOURNAL OF METEOROLOGICAL RESEARCH</t>
  </si>
  <si>
    <t>global energy cycle; transient waves; conversion terms; Chinese Reanalysis Interim (CRAI); ECMWF Reanalysis version 5 (ERA5)</t>
  </si>
  <si>
    <t>ENERGETICS</t>
  </si>
  <si>
    <t>The global energy cycle is a diagnostic metric widely used to gauge the quality of datasets. In this paper, the Mixed Space-Time Domain method for diagnosis of energy cycle is evaluated by using newly developed datasets-the Chinese Reanalysis Interim (CRAI) and ECMWF Reanalysis version 5 (ERA5), over a 7-yr period (2010-16) on seasonal and monthly timescales. The results show that the energy components calculated from the two reanalysis datasets are highly consistent; however, some components in the global energy integral from CRAI are slightly larger than those from ERA5. The main discrepancy in the energy components stems from the conversion of baroclinic process, whereas the dominant difference originates from the conversion from stationary eddy available potential energy to stationary eddy kinetic energy (CES), which is caused by systematic differences in the temperature and vertical velocity in low-mid latitudes of the Northern Hemisphere and near the Antarctic, where there exist complex terrains. Furthermore, the monthly analysis reveals that the general discrepancy in the temporal variation between the two datasets also lie mainly in the CES as well as corresponding generation and dissipation rates.</t>
  </si>
  <si>
    <t>[Zhao, Bin; Zhang, Bo] China Meteorol Adm, Natl Meteorol Ctr, Beijing 100081, Peoples R China; [Zhao, Bin] China Meteorol Adm, Numer Weather Predict Ctr, Beijing 100081, Peoples R China; [Shi, Chunxiang; Liu, Jingwei; Jiang, Lipeng] China Meteorol Adm, Natl Meteorol Informat Ctr, Beijing 100081, Peoples R China</t>
  </si>
  <si>
    <t>China Meteorological Administration; China Meteorological Administration; China Meteorological Administration</t>
  </si>
  <si>
    <t>Zhang, B (corresponding author), China Meteorol Adm, Natl Meteorol Ctr, Beijing 100081, Peoples R China.</t>
  </si>
  <si>
    <t>zhangb81@yeah.net</t>
  </si>
  <si>
    <t>China Meteorological Administration (CMA) Special Public Welfare Research Fund [GYHY201506002]; National Key Research and Development Program of China [2017YFA0604500]; CMA Special Project for Developing Key Techniques for Operational Meteorological Forecast [YBGJXM201706]; National Natural Science Foundation of China [41305091]</t>
  </si>
  <si>
    <t>China Meteorological Administration (CMA) Special Public Welfare Research Fund; National Key Research and Development Program of China; CMA Special Project for Developing Key Techniques for Operational Meteorological Forecast; National Natural Science Foundation of China(National Natural Science Foundation of China (NSFC))</t>
  </si>
  <si>
    <t>Supported by the China Meteorological Administration (CMA) Special Public Welfare Research Fund (GYHY201506002), National Key Research and Development Program of China (2017YFA0604500), CMA Special Project for Developing Key Techniques for Operational Meteorological Forecast (YBGJXM201706), and National Natural Science Foundation of China (41305091).</t>
  </si>
  <si>
    <t>2095-6037</t>
  </si>
  <si>
    <t>2198-0934</t>
  </si>
  <si>
    <t>J METEOROL RES-PRC</t>
  </si>
  <si>
    <t>J. Meteorol. Res.</t>
  </si>
  <si>
    <t>10.1007/s13351-019-8129-7</t>
  </si>
  <si>
    <t>IH4FA</t>
  </si>
  <si>
    <t>WOS:000474446000014</t>
  </si>
  <si>
    <t>Zhang, CR; Zhang, J</t>
  </si>
  <si>
    <t>Zhang, Chongran; Zhang, Jing</t>
  </si>
  <si>
    <t>Modeling Study of Foehn Wind Events in Antarctic Peninsula with WRF Forced by CCSM (vol 33, pg 576, 2019)</t>
  </si>
  <si>
    <t>[Zhang, Chongran; Zhang, Jing] North Carolina A&amp;T State Univ, Appl Sci &amp; Technol Program, Greensboro, NC 27411 USA; [Zhang, Jing] North Carolina A&amp;T State Univ, Dept Phys, Greensboro, NC 27411 USA</t>
  </si>
  <si>
    <t>University of North Carolina; North Carolina A&amp;T State University; University of North Carolina; North Carolina A&amp;T State University</t>
  </si>
  <si>
    <t>Zhang, CR (corresponding author), North Carolina A&amp;T State Univ, Appl Sci &amp; Technol Program, Greensboro, NC 27411 USA.</t>
  </si>
  <si>
    <t>czhang@aggies.ncat.edu</t>
  </si>
  <si>
    <t>Zhang, Chongran/GWQ-6559-2022; Zhang, Jing/B-3465-2009</t>
  </si>
  <si>
    <t>10.1007/s13351-019-8067-4</t>
  </si>
  <si>
    <t>WOS:000474446000015</t>
  </si>
  <si>
    <t>Temperoni, B; Massa, A; Viñas, MD</t>
  </si>
  <si>
    <t>Temperoni, Brenda; Massa, Agueda; Delia Vinas, Maria</t>
  </si>
  <si>
    <t>Fatty acids composition as an indicator of food intake in Merluccius hubbsi larvae</t>
  </si>
  <si>
    <t>JOURNAL OF THE MARINE BIOLOGICAL ASSOCIATION OF THE UNITED KINGDOM</t>
  </si>
  <si>
    <t>Copepods; fatty acids; larvae; Merluccius hubbsi</t>
  </si>
  <si>
    <t>TROPHIC MARKERS; LIPID BIOMARKERS; ANTARCTIC KRILL; PHYTOPLANKTON; BIODIVERSITY; ZOOPLANKTON; MICROALGAE; ARGENTINA; ESTUARY; GROWTH</t>
  </si>
  <si>
    <t>Fatty acids (FA) analysis is a well-established approach for qualitatively studying feeding preferences. In the Argentinean Continental Shelf, Argentine hake Merluccius hubbsi supports the major demersal finfish fishery. The Patagonian stock of the species spawns and nurses in austral summer in the north Patagonian shelf (NPS, 43 degrees-45 degrees 30 ' S). Previous studies about larval feeding in the NPS have solely focused on gut contents, indicating selectivity upon calanoid copepods. Hence, our main objective was to apply the FA approach to confirm and/or broaden M. hubbsi larval food selection. Hake larvae and copepod FA profiles overlapped significantly, dominated by the saturated FA 16:0, the monounsaturated FAs 18:1n-9 and 22:1n-9, and the polyunsaturated FA 22:6n-3. Moreover, identified markers typical of bacteria (15:0, 17:0) and dinoflagellates (18:4n-3, 22:6n-3) suggest a microbial input at the base of the NPS food web, with the latter probably acting as an intermediate step between bacteria and hake larvae. Possible direct predation upon protozoans by larvae is postulated, broadening the known trophic spectrum derived from classical diet analyses. The FA approach allowed us to clarify feeding preferences in the NPS, with data being relevant in the context of hake recruitment studies.</t>
  </si>
  <si>
    <t>[Temperoni, Brenda; Massa, Agueda; Delia Vinas, Maria] Univ Natl Mar del Plata, Fac Ciencias Exactas &amp; Nat, IIMyC, CONICET, Rodriguez Pena 4046,B7602GSD, Mar Del Peata, Argentina; [Temperoni, Brenda; Massa, Agueda; Delia Vinas, Maria] Inst Natl Invest &amp; Desarrollo Pesquero INIDEP, Paseo Victoria Ocampo 1,B7602HSA, Mar Del Peata, Argentina</t>
  </si>
  <si>
    <t>National University of Mar del Plata; Consejo Nacional de Investigaciones Cientificas y Tecnicas (CONICET); National Fisheries Research &amp; Development Institute (INIDEP)</t>
  </si>
  <si>
    <t>Temperoni, B (corresponding author), Univ Natl Mar del Plata, Fac Ciencias Exactas &amp; Nat, IIMyC, CONICET, Rodriguez Pena 4046,B7602GSD, Mar Del Peata, Argentina.;Temperoni, B (corresponding author), Inst Natl Invest &amp; Desarrollo Pesquero INIDEP, Paseo Victoria Ocampo 1,B7602HSA, Mar Del Peata, Argentina.</t>
  </si>
  <si>
    <t>btemperoni@inidep.edu.ar</t>
  </si>
  <si>
    <t>Massa, Agueda Elena/HKF-2208-2023</t>
  </si>
  <si>
    <t>Consejo Nacional de Investigaciones Cientificas y Tecnicas (CONICET) [PIP 112-20110100892]; Agencia Nacional de Promocion Cientifica y Tecnologica (ANPCyT) [PICT 2013-1484]; Universidad Nacional de Mar del Plata (UNMdP) [15/E667, 15/E572]</t>
  </si>
  <si>
    <t>Consejo Nacional de Investigaciones Cientificas y Tecnicas (CONICET)(Consejo Nacional de Investigaciones Cientificas y Tecnicas (CONICET)); Agencia Nacional de Promocion Cientifica y Tecnologica (ANPCyT)(ANPCyTSpanish Government); Universidad Nacional de Mar del Plata (UNMdP)(National University of La Plata)</t>
  </si>
  <si>
    <t>This study was partially supported by funds from the Consejo Nacional de Investigaciones Cientificas y Tecnicas (CONICET) PIP 112-20110100892 and doctoral fellowships granted to BT, Agencia Nacional de Promocion Cientifica y Tecnologica (ANPCyT) PICT 2013-1484, and Universidad Nacional de Mar del Plata (UNMdP) Projects 15/E667 and 15/E572. This is Instituto Nacional de Investigacion y Desarrollo Pesquero (INIDEP) contribution no 2136.</t>
  </si>
  <si>
    <t>0025-3154</t>
  </si>
  <si>
    <t>1469-7769</t>
  </si>
  <si>
    <t>J MAR BIOL ASSOC UK</t>
  </si>
  <si>
    <t>J. Mar. Biol. Assoc. U.K.</t>
  </si>
  <si>
    <t>10.1017/S002531541800070X</t>
  </si>
  <si>
    <t>IH9OF</t>
  </si>
  <si>
    <t>WOS:000474835600030</t>
  </si>
  <si>
    <t>Yan, Q; Wei, T; Zhang, ZS; Jiang, NX</t>
  </si>
  <si>
    <t>Yan, Qing; Wei, Ting; Zhang, Zhongshi; Jiang, Nanxuan</t>
  </si>
  <si>
    <t>Orbitally Induced Variation of Tropical Cyclone Genesis Potential Over the Western North Pacific During the Mid-Piacenzian Warm Period: A Modeling Perspective</t>
  </si>
  <si>
    <t>ANTARCTIC ICE-SHEET; PLIOCENE SEA-LEVEL; CLIMATE VARIABILITY; INDEX; SENSITIVITY; MONSOON; SIMULATIONS; INTENSITY; EVOLUTION; EUSTASY</t>
  </si>
  <si>
    <t>The mid-Piacenzian (3.264 to 3.025 Ma) is the most recent warmer-than-present interval in the geological past, with clear orbital-scale variability in climate and environments. However, it remains unclear how the orbitally induced climate change may regulate the behavior of tropical cyclones (TC5). Here we use a fully coupled climate model to examine the response of TC genesis potential to different orbital configurations specific to the mid-Piacenzian time slab. Under the Pliocene Research, Interpretation, and Synoptic Mapping version 3 boundary conditions that use modern orbital configurations, our results show that environmental conditions in the mid-Piacenzian are less favorable for storm formation over the western North Pacific than the preindustrial. By performing a suite of sensitivity experiments, we find that orbital configurations significantly influence the magnitude and phase of genesis potential via the modification of the atmospheric thermal structure and associated large-scale circulations. Regarding the overall favorability, increased and decreased orbitally induced insolation leads to less and more favorable conditions for storm formation over the western North Pacific, respectively. Under several extreme orbital parameters (e.g., when northern hemisphere summer insolation is at a minimum), there is an increasing favorability for genesis in the mid-Piacenzian relative to the preindustrial. This is attributed to the fact that the orbitally induced increase in TC genesis exceeds the reduction from the Pliocene Research, Interpretation, and Synoptic Mapping version 3 boundary conditions. Our results highlight potential orbital-scale variability in TC activity during the mid-Piacenzian, implying possible changes in TC-induced vertical mixing, which might play a potential role in regulating the orbital-scale variation of tropical/global climate during the Pliocene.</t>
  </si>
  <si>
    <t>[Yan, Qing; Jiang, Nanxuan] Chinese Acad Sci, Nansen Zhu Int Res Ctr, Inst Atmospher Phys, Beijing, Peoples R China; [Yan, Qing] Chinese Acad Sci, CAS Ctr Excellence Tibetan Plateau Earth Sci, Beijing, Peoples R China; [Wei, Ting] Chinese Acad Meteorol Sci, State Key Lab Severe Weather, Beijing, Peoples R China; [Zhang, Zhongshi] China Univ Geosci, Sch Environm Studies, Dept Atmospher Sci, Wuhan, Hubei, Peoples R China; [Zhang, Zhongshi] Bjerknes Ctr Climate Res, Uni Res Climate, Bergen, Norway</t>
  </si>
  <si>
    <t>Chinese Academy of Sciences; Institute of Atmospheric Physics, CAS; Chinese Academy of Sciences; China Meteorological Administration; Chinese Academy of Meteorological Sciences (CAMS); China University of Geosciences; Bjerknes Centre for Climate Research</t>
  </si>
  <si>
    <t>Yan, Q (corresponding author), Chinese Acad Sci, Nansen Zhu Int Res Ctr, Inst Atmospher Phys, Beijing, Peoples R China.;Yan, Q (corresponding author), Chinese Acad Sci, CAS Ctr Excellence Tibetan Plateau Earth Sci, Beijing, Peoples R China.</t>
  </si>
  <si>
    <t>yanqing@mail.iap.ac.cn</t>
  </si>
  <si>
    <t>Yan, Qing/K-4625-2019; zhang, zhi/HPH-4905-2023; Zhang, Zhongshi/ADE-5510-2022; Zhang, zs/GXN-3521-2022</t>
  </si>
  <si>
    <t>Yan, Qing/0000-0001-5299-7824; Zhang, Zhongshi/0000-0002-2354-1622;</t>
  </si>
  <si>
    <t>National Natural Science Foundation of China [41772179, 41472160]; Youth Innovation Promotion Association by CAS [2019080]; Thousand Talents Program for Distinguished Young Scholars; Young Elite Scientists Sponsorship Program by CAST [2017QNRC001]</t>
  </si>
  <si>
    <t>National Natural Science Foundation of China(National Natural Science Foundation of China (NSFC)); Youth Innovation Promotion Association by CAS; Thousand Talents Program for Distinguished Young Scholars; Young Elite Scientists Sponsorship Program by CAST</t>
  </si>
  <si>
    <t>We thank R. Zhang for kindly providing the outputs of the PI and MP runs. We thank Chris Brierley and the anonymous reviewer for the constructive and helpful comments on an earlier draft of this manuscript. The PRISM3 boundary conditions are available at http://geology.er.usgs.gov/egpsc/prism/prism_1_23/prism_pliomip_data.html.The La04 astronomical solutions for Earth paleoclimates are available at http://vo.imcce.fr/insola/earth/online/earth/earth.html.The simulated TC genesis potential over the WNP used here is available at https://zenodo.org/record/2614350. This study was jointly funded by the National Natural Science Foundation of China (41772179 and 41472160), the Youth Innovation Promotion Association by CAS (2019080), Thousand Talents Program for Distinguished Young Scholars (for Z.S. Zhang), and the Young Elite Scientists Sponsorship Program by CAST (2017QNRC001).</t>
  </si>
  <si>
    <t>10.1029/2018PA003535</t>
  </si>
  <si>
    <t>IH9YX</t>
  </si>
  <si>
    <t>WOS:000474863700001</t>
  </si>
  <si>
    <t>Bengtson, SA; Meissner, KJ; Menviel, L; Sisson, SA; Wilkin, J</t>
  </si>
  <si>
    <t>Bengtson, Shannon A.; Meissner, Katrin J.; Menviel, Laurie; Sisson, Scott A.; Wilkin, John</t>
  </si>
  <si>
    <t>Evaluating the Extent of North Atlantic Deep Water and the Mean Atlantic δ13C From Statistical Reconstructions</t>
  </si>
  <si>
    <t>ATMOSPHERIC CARBON-DIOXIDE; SEA-ICE; OCEAN CIRCULATION; CLIMATE; ISOTOPE; MODEL; C-13; CONSTRAINTS; CALIBRATION; DYNAMICS</t>
  </si>
  <si>
    <t>Benthic delta C-13 is often used to infer past changes in ocean circulation, though the interpretation of this proxy is difficult due to data scarcity and uncertainties. We present two methods for reconstructing the delta C-13 signal of North Atlantic Deep Water (NADW) and Antarctic Bottom Water and calculating the average oceanic delta C-13 values for the Atlantic Ocean based on delta C-13 from benthic foraminifera. The two simple statistical models are described and tested for the Holocene and the Last Glacial Maximum. The first statistical model consists of regressions of the delta C-13 data, which vary quadratically with depth and linearly with latitude. It differentiates between two regions, one for NADW and another for Antarctic Bottom Water. The second method consists of a hyperbolic tangent regression, which is bound asymptotically by the water mass source region averages (end-members). To test the robustness of the statistical models, two isotope-enabled climate models, the UVic ESCM and LOVECLIM, are sampled randomly, generating pseudoproxies. These are then used for testing the accuracy of the statistical models against the complete climate model delta C-13 outputs. We quantitatively compare the average delta C-13 and NADW depth against the original climate model outputs. We find that both statistical approaches are robust, regardless of the spatial distribution of the pseudoproxies, with the quadratic approach better able to capture the shape of NADW delta C-13 signal. Hence, this method can potentially be applied to different delta C-13 data sets to evaluate past changes in NADW.</t>
  </si>
  <si>
    <t>[Bengtson, Shannon A.; Meissner, Katrin J.; Menviel, Laurie] Univ New South Wales, Climate Change Res Ctr, Sydney, NSW, Australia; [Bengtson, Shannon A.; Meissner, Katrin J.; Menviel, Laurie; Sisson, Scott A.] Australian Res Council, Ctr Excellence Climate Extremes, Sydney, NSW, Australia; [Sisson, Scott A.] Univ New South Wales, Sch Math &amp; Stat, Sydney, NSW, Australia; [Sisson, Scott A.] Australian Res Council, Ctr Excellence Math &amp; Stat Frontiers, Sydney, NSW, Australia; [Wilkin, John] Rutgers State Univ, Dept Marine &amp; Coastal Sci, New Brunswick, NY USA</t>
  </si>
  <si>
    <t>University of New South Wales Sydney; University of New South Wales Sydney</t>
  </si>
  <si>
    <t>Bengtson, SA (corresponding author), Univ New South Wales, Climate Change Res Ctr, Sydney, NSW, Australia.;Bengtson, SA (corresponding author), Australian Res Council, Ctr Excellence Climate Extremes, Sydney, NSW, Australia.</t>
  </si>
  <si>
    <t>s.bengtson@unsw.edu.au</t>
  </si>
  <si>
    <t>Wilkin, John L/E-5343-2011; Menviel, Laurie/D-6902-2013</t>
  </si>
  <si>
    <t>Meissner, Katrin/0000-0002-0716-7415; Bengtson, Shannon/0000-0001-7263-7594; Wilkin, John/0000-0002-5444-9466; Menviel, Laurie/0000-0002-5068-1591</t>
  </si>
  <si>
    <t>Australian Government Research Training Program Scholarship; Australian Research Council [DE150100107, DP180100048, CE140100049]; Merit Allocation Scheme; Intersect allocation scheme; UNSW HPC at NCI Scheme; Australian Research Council [DE150100107] Funding Source: Australian Research Council</t>
  </si>
  <si>
    <t>Australian Government Research Training Program Scholarship(Australian GovernmentDepartment of Industry, Innovation and Science); Australian Research Council(Australian Research Council); Merit Allocation Scheme; Intersect allocation scheme; UNSW HPC at NCI Scheme; Australian Research Council(Australian Research Council)</t>
  </si>
  <si>
    <t>Shannon Bengtson acknowledges funding from the Australian Government Research Training Program Scholarship. Laurie Menviel, Katrin Meissner, and Scott Sisson acknowledge funding from the Australian Research Council grants DE150100107 (to Laurie Menviel), DP180100048 (to Katrin Meissner and Laurie Menviel), and CE140100049 (to Scott Sisson). We thank Andreas Schmittner for providing the delta13C enabled UVic ESCM version. Computational resources were provided by the NCI National Facility at the Australian National University, through awards under the Merit Allocation Scheme, the Intersect allocation scheme, and the UNSW HPC at NCI Scheme. The code that was developed for our approach will be made publicly available on GitHub.</t>
  </si>
  <si>
    <t>10.1029/2019PA003589</t>
  </si>
  <si>
    <t>WOS:000474863700009</t>
  </si>
  <si>
    <t>Nair, A; Mohan, R; Crosta, X; Manoj, MC; Thamban, M; Marieu, V</t>
  </si>
  <si>
    <t>Nair, Abhilash; Mohan, Rahul; Crosta, Xavier; Manoj, M. C.; Thamban, Meloth; Marieu, Vincent</t>
  </si>
  <si>
    <t>Southern Ocean sea ice and frontal changes during the Late Quaternary and their linkages to Asian summer monsoon</t>
  </si>
  <si>
    <t>Antarctica; Diatom; Polar front; Teleconnection; Indian Ocean; Agulhas</t>
  </si>
  <si>
    <t>LAST GLACIAL MAXIMUM; DIATOM FRAGILARIOPSIS-KERGUELENSIS; MILLENNIAL-SCALE; ARABIAN SEA; CLIMATE VARIABILITY; INDIAN SECTOR; NEW-ZEALAND; ATLANTIC; PRODUCTIVITY; RECORD</t>
  </si>
  <si>
    <t>The present study documents the interactions between Southern Hemisphere high-latitude (Antarctica &amp; Southern Ocean), southern Indian Ocean subtropics (Agulhas leakage) and Asian summer monsoon. The study uses SST and sea-ice reconstructions along with diatom absolute abundances and diatom biometry from two sediment cores located at the Subantarctic Front (SAF) and Antarctic Polar Front (APF) in the southwest Indian sector of the Southern Ocean. Sea-ice records suggest the presence of the mean winter sea ice limit at around the modern APF location during MIS 2 and MIS 4 and episodic and unconsolidated winter sea ice far north as similar to 43 degrees S during LGM, when the SSTs were lowest. Higher diatom productivity and larger mean sizes of E kerguelensis and T lentiginosa recorded at the northern core site during the glacial stages suggest a northward shift of the APF. A decrease in diatom productivity and sizes at the southern core site highlights stratified Permanent Open Ocean Zone (POOZ) surface waters in response to longer sea-ice presence during the glacial stages. The comparative study between the records of Southern Hemisphere high-latitude and Asian summer monsoon climate variability revealed that the Asian summer monsoon variability could have been more likely forced by low latitude insolation gradient changes and supported by Antarctic climate changes via meridional shifts of the fronts and sea ice. The past changes in the intensity of Asian summer monsoon along with the Southern Ocean frontal variation might have influenced the Southern Indian Ocean surface circulation by changing the Agulhas leakage intensity. (C) 2019 Elsevier Ltd. All rights reserved.</t>
  </si>
  <si>
    <t>[Nair, Abhilash; Mohan, Rahul; Thamban, Meloth] Natl Ctr Polar &amp; Ocean Res, ESSO, Vasco Da Gama, Goa, India; [Crosta, Xavier; Marieu, Vincent] Univ Bordeaux, EPOC, UMR 5805, Pessac, France; [Manoj, M. C.] Birbal Sahni Inst Paleosci, Lucknow, Uttar Pradesh, India</t>
  </si>
  <si>
    <t>Ministry of Earth Sciences (MoES) - India; National Centre for Polar and Ocean Research (NCPOR); Earth System Science Organization (ESSO); Centre National de la Recherche Scientifique (CNRS); CNRS - National Institute for Earth Sciences &amp; Astronomy (INSU); Universite de Bordeaux; Department of Science &amp; Technology (India); Birbal Sahni Institute of Palaeobotany (BSIP)</t>
  </si>
  <si>
    <t>Nair, A (corresponding author), Natl Ctr Polar &amp; Ocean Res, ESSO, Vasco Da Gama, Goa, India.</t>
  </si>
  <si>
    <t>abhi00777@gmail.com</t>
  </si>
  <si>
    <t>Manoj, M C/AAR-1882-2020</t>
  </si>
  <si>
    <t>Manoj, M C/0000-0001-8112-6315; Thamban, Meloth/0000-0003-3379-8189</t>
  </si>
  <si>
    <t>ESSO-NCPOR, Ministry of Earth Sciences (MoES), India; SCAR</t>
  </si>
  <si>
    <t>We wish to thank the Director, ESSO-NCPOR, Ministry of Earth Sciences (MoES), India, for providing the funds for the research program at NCPOR. We would also like to express our gratitude toward the members of the pilot expedition to the Southern Ocean and Polar Micropaleontology and Past Climate Section, NCPOR for the contributions made toward this study. Also thanks to SCAR visiting Professor Scheme 2018 for funding Xavier Crosta for his visit to NCPOR, India. This is NCPOR contribution number J - 01/2019-20.</t>
  </si>
  <si>
    <t>JUN 1</t>
  </si>
  <si>
    <t>10.1016/J.quascirev.2019.04.007</t>
  </si>
  <si>
    <t>IH7GI</t>
  </si>
  <si>
    <t>WOS:000474671600005</t>
  </si>
  <si>
    <t>Torre, G; Gaiero, DM; Sawakuchi, AO; del Río, I; Coppo, R</t>
  </si>
  <si>
    <t>Torre, Gabriela; Gaiero, Diego M.; Sawakuchi, Andre Oliveira; del Rio, Ian; Coppo, Renata</t>
  </si>
  <si>
    <t>Revisiting the chronology and environmental conditions for the accretion of late Pleistocene-early Holocene Pampean loess (Argentina)</t>
  </si>
  <si>
    <t>Quaternary; South America; Pampas; Palaeoclimatology; Loess; Optically stimulated luminescence dating (OSL); Mass accumulation rate (MAR)</t>
  </si>
  <si>
    <t>SOUTHERN BOLIVIAN ALTIPLANO; LAST GLACIAL MAXIMUM; IR IRSL SIGNAL; ANDEAN PIEDMONT; SINGLE-ALIQUOT; ATMOSPHERIC CIRCULATION; ORBITAL TIMESCALES; NORTHERN PAMPA; CLIMATE-CHANGE; CHINESE LOESS</t>
  </si>
  <si>
    <t>The present research work reviews the age models of three previously studied loess sections across 700 km in the loess belt of the Pampean region in central Argentina. The loess sections were investigated for the first time through high-resolution luminescence dating in order to determine the chronology of the loess deposits and its temporal correlation with important palaeoclimatic records of the Southern Hemisphere. Reliable estimations of mass accumulation rates (MARS) for loess were used to infer the temporal dust flux variation during the last glacial/interglacial transition in southern South America. The new age models have significant differences compared to the previously published ones of likely Last Glacial Maximum (LGM) ages. The three studied sections showed general bimodal grain-size distributions consistent with multiple sources contributing dust to the Pampas. It is observed that higher MARS values are associated with an increased presence of finer loess. Increases in loess accumulation are coeval with climatic transitions from wetter to drier periods in the Puna-Altiplano Plateau, and high MARS are related to synchronous climatic shifts to humid conditions in the Pampean plain. Contrasting with dust fluxes observed in the more distal palaeoarchives (i.e., the South Atlantic Ocean and the Antarctic ice sheet) the new data suggest increased dust accumulation in the Pampas during the Antarctic Cold Reversal (ACR) and the Holocene. This supports the idea that changes related to atmospheric transport efficiency can better explain dust flux variations observed over glacial/interglacial periods in distant palaeoarchives. (C) 2019 Elsevier Ltd. All rights reserved.</t>
  </si>
  <si>
    <t>[Torre, Gabriela; Gaiero, Diego M.; Coppo, Renata] Consejo Nacl Invest Cient &amp; Tecn, CICTERRA, Fac Ciencias Exactas Fis &amp; Nat, Av Velez Sarfield 1611, Cordoba, Argentina; [Sawakuchi, Andre Oliveira] Univ Sao Paulo, Inst Geociencias, Rua Lago 562, BR-05508080 Sao Paulo, SP, Brazil; [del Rio, Ian] Univ Catolica Norte, Dept Ciencias Geol, Av Angamos, Antofagasta 0610, Chile</t>
  </si>
  <si>
    <t>Consejo Nacional de Investigaciones Cientificas y Tecnicas (CONICET); National University of Cordoba; Universidade de Sao Paulo; Universidad Catolica del Norte</t>
  </si>
  <si>
    <t>Gaiero, DM (corresponding author), Consejo Nacl Invest Cient &amp; Tecn, CICTERRA, Fac Ciencias Exactas Fis &amp; Nat, Av Velez Sarfield 1611, Cordoba, Argentina.;Torre, G (corresponding author), Av Velez Sarfield 1611,X5016GCA, Cordoba, Argentina.</t>
  </si>
  <si>
    <t>gabrielatorre@unc.edu.ar; diego.gaiero@unc.edu.ar</t>
  </si>
  <si>
    <t>Sawakuchi, André O/D-1445-2013; del Rio, Ian/AAE-2679-2021; del Rio, Ian/T-6065-2019; Sawakuchi, Andre/AAE-8328-2019</t>
  </si>
  <si>
    <t>del Rio, Ian/0000-0002-4782-5443; Sawakuchi, Andre/0000-0001-5016-2428; Torre, Gabriela/0000-0002-1985-1775; Gaiero, Diego Marcelo/0000-0003-1029-2265</t>
  </si>
  <si>
    <t>SECyT-UNC, FONCyT [PICT 0525]; ECOS-MINCyT; CONICET-CNRS; Conselho Nacional de Desenvolvimento Cientifico e Tecnologico (CNPq) [304727/2017-2]</t>
  </si>
  <si>
    <t>SECyT-UNC, FONCyT; ECOS-MINCyT; CONICET-CNRS; Conselho Nacional de Desenvolvimento Cientifico e Tecnologico (CNPq)(Conselho Nacional de Desenvolvimento Cientifico e Tecnologico (CNPQ))</t>
  </si>
  <si>
    <t>This work was financially supported by SECyT-UNC, FONCyT (PICT 0525). It was also partly supported by the ECOS-MINCyT and CONICET-CNRS projects. We thank E. Piovano, J. Sanabria, G. Arguello, D. Krohling and M. Zarate for the helpful information for sampling the different loess sites. Andre Sawakuchi is supported by Conselho Nacional de Desenvolvimento Cientifico e Tecnologico (CNPq, grant 304727/2017-2). We also acknowledge the contribution of the editor and two anonymous reviewers that greatly helped to improve the manuscript.</t>
  </si>
  <si>
    <t>10.1016/j.quascirev.2019.04.018</t>
  </si>
  <si>
    <t>WOS:000474671600006</t>
  </si>
  <si>
    <t>Thorndycraft, VR; Bendle, JM; Matthews, IP; Palmer, AP; Benito, G; Davies, BJ; Sancho, C; Pike, JH; Martin, JRV; Fabel, D; MediaIdea, A</t>
  </si>
  <si>
    <t>Thorndycraft, Varyl R.; Bendle, Jacob M.; Matthews, Ian P.; Palmer, Adrian P.; Benito, Gerardo; Davies, Bethan J.; Sancho, Carlos; Pike, Joshua H.; Martin, Julian R. V.; Fabel, Derek; Medialdea, Alicia</t>
  </si>
  <si>
    <t>Reply to comments by Bourgois et al. (2019) on: Glacial lake evolution and Atlantic-Pacific drainage reversals during deglaciation of the Patagonia Ice Sheet</t>
  </si>
  <si>
    <t>ANTARCTIC COLD REVERSAL; LAGO BUENOS-AIRES; GEOMORPHIC RECORDS; CLIMATE INFERENCES; NORTHERN PATAGONIA; YOUNGER DRYAS; SOUTH-AMERICA; CHRONOLOGY; ARGENTINA; 46-DEGREES-48-DEGREES-S</t>
  </si>
  <si>
    <t>[Thorndycraft, Varyl R.; Bendle, Jacob M.; Matthews, Ian P.; Palmer, Adrian P.; Davies, Bethan J.; Pike, Joshua H.; Martin, Julian R. V.] Royal Holloway Univ London, Dept Geog, Ctr Quaternary Res, Egham TW20 0EX, Surrey, England; [Benito, Gerardo] CSIC, Museo Nacl Ciencias Nat, E-28006 Madrid, Spain; [Sancho, Carlos] Univ Zaragoza, Dept Earth Sci, E-50009 Zaragoza, Spain; [Fabel, Derek] Univ Glasgow, SUERC, Glasgow, Lanark, Scotland; [Medialdea, Alicia] Univ Cologne, Inst Geog, D-50674 Cologne, Germany</t>
  </si>
  <si>
    <t>University of London; Royal Holloway University London; Consejo Superior de Investigaciones Cientificas (CSIC); CSIC - Museo Nacional de Ciencias Naturales (MNCN); University of Zaragoza; Scottish Universities Research &amp; Reactor Center; University of Glasgow; University of Cologne</t>
  </si>
  <si>
    <t>Thorndycraft, VR (corresponding author), Royal Holloway Univ London, Dept Geog, Ctr Quaternary Res, Egham TW20 0EX, Surrey, England.</t>
  </si>
  <si>
    <t>Varyl.Thorndycraft@rhul.ac.uk</t>
  </si>
  <si>
    <t>Benito, Gerardo/E-5456-2013; Medialdea, Alicia/S-1424-2019; Fabel, Derek/A-2999-2010; Davies, Bethan/KFR-3266-2024</t>
  </si>
  <si>
    <t>Benito, Gerardo/0000-0003-0724-1790; Medialdea, Alicia/0000-0001-5895-0736; Davies, Bethan/0000-0002-8636-1813; Bendle, Jacob/0000-0002-3572-7192; Matthews, Ian/0000-0002-1642-7346; Pike, Joshua H./0000-0001-9259-9265</t>
  </si>
  <si>
    <t>10.1016/j.quascirev.2019.04.005</t>
  </si>
  <si>
    <t>WOS:000474671600012</t>
  </si>
  <si>
    <t>Golovin, PN; Antipov, NN; Klepikov, AV</t>
  </si>
  <si>
    <t>Golovin, P. N.; Antipov, N. N.; Klepikov, A., V</t>
  </si>
  <si>
    <t>Mechanisms of Deep and Bottom Water Ventilation over the Antarctic Continental Slope</t>
  </si>
  <si>
    <t>RUSSIAN METEOROLOGY AND HYDROLOGY</t>
  </si>
  <si>
    <t>Antarctic continental slope; ventilation of deep and bottom water; downslope cascading; instability of density flows on a sloping bottom</t>
  </si>
  <si>
    <t>SHELF; SEA</t>
  </si>
  <si>
    <t>Actual in situ observations at the Antarctic continental slope performed with eddy-resolving spatial resolution were used. As a result, some parameterizations were verified that describe the processes of instability of density flows on a sloping bottom derived during the laboratory experiments. These processes were identified based on observational data. Any changes in the bottom slope (local or general, linked to the transition of the steep slope into the deep-sea floor) lead to changes in the regime of dense water runoff. The resulting hydraulic jumps lead to the turbulent mixing and function as one of the main mechanisms of ventilation of deep and bottom water. In the areas of local bottom rubs, disturbances like leeward waves are sometimes observed at the dense water top. They cause the intrusive layering and subsequent occurrence of turbulence centers in the slope area; the eddy lenses which also take part in the slope water ventilation are sometimes observed over bottom rubs. A strong baroclinity of the Antarctic slope front (ASF) in a steep part of the slope is another mechanism of deep water ventilation. It leads to the instability of cascading, subsequent intrusive layering and eddy formation. The baroclinic instability is amplified by the increased dynamics of dense water runoff at the bottom slope increase. However, the realization of shear instability at density interface is possible but at the smaller spatial scale than the instability scales observed in the ASF area.</t>
  </si>
  <si>
    <t>[Golovin, P. N.; Antipov, N. N.; Klepikov, A., V] Arctic &amp; Antarctic Res Inst, Ul Beringa 38, St Petersburg 199397, Russia</t>
  </si>
  <si>
    <t>Golovin, PN (corresponding author), Arctic &amp; Antarctic Res Inst, Ul Beringa 38, St Petersburg 199397, Russia.</t>
  </si>
  <si>
    <t>golovin@aari.nw.ru</t>
  </si>
  <si>
    <t>Russian Foundation [17-05-00037 A]</t>
  </si>
  <si>
    <t>Russian Foundation(Russian Foundation for Basic Research (RFBR))</t>
  </si>
  <si>
    <t>The present research was supported by the Russian Foundation for Basic Research (grant 17-05-00037 A)</t>
  </si>
  <si>
    <t>PLEIADES PUBLISHING INC</t>
  </si>
  <si>
    <t>MOSCOW</t>
  </si>
  <si>
    <t>PLEIADES PUBLISHING INC, MOSCOW, 00000, RUSSIA</t>
  </si>
  <si>
    <t>1068-3739</t>
  </si>
  <si>
    <t>1934-8096</t>
  </si>
  <si>
    <t>RUSS METEOROL HYDRO+</t>
  </si>
  <si>
    <t>Russ. Meteorol. Hydrol.</t>
  </si>
  <si>
    <t>10.3103/S1068373919060050</t>
  </si>
  <si>
    <t>IH4HO</t>
  </si>
  <si>
    <t>WOS:000474452700005</t>
  </si>
  <si>
    <t>Frankfurter, G; Beltran, RS; Hoard, M; Burns, JM</t>
  </si>
  <si>
    <t>Frankfurter, Greg; Beltran, Roxanne S.; Hoard, Matthew; Burns, Jennifer M.</t>
  </si>
  <si>
    <t>Rapid prototyping and 3D printing of antarctic seal flipper tags</t>
  </si>
  <si>
    <t>WILDLIFE SOCIETY BULLETIN</t>
  </si>
  <si>
    <t>3D design; Antarctica; biologging; Leptonychotes weddellii; McMurdo Sound; rapid prototyping; tagging; Weddell seal</t>
  </si>
  <si>
    <t>Recent miniaturization of biologging devices has enabled widespread efforts to document the vertical and horizontal movements of pinnipeds; however, the attachment methods have been slower to evolve. We used rapid prototyping to develop a novel, adaptable flipper tag that could be used to deploy a biologging tag on seals that would remain attached through the annual molt cycle. The prototype flipper tag was designed using three-dimensional (3D) modeling software and produced using 3D printing. Two tags were deployed on adult, female Weddell seals (Leptonychotes weddellii) in McMurdo Sound, Antarctica, during the Austral Summer 2015. One animal did not return to the study area. The other tag was successfully recovered after 341 days. Upon tag removal, the flipper holes were well-healed with no evidence of pressure necrosis or irritation. This tag will provide opportunities to gain insight about animal behaviors during the annual molt, when annual hair loss precludes instrument attachment by glue. The rapid expansion of 3D printing design, material, and manufacturing tools has enabled the development of new tools for wildlife studies. (c) 2019 The Wildlife Society.</t>
  </si>
  <si>
    <t>[Frankfurter, Greg] Univ Calif Davis, Karen C Drayer Wildlife Hlth Ctr, Davis, CA 95616 USA; [Frankfurter, Greg] Vet Med Dept, Wildlife Hlth &amp; Technol Grp, Davis, CA 95616 USA; [Beltran, Roxanne S.] Univ Alaska Fairbanks, Dept Biol &amp; Wildlife, Fairbanks, AK 99775 USA; [Beltran, Roxanne S.; Hoard, Matthew] Univ Alaska Anchorage, Dept Biol Sci, Anchorage, AK 99504 USA; [Beltran, Roxanne S.; Burns, Jennifer M.] Marine Mammal Ctr, Sausalito, CA 95616 USA; [Hoard, Matthew] Calif Acad Sci, San Francisco, CA 94118 USA</t>
  </si>
  <si>
    <t>University of California System; University of California Davis; University of Alaska System; University of Alaska Fairbanks; University of Alaska System; University of Alaska Anchorage; California Academy of Sciences</t>
  </si>
  <si>
    <t>Frankfurter, G (corresponding author), Univ Calif Davis, Karen C Drayer Wildlife Hlth Ctr, Davis, CA 95616 USA.;Frankfurter, G (corresponding author), Vet Med Dept, Wildlife Hlth &amp; Technol Grp, Davis, CA 95616 USA.</t>
  </si>
  <si>
    <t>gfrankfurter@ucdavis.edu</t>
  </si>
  <si>
    <t>Burns, Jennifer/AAC-8243-2019</t>
  </si>
  <si>
    <t>Burns, Jennifer/0000-0001-9652-2943</t>
  </si>
  <si>
    <t>National Science Foundation United States Antarctic Program, Lockheed Martin Antarctic Support Contract; [ANT-1246463]</t>
  </si>
  <si>
    <t>National Science Foundation United States Antarctic Program, Lockheed Martin Antarctic Support Contract;</t>
  </si>
  <si>
    <t>We thank the B-009-M field team led by Drs. R. Garrott and J. Rotella for their help with animal identification, and the B-292-M field team led by J.M.B for assistance with handling procedures. Thank you to Associate Editor E. Glenn for editorial review and comments, and to T. Boal and J. Wallace for thoughtful advice and comments, and to the reviewers for their feedback and critique. This project was made possible by logistical support provided by the National Science Foundation United States Antarctic Program, Lockheed Martin Antarctic Support Contract, and support staff in Christchurch, New Zealand, and McMurdo Station. This study was conducted with financial support from ANT-1246463 to J.M.B. and J.W. Testa. This material is based upon work completed while serving at the National Science Foundation (J.M.B). Any opinion, findings, and conclusions or recommendations expressed in this material are those of the authors and do not necessarily reflect the views of the National Science Foundation. The authors state no conflict of interest regarding the material contained within this paper.</t>
  </si>
  <si>
    <t>1938-5463</t>
  </si>
  <si>
    <t>WILDLIFE SOC B</t>
  </si>
  <si>
    <t>Wildl. Soc. Bull.</t>
  </si>
  <si>
    <t>10.1002/wsb.964</t>
  </si>
  <si>
    <t>Biodiversity Conservation</t>
  </si>
  <si>
    <t>Biodiversity &amp; Conservation</t>
  </si>
  <si>
    <t>IH1WF</t>
  </si>
  <si>
    <t>WOS:000474283400014</t>
  </si>
  <si>
    <t>Bracegirdle, TJ; Colleoni, F; Abram, NJ; Bertler, NAN; Dixon, DA; England, M; Favier, V; Fogwill, CJ; Fyfe, JC; Goodwin, I; Goosse, H; Hobbs, W; Jones, JM; Keller, ED; Khan, AL; Phipps, SJ; Raphael, MN; Russell, J; Sime, L; Thomas, ER; van den Broeke, MR; Wainer, I</t>
  </si>
  <si>
    <t>Bracegirdle, Thomas J.; Colleoni, Florence; Abram, Nerilie J.; Bertler, Nancy A. N.; Dixon, Daniel A.; England, Mark; Favier, Vincent; Fogwill, Chris J.; Fyfe, John C.; Goodwin, Ian; Goosse, Hugues; Hobbs, Will; Jones, Julie M.; Keller, Elizabeth D.; Khan, Alia L.; Phipps, Steven J.; Raphael, Marilyn N.; Russell, Joellen; Sime, Louise; Thomas, Elizabeth R.; van den Broeke, Michiel R.; Wainer, Ilana</t>
  </si>
  <si>
    <t>Back to the Future: Using Long-Term Observational and Paleo-Proxy Reconstructions to Improve Model Projections of Antarctic Climate</t>
  </si>
  <si>
    <t>Antarctic; Southern Ocean; climate; paleoclimate; CMIP; PMIP; projections</t>
  </si>
  <si>
    <t>SOUTHERN ANNULAR MODE; SURFACE MASS-BALANCE; LAST GLACIAL MAXIMUM; SEA-ICE RESPONSE; EXPERIMENTAL-DESIGN; AMUNDSEN SEA; TEMPERATURE RECONSTRUCTIONS; HEMISPHERE CIRCULATION; SCIENTIFIC OBJECTIVES; PMIP4 CONTRIBUTION</t>
  </si>
  <si>
    <t>Quantitative estimates of future Antarctic climate change are derived from numerical global climate models. Evaluation of the reliability of climate model projections involves many lines of evidence on past performance combined with knowledge of the processes that need to be represented. Routine model evaluation is mainly based on the modern observational period, which started with the establishment of a network of Antarctic weather stations in 1957/58. This period is too short to evaluate many fundamental aspects of the Antarctic and Southern Ocean climate system, such as decadal-to-century time-scale climate variability and trends. To help address this gap, we present a new evaluation of potential ways in which long-term observational and paleo-proxy reconstructions may be used, with a particular focus on improving projections. A wide range of data sources and time periods is included, ranging from ship observations of the early 20(th) century to ice core records spanning hundreds to hundreds of thousands of years to sediment records dating back 34 million years. We conclude that paleo-proxy records and long-term observational datasets are an underused resource in terms of strategies for improving Antarctic climate projections for the 21(st) century and beyond. We identify priorities and suggest next steps to addressing this.</t>
  </si>
  <si>
    <t>[Bracegirdle, Thomas J.; Sime, Louise; Thomas, Elizabeth R.] British Antarctic Survey, Cambridge CB3 0ET, England; [Colleoni, Florence] Ist Nazl Oceanog &amp; Geofis Sperimentale, I-34010 Sgonico, TS, Italy; [Abram, Nerilie J.] Australian Natl Univ, Res Sch Earth Sci, Canberra, ACT 2601, Australia; [Abram, Nerilie J.] Australian Natl Univ, ARC Ctr Excellence Climate Extremes, Canberra, ACT 2601, Australia; [Bertler, Nancy A. N.] Victoria Univ Wellington, Antarctic Res Ctr, Wellington 6140, New Zealand; [Dixon, Daniel A.] Univ Maine, Climate Change Inst, Orono, ME 04469 USA; [England, Mark] Columbia Univ, Appl Phys &amp; Appl Math Dept, New York, NY 10027 USA; [Favier, Vincent] Univ Grenoble Alpes, IGE, CNRS, F-38000 Grenoble, France; [Fogwill, Chris J.] Keele Univ, Sch Geog Geol &amp; Environm, Keele ST5 5BG, Staffs, England; [Fyfe, John C.] Environm &amp; Climate Change Canada, Canadian Ctr Climate Modelling &amp; Anal, Victoria, BC V8W 2Y2, Canada; [Goodwin, Ian] Macquarie Univ, Marine Climate Risk Grp, Dept Environm Sci, 12 Wallys Walk, Sydney, NSW 2109, Australia; [Goosse, Hugues] Catholic Univ Louvain, Earth &amp; Life Inst, B-1348 Louvain La Neuve, Belgium; [Hobbs, Will] Univ Tasmania, ACE CRC, Hobart, Tas 7001, Australia; [Jones, Julie M.] Univ Sheffield, Dept Geog, Sheffield S10 2TN, S Yorkshire, England; [Keller, Elizabeth D.] GNS Sci, 30 Gracefield Rd,Gracefield 5010,POB 31-312, Lower Hutt 5040, New Zealand; [Khan, Alia L.] Western Washington Univ, Dept Environm Sci, Bellingham, WA 98225 USA; [Phipps, Steven J.] Univ Tasmania, Inst Marine &amp; Antarctic Studies, Hobart, Tas 7001, Australia; [Raphael, Marilyn N.] Univ Calif Los Angeles, Dept Geog, Los Angeles, CA 90024 USA; [Russell, Joellen] Univ Arizona, Dept Geosci, Tucson, AZ 85721 USA; [van den Broeke, Michiel R.] Univ Utrecht, Inst Marine &amp; Atmospher Res, NL-3584 CC Utrecht, Netherlands; [Wainer, Ilana] Univ Sao Paulo, Oceanog Inst, BR-05508120 Sao Paulo, Brazil</t>
  </si>
  <si>
    <t>UK Research &amp; Innovation (UKRI); Natural Environment Research Council (NERC); NERC British Antarctic Survey; Istituto Nazionale di Oceanografia e di Geofisica Sperimentale; Australian National University; Australian National University; Victoria University Wellington; University of Maine System; University of Maine Orono; Columbia University; Communaute Universite Grenoble Alpes; Universite Grenoble Alpes (UGA); Centre National de la Recherche Scientifique (CNRS); Keele University; Environment &amp; Climate Change Canada; Canadian Centre for Climate Modelling &amp; Analysis (CCCma); Macquarie University; Universite Catholique Louvain; Antarctic Climate &amp; Ecosystems Cooperative Research Centre (ACE CRC); University of Tasmania; University of Sheffield; GNS Science - New Zealand; Western Washington University; University of Tasmania; University of California System; University of California Los Angeles; University of Arizona; Utrecht University; Universidade de Sao Paulo</t>
  </si>
  <si>
    <t>Bracegirdle, TJ (corresponding author), British Antarctic Survey, Cambridge CB3 0ET, England.</t>
  </si>
  <si>
    <t>tjbra@bas.ac.uk; fcolleoni@inogs.it; nerilie.abram@anu.edu.au; nancy.bertler@vuw.ac.nz; daniel.dixon@maine.edu; markengland20@gmail.com; vincent.favier@univ-grenoble-alpes.fr; c.j.fogwill@keele.ac.uk; john.fyfe@canada.ca; ian.goodwin@mq.edu.au; hugues.goosse@uclouvain.be; whobbs@utas.edu.au; julie.jones@sheffield.ac.uk; L.Keller@gns.cri.nz; alia.khan@wwu.edu; Steven.Phipps@utas.edu.au; raphael@geog.ucla.edu; jrussell@email.arizona.edu; lsim@bas.ac.uk; lith@bas.ac.uk; m.r.vandenbroeke@uu.nl; wainer@usp.br</t>
  </si>
  <si>
    <t>Bertler, Nancy A N/F-3967-2011; Fogwill, Christopher/HPF-1150-2023; Keller, Elizabeth Diane/GLN-5354-2022; Hobbs, Will/P-8094-2019; Sime, Louise/AAX-7730-2021; Colleoni, Florence/JMQ-7847-2023; Phipps, Steven J/B-3135-2008; England, Mark/AAI-5481-2020; Bracegirdle, Tom/AAD-6060-2020; Fogwill, Chris/AAW-3502-2021; Thomas, Elizabeth Ruth/ADF-3660-2022; IPO, PAGES/JXY-7546-2024; Van den Broeke, Michiel R./F-7867-2011; Keller, Elizabeth D/O-1520-2013; Abram, Nerilie/AAT-5171-2021; WAINER, ILANA/B-4540-2011; Favier, Vincent/T-1936-2017</t>
  </si>
  <si>
    <t>Hobbs, Will/0000-0002-2061-0899; Sime, Louise/0000-0002-9093-7926; Colleoni, Florence/0000-0003-4582-812X; England, Mark/0000-0003-3882-872X; Fogwill, Chris/0000-0002-6471-1106; Thomas, Elizabeth Ruth/0000-0002-3010-6493; Van den Broeke, Michiel R./0000-0003-4662-7565; Abram, Nerilie/0000-0003-1246-2344; Bertler, Nancy/0000-0001-6028-4891; WAINER, ILANA/0000-0003-3784-623X; Favier, Vincent/0000-0001-6024-9498; Goodwin, Ian/0000-0001-8682-6409; Bracegirdle, Thomas/0000-0002-8868-4739; Russell, Joellen/0000-0001-9937-6056; Khan, Alia/0000-0002-4425-1528</t>
  </si>
  <si>
    <t>Antarctic Climate Change in the 21st Century (AntClim21) Scientific Research Programme of the Scientific Committee on Antarctic Research; PAGES 2k Network (through the CLIVASH 2k project); Australian Research Council through a Future Fellowship [FT160100029]; Centre of Excellence for Climate Extremes [CE170100023]; Australian Research Council's Special Research Initiative for the Antarctic Gateway Partnership [SR140300001]; Leverhulme Trust [RF-2018-183]; PNRA national Italian projects [PNRA16_00016, PNRA_00002]; Natural Environment Research Council (NERC), British Antarctic Survey Polar Science for Planet Earth Programme; NERC [NE/N01829X/1]; FAPESP [2015/50686-1]; Coordenacao de Aperfeicoamento de Pessoal de Nivel Superior - Brasil (CAPES) [001]; CNPq [300970/2018-8]; CNPq INCT Criosfera [704222/2009]; NERC [bas0100032, bas0100034] Funding Source: UKRI</t>
  </si>
  <si>
    <t>Antarctic Climate Change in the 21st Century (AntClim21) Scientific Research Programme of the Scientific Committee on Antarctic Research; PAGES 2k Network (through the CLIVASH 2k project); Australian Research Council through a Future Fellowship(Australian Research Council); Centre of Excellence for Climate Extremes; Australian Research Council's Special Research Initiative for the Antarctic Gateway Partnership(Australian Research Council); Leverhulme Trust(Leverhulme Trust); PNRA national Italian projects; Natural Environment Research Council (NERC), British Antarctic Survey Polar Science for Planet Earth Programme; NERC(UK Research &amp; Innovation (UKRI)Natural Environment Research Council (NERC)); FAPESP(Fundacao de Amparo a Pesquisa do Estado de Sao Paulo (FAPESP)); Coordenacao de Aperfeicoamento de Pessoal de Nivel Superior - Brasil (CAPES)(Coordenacao de Aperfeicoamento de Pessoal de Nivel Superior (CAPES)); CNPq(Conselho Nacional de Desenvolvimento Cientifico e Tecnologico (CNPQ)); CNPq INCT Criosfera; NERC(UK Research &amp; Innovation (UKRI)Natural Environment Research Council (NERC))</t>
  </si>
  <si>
    <t>The Antarctic Climate Change in the 21st Century (AntClim21) Scientific Research Programme of the Scientific Committee on Antarctic Research are thanked for supporting the international scientific workshop at which the writing of this manuscript was initiated. This is a contribution to the PAGES 2k Network (through the CLIVASH 2k project). NJA acknowledges support by the Australian Research Council through a Future Fellowship (FT160100029) and the Centre of Excellence for Climate Extremes (CE170100023). SJP was supported under the Australian Research Council's Special Research Initiative for the Antarctic Gateway Partnership (Project ID SR140300001). JMJ acknowledges support from the Leverhulme Trust through a Research Fellowship (RF-2018-183). FC acknowledges support from the PNRA national Italian projects PNRA16_00016, WHISPERS and project PNRA_00002, ANTIPODE. TJB, LS, and ERT were supported by the Natural Environment Research Council (NERC) as part of the British Antarctic Survey Polar Science for Planet Earth Programme. TJB additionally acknowledges support for this work as a contribution to the NERC grant NE/N01829X/1. IW thanks FAPESP 2015/50686-1, Coordenacao de Aperfeicoamento de Pessoal de Nivel Superior - Brasil (CAPES) Finance Code 001 and CNPq 300970/2018-8, CNPq INCT Criosfera 704222/2009.</t>
  </si>
  <si>
    <t>10.3390/geosciences9060255</t>
  </si>
  <si>
    <t>IG4CV</t>
  </si>
  <si>
    <t>WOS:000473752600012</t>
  </si>
  <si>
    <t>Gong, D; Fan, XP; Li, YZ; Li, B; Zhang, N; Gromig, R; Smith, EC; Dummann, W; Berger, S; Eisen, O; Tell, J; Biskaborn, BK; Koglin, N; Wilhelms, F; Broy, B; Liu, YC; Yang, Y; Li, XC; Liu, A; Talalay, P</t>
  </si>
  <si>
    <t>Gong, Da; Fan, Xiaopeng; Li, Yazhou; Li, Bing; Zhang, Nan; Gromig, Raphael; Smith, Emma C.; Dummann, Wolf; Berger, Sophie; Eisen, Olaf; Tell, Jan; Biskaborn, Boris K.; Koglin, Nikola; Wilhelms, Frank; Broy, Benjamin; Liu, Yunchen; Yang, Yang; Li, Xingchen; Liu, An; Talalay, Pavel</t>
  </si>
  <si>
    <t>Coring of Antarctic Subglacial Sediments</t>
  </si>
  <si>
    <t>subglacial aquatic environments; hot-water access borehole; sediment corers; water-sediment interface</t>
  </si>
  <si>
    <t>AMERY ICE SHELF; LAKE WHILLANS; PISTON CORER; BENEATH; ENVIRONMENT; GRAVITY; STEEL</t>
  </si>
  <si>
    <t>Coring sediments in subglacial aquatic environments offers unique opportunities for research on paleo-environments and paleo-climates because it can provide data from periods even earlier than ice cores, as well as the overlying ice histories, interactions between ice and the water system, life forms in extreme habitats, sedimentology, and stratigraphy. However, retrieving sediment cores from a subglacial environment faces more difficulties than sediment coring in oceans and lakes, resulting in low yields from the most current subglacial sediment coring methods. The coring tools should pass through a hot water-drilled access borehole, then the water column, to reach the sediment layers. The access boreholes are size-limited by the hot water drilling tools and techniques. These holes are drilled through ice up to 3000-4000 m thick, with diameters ranging from 10-60 cm, and with a refreezing closure rate of up to 6 mm/h after being drilled. Several purpose-built streamline corers have been developed to pass through access boreholes and collect the sediment core. The main coring objectives are as follows: (i) To obtain undisturbed water-sediment cores, either singly or as multi-cores and (ii) to obtain long cores with minimal stratigraphic deformation. Subglacial sediment coring methods use similar tools to those used in lake and ocean coring. These methods include the following: Gravity coring, push coring, piston coring, hammer or percussion coring, vibrocoring, and composite methods. Several core length records have been attained by different coring methods, including a 290 cm percussion core from the sub-ice-shelf seafloor, a 400 cm piston core from the sub-ice-stream, and a 170 cm gravity core from a subglacial lake. There are also several undisturbed water-sediment cores that have been obtained by gravity corers or hammer corers. Most current coring tools are deployed by winch and cable facilities on the ice surface. There are three main limitations for obtaining long sediment cores which determines coring tool development, as follows: Hot-water borehole radial size restriction, the sedimentary structure, and the coring techniques. In this paper, we provide a general view on current developments in coring tools, including the working principles, corer characteristics, operational methods, coring site locations, field conditions, coring results, and possible technical improvements. Future prospects in corer design and development are also discussed.</t>
  </si>
  <si>
    <t>[Gong, Da; Fan, Xiaopeng; Li, Yazhou; Li, Bing; Zhang, Nan; Liu, Yunchen; Yang, Yang; Li, Xingchen; Liu, An; Talalay, Pavel] Jilin Univ, Polar Res Ctr, Changchun 130026, Jilin, Peoples R China; [Gong, Da] Jilin Univ, Coll Phys, 2699 Qianjin St, Changchun 130012, Jilin, Peoples R China; [Fan, Xiaopeng] Chinese Acad Sci, Northwest Inst Ecoenvironm &amp; Resources, State Key Lab Cryospher Sci, Lanzhou 730000, Gansu, Peoples R China; [Gromig, Raphael; Smith, Emma C.; Dummann, Wolf; Berger, Sophie; Eisen, Olaf; Tell, Jan; Biskaborn, Boris K.; Wilhelms, Frank; Broy, Benjamin] Alfred Wegener Inst Polar &amp; Marine Res, Postfach 120161, D-27515 Bremerhaven, Germany; [Eisen, Olaf] Univ Bremen, Dept Geosci, D-28359 Bremen, Germany; [Biskaborn, Boris K.] Helmholtz Ctr Polar &amp; Marine Res, Alfred Wegener Inst, Telegrafenberg A45, D-14473 Potsdam, Germany; [Koglin, Nikola] Geozentrum Hannover, Fed Inst Geosci &amp; Nat Resources BGR, D-30655 Hannover, Germany; [Wilhelms, Frank] Univ Gottingen, Dept Crystallog, Geosci Ctr, D-37073 Gottingen, Germany</t>
  </si>
  <si>
    <t>Jilin University; Jilin University; Chinese Academy of Sciences; Helmholtz Association; Alfred Wegener Institute, Helmholtz Centre for Polar &amp; Marine Research; University of Bremen; Helmholtz Association; Alfred Wegener Institute, Helmholtz Centre for Polar &amp; Marine Research; University of Gottingen</t>
  </si>
  <si>
    <t>Talalay, P (corresponding author), Jilin Univ, Polar Res Ctr, Changchun 130026, Jilin, Peoples R China.</t>
  </si>
  <si>
    <t>gongd@jlu.edu.cn; heaxe@163.com; jluyazhouli@163.com; bing@jlu.edu.cn; znan@jlu.edu.cn; gromigr@uni-koeln.de; emma.smith@awi.de; wdummann@uni-koeln.de; sophie.berger@awi.de; Olaf.Eisen@awi.de; jan.tell@awi.de; Boris.Biskaborn@awi.de; nikola.koglin@bgr.de; frank.wilhelms@awi.de; Benjamin.Broy@awi.de; lyc041833@126.com; yangyang2014@jlu.edu.cn; lixc17@mails.jlu.edu.cn; liuan18@mails.jlu.edu.cn; talalay@jlu.edu.cn</t>
  </si>
  <si>
    <t>Wilhelms, Frank/KEI-8426-2024; Biskaborn, Boris K./D-2419-2011; Eisen, Olaf/K-3846-2012; Koglin, Nikola/IYJ-7940-2023; Zhang, Nan/GXH-0361-2022; Smith, Emma/AAO-5329-2021</t>
  </si>
  <si>
    <t>Wilhelms, Frank/0000-0001-7688-3135; Biskaborn, Boris K./0000-0003-2378-0348; Eisen, Olaf/0000-0002-6380-962X; Talalay, Pavel/0000-0002-8230-4600; Berger, Sophie/0000-0003-4095-9323; Li, Xingchen/0000-0001-7843-7446; Smith, Emma/0000-0002-8672-8259</t>
  </si>
  <si>
    <t>National Science Foundation of China [41327804]; Program for Jilin University Science and Technology Innovative Research Team [2017TD-24]</t>
  </si>
  <si>
    <t>National Science Foundation of China(National Natural Science Foundation of China (NSFC)); Program for Jilin University Science and Technology Innovative Research Team</t>
  </si>
  <si>
    <t>This research was funded by the National Science Foundation of China (grant number 41327804) and the Program for Jilin University Science and Technology Innovative Research Team (grant number 2017TD-24).</t>
  </si>
  <si>
    <t>10.3390/jmse7060194</t>
  </si>
  <si>
    <t>IG4XR</t>
  </si>
  <si>
    <t>WOS:000473807700032</t>
  </si>
  <si>
    <t>Green, ME; Appleyard, SA; White, W; Tracey, S; Devloo-Delva, F; Ovenden, JR</t>
  </si>
  <si>
    <t>Green, M. E.; Appleyard, S. A.; White, W.; Tracey, S.; Devloo-Delva, F.; Ovenden, J. R.</t>
  </si>
  <si>
    <t>Novel multimarker comparisons address the genetic population structure of silvertip sharks (Carcharhinus albimarginatus)</t>
  </si>
  <si>
    <t>MARINE AND FRESHWATER RESEARCH</t>
  </si>
  <si>
    <t>elasmobranch; fisheries management; microsatellite; mitochondrial DNA; reef shark; population genetics; single nucleotide polymorphisms</t>
  </si>
  <si>
    <t>DOGFISH SQUALUS-ACANTHIAS; REEF-ASSOCIATED SHARKS; ACOUSTIC TELEMETRY; R-PACKAGE; MICROSATELLITE MARKERS; STEGOSTOMA-FASCIATUM; BLACKTIP SHARK; SITE FIDELITY; ZEBRA SHARK; CONNECTIVITY</t>
  </si>
  <si>
    <t>The silvertip shark (Carcharhinus albimarginatus) is a reef-associated shark, with an intermittent distribution across the Indo-Pacific Ocean. Owing to global declines, the species is listed as Vulnerable under the International Union of Conservation for Nature Red List. Samples from 152C. albimarginatus were collected from three locations: Papua New Guinea (PNG), east Australia and Seychelles. Samples were analysed using mitochondrial, microsatellite and double-digest restriction-associated DNA (ddRAD) generated single nucleotide polymorphism markers. As expected across a vast oceanic expanse, no gene flow was identified between south-west Pacific locations and Seychelles for any marker (population differentiation measured using Phi(ST) values 0.92-0.98, F-ST values 0.036-0.059). Mitochondrial DNA indicated significant population structuring between PNG and east Australia (Phi(ST)=0.102), but nuclear markers suggested connectivity between these geographically close regions (F-ST=0.000-0.001). In combination with known telemetry movements for C. albimarginatus, our results suggest stepping-stone patterns of movement between regions is likely driven by reproductive requirements. The use of three distinct marker types in this study has facilitated a powerful genetic description of the population connectivity of C. albimarginatus between the three sampled regions. Importantly, the connectivity described between PNG and east Australia should be used as a guide for managing the south-west Pacific stock of C. albimarginatus.</t>
  </si>
  <si>
    <t>[Green, M. E.; Appleyard, S. A.; White, W.; Devloo-Delva, F.] CSIRO Oceans &amp; Atmosphere, Hobart, Tas 7001, Australia; [Green, M. E.; Appleyard, S. A.; White, W.] CSIRO Australian Natl Fish Collect, Natl Res Collect Australia, Hobart, Tas 7001, Australia; [Green, M. E.; Tracey, S.; Devloo-Delva, F.] Univ Tasmania, Inst Marine &amp; Antarctic Studies, Private Bag 49, Hobart, Tas 7001, Australia; [Green, M. E.; Ovenden, J. R.] Univ Queensland, Sch Biomed Sci, Mol Fisheries Lab, Chancellors Pl, St Lucia, Qld 4072, Australia</t>
  </si>
  <si>
    <t>Commonwealth Scientific &amp; Industrial Research Organisation (CSIRO); Commonwealth Scientific &amp; Industrial Research Organisation (CSIRO); University of Tasmania; University of Queensland</t>
  </si>
  <si>
    <t>Green, ME (corresponding author), CSIRO Oceans &amp; Atmosphere, Hobart, Tas 7001, Australia.;Green, ME (corresponding author), CSIRO Australian Natl Fish Collect, Natl Res Collect Australia, Hobart, Tas 7001, Australia.;Green, ME (corresponding author), Univ Tasmania, Inst Marine &amp; Antarctic Studies, Private Bag 49, Hobart, Tas 7001, Australia.;Green, ME (corresponding author), Univ Queensland, Sch Biomed Sci, Mol Fisheries Lab, Chancellors Pl, St Lucia, Qld 4072, Australia.</t>
  </si>
  <si>
    <t>madeline.green@utas.edu.au</t>
  </si>
  <si>
    <t>Devloo-Delva, Floriaan/L-8657-2016; Ovenden, Jennifer/A-3717-2010; Appleyard, Sharon/AAJ-9942-2020; White, William/B-9748-2009; Tracey, Sean/J-7446-2014</t>
  </si>
  <si>
    <t>Devloo-Delva, Floriaan/0000-0002-6757-2949; Ovenden, Jennifer/0000-0001-7538-1504; Appleyard, Sharon/0000-0002-3105-1690; White, William/0000-0001-9705-2453; Tracey, Sean/0000-0002-6735-5899; Green, Madeline Elizabeth/0000-0002-5037-2043</t>
  </si>
  <si>
    <t>Australian Government's National Environmental Research Program (Tropical Ecosystems Hub Project 6.1)</t>
  </si>
  <si>
    <t>Australian Government's National Environmental Research Program (Tropical Ecosystems Hub Project 6.1)(Australian Government)</t>
  </si>
  <si>
    <t>Special thanks to Chris Barlow and Jes Sammut for their support of this project. The authors thank Brian Kumasi, Luanah Yaman, Leban Gisawa and Ludwig Kumoru from the National Fishing Authority for their continued support and collaboration on this project. The authors also thank the fishers of the longline vessels, with a special thanks to the NFA on-board fisheries observers who collected the data and tissues samples: Jackson Mara-vee, Noah Lurang Jr, Daniel Sau, Murphy John, Paliau Parkop, Towai Peli and Udill Jotham. The authors also thank Jon Neville at Environment Seychelles for providing samples from the Seychelles. The authors thank Michelle Heupel and Mario Espinoza for Australian samples that were collected during a project funded by the Australian Government's National Environmental Research Program (Tropical Ecosystems Hub Project 6.1). For help and advice on our kinship inference, the authors would thank Richard Hillary. Finally, the authors thank Bob Ward for constructive comments on earlier drafts of the manuscript.</t>
  </si>
  <si>
    <t>CSIRO PUBLISHING</t>
  </si>
  <si>
    <t>CLAYTON</t>
  </si>
  <si>
    <t>UNIPARK, BLDG 1, LEVEL 1, 195 WELLINGTON RD, LOCKED BAG 10, CLAYTON, VIC 3168, AUSTRALIA</t>
  </si>
  <si>
    <t>1323-1650</t>
  </si>
  <si>
    <t>1448-6059</t>
  </si>
  <si>
    <t>MAR FRESHWATER RES</t>
  </si>
  <si>
    <t>Mar. Freshw. Res.</t>
  </si>
  <si>
    <t>10.1071/MF18296</t>
  </si>
  <si>
    <t>Fisheries; Limnology; Marine &amp; Freshwater Biology; Oceanography</t>
  </si>
  <si>
    <t>IG4SN</t>
  </si>
  <si>
    <t>WOS:000473793400011</t>
  </si>
  <si>
    <t>Link, JS; Watson, RA</t>
  </si>
  <si>
    <t>Link, Jason S.; Watson, Reg A.</t>
  </si>
  <si>
    <t>Global ecosystem overfishing: Clear delineation within real limits to production</t>
  </si>
  <si>
    <t>MARINE PRIMARY PRODUCTION; FISHERIES CATCH; FISH PRODUCTION; CLIMATE-CHANGE; OCEAN; IMPACTS; AQUACULTURE; CHALLENGES; MANAGEMENT; PATTERNS</t>
  </si>
  <si>
    <t>The well-documented value of marine fisheries is threatened by overfishing. Management typically focuses on target populations but lacks effective tools to document or restrain overexploitation of marine ecosystems. Here, we present three indices and accompanying thresholds to detect and delineate ecosystem overfishing (EOF): the Fogarty, Friedland, and Ryther indices. These are based on widely available and readily interpreted catch and satellite data that link fisheries landings to primary production using known limits of trophic transfer efficiency. We propose theoretically and empirically based thresholds for each of those indices; with these criteria, several ecosystems are fished sustainably, but nearly 40 to 50% of tropical and temperate ecosystems exceed even extreme thresholds. Applying these criteria to global fisheries data results in strong evidence for two specific instances of EOF, increases in both pressure on tropical fish and a climate-mediated polar shift. Here, we show that these two patterns represent evidence for global EOF.</t>
  </si>
  <si>
    <t>[Link, Jason S.] NOAA, Natl Marine Fisheries Serv, 166 Water St, Woods Hole, MA 02543 USA; [Watson, Reg A.] Univ Tasmania, Inst Marine &amp; Antarctic Studies, Private Bag 129, Hobart, Tas 7001, Australia</t>
  </si>
  <si>
    <t>National Oceanic Atmospheric Admin (NOAA) - USA; University of Tasmania</t>
  </si>
  <si>
    <t>Link, JS (corresponding author), NOAA, Natl Marine Fisheries Serv, 166 Water St, Woods Hole, MA 02543 USA.</t>
  </si>
  <si>
    <t>jason.link@noaa.gov</t>
  </si>
  <si>
    <t>Watson, Reg A/F-4850-2012; Link, Jason/HOF-3606-2023</t>
  </si>
  <si>
    <t>Watson, Reg A/0000-0001-7201-8865; Link, Jason/0000-0003-2740-7161</t>
  </si>
  <si>
    <t>Australian Research Council [DP140101377]</t>
  </si>
  <si>
    <t>R.A.W. acknowledges support from the Australian Research Council (Discovery project DP140101377).</t>
  </si>
  <si>
    <t>eaav0474</t>
  </si>
  <si>
    <t>10.1126/sciadv.aav0474</t>
  </si>
  <si>
    <t>IG4UK</t>
  </si>
  <si>
    <t>WOS:000473798500015</t>
  </si>
  <si>
    <t>Agnew, DJ</t>
  </si>
  <si>
    <t>Agnew, David J.</t>
  </si>
  <si>
    <t>Who determines sustainability?</t>
  </si>
  <si>
    <t>Annual Symposium of the Fisheries-Society-of-the-British-Isles (FSBI) - The Sustainable Use and Exploitation of Fishes</t>
  </si>
  <si>
    <t>JUL 09-13, 2018</t>
  </si>
  <si>
    <t>Univ E Anglia, Norwich, ENGLAND</t>
  </si>
  <si>
    <t>Univ E Anglia</t>
  </si>
  <si>
    <t>certification; consumers; ecolabel; standards; sustainability</t>
  </si>
  <si>
    <t>MARINE STEWARDSHIP; MSC CERTIFICATION; SEAFOOD</t>
  </si>
  <si>
    <t>Over the past 20 years many different certification or rating schemes for sustainable fisheries have evolved, that attempt to influence consumer tastes and preferences and thereby incentivise better fisheries practices. This short review paper aims to document the history of such schemes, to consider their apparent differences and the basis upon which sustainability standards were developed. While there is some consistency between schemes in terms of the elements that should be considered as part of sustainability, and the general outcomes that sustainable fisheries should strive for, with the exception of maximum sustainable yield (MSY) there is less agreement on the specific details of how this should be measured or what reference points should be considered as sustainable. This arises from a lack of specific consideration or agreement on these issues in the international policy community.</t>
  </si>
  <si>
    <t>[Agnew, David J.] Univ Tasmania, Inst Marine &amp; Antarctic Studies, Hobart, Tas 7001, Australia</t>
  </si>
  <si>
    <t>Agnew, DJ (corresponding author), Univ Tasmania, Inst Marine &amp; Antarctic Studies, Hobart, Tas 7001, Australia.</t>
  </si>
  <si>
    <t>davidagnew99@gmail.com</t>
  </si>
  <si>
    <t>10.1111/jfb.13928</t>
  </si>
  <si>
    <t>IF3JH</t>
  </si>
  <si>
    <t>WOS:000472976300013</t>
  </si>
  <si>
    <t>Im, DH; Kim, SK; Suh, HL</t>
  </si>
  <si>
    <t>Im, Dong-Hoon; Kim, Seung-Kyu; Suh, Hae-Lip</t>
  </si>
  <si>
    <t>Gender Differences in Foraging Behavior of the Euphausiid Euphausia pacifica in the East Sea (Japan Sea) in Spring</t>
  </si>
  <si>
    <t>OCEAN SCIENCE JOURNAL</t>
  </si>
  <si>
    <t>Euphausia pacifica; gender differences; feeding ecology; stable isotope analysis; East (Japan) Sea</t>
  </si>
  <si>
    <t>STABLE-ISOTOPE RATIOS; BIOLOGICAL HOT-SPOT; ANTARCTIC KRILL; DELTA-N-15 VALUES; ULLEUNG BASIN; LIPID-CONTENT; CARBON; NITROGEN; ZOOPLANKTON; VARIABILITY</t>
  </si>
  <si>
    <t>Although it is known that there are gender differences in the energetic requirements for the reproductive strategies of euphausiids, sufficient information about differences in the feeding ecology is still lacking. In this study, we investigated the resource utilization of Euphausia pacifica within the epipelagic zone (0-200 m depth) in the East Sea (Japan Sea) during spring bloom, using stable isotope analysis. The C-13 and N-15 values of pico- to micro-particulate organic matters (POMs) from the surface to 200-m depth layers were significantly different. The C-13 and N-15 values of E. pacifica adults showed significant differences between sexes. Stable isotope analysis showed that E. pacifica females fed mainly on the surface layer POM, whereas the males fed primarily in the deeper layers, since the contributions of POMs in the 100-m and 200-m depth layers to their diets were relatively high. We suggest that high primary productivity in the surface layer in spring and the sinking particles derived from it may provide sufficient energy for the reproduction of E. pacifica females and male development, respectively.</t>
  </si>
  <si>
    <t>[Im, Dong-Hoon; Kim, Seung-Kyu] Incheon Natl Univ, Res Inst Basic Sci, Incheon 22012, South Korea; [Kim, Seung-Kyu] Incheon Natl Univ, Coll Nat Sci, Dept Marine Sci, Incheon 22012, South Korea; [Suh, Hae-Lip] Chonnam Natl Univ, Fac Earth Syst &amp; Environm Sci, Dept Oceanog, Gwangju 61186, South Korea</t>
  </si>
  <si>
    <t>Incheon National University; Incheon National University; Chonnam National University</t>
  </si>
  <si>
    <t>Suh, HL (corresponding author), Chonnam Natl Univ, Fac Earth Syst &amp; Environm Sci, Dept Oceanog, Gwangju 61186, South Korea.</t>
  </si>
  <si>
    <t>suhhl@chonnam.ac.kr</t>
  </si>
  <si>
    <t>Suh, Hae-Lip/B-5528-2011</t>
  </si>
  <si>
    <t>Im, Dong-Hoon/0000-0002-0688-3524</t>
  </si>
  <si>
    <t>Ministry of Oceans and Fisheries, Korea; National Research Foundation of Korea (NRF) - Korea government (MSIT) [2017R1E1A1A01073137]; Basic Science Research Program through NRF - Ministry of Education [NRF-2017R1A6A1A06015181]</t>
  </si>
  <si>
    <t>Ministry of Oceans and Fisheries, Korea; National Research Foundation of Korea (NRF) - Korea government (MSIT); Basic Science Research Program through NRF - Ministry of Education</t>
  </si>
  <si>
    <t>We thank the captain and crew of the R/V Akademik M. A. Lavertiev for their assistance with sample collection. This study was supported by projects entitled 'East Asian Seas Time series-I (EAST-I)' from the Ministry of Oceans and Fisheries, Korea. This research was also supported by the National Research Foundation of Korea (NRF) grant funded by the Korea government (MSIT) (No. 2017R1E1A1A01073137) and the Basic Science Research Program through NRF funded by the Ministry of Education (NRF-2017R1A6A1A06015181).</t>
  </si>
  <si>
    <t>KOREA OCEAN RESEARCH DEVELOPMENT INST</t>
  </si>
  <si>
    <t>P O BOX 29, SEOUL, 425-600, SOUTH KOREA</t>
  </si>
  <si>
    <t>1738-5261</t>
  </si>
  <si>
    <t>2005-7172</t>
  </si>
  <si>
    <t>OCEAN SCI J</t>
  </si>
  <si>
    <t>Ocean Sci. J.</t>
  </si>
  <si>
    <t>10.1007/s12601-019-0006-x</t>
  </si>
  <si>
    <t>IF4WJ</t>
  </si>
  <si>
    <t>WOS:000473082100011</t>
  </si>
  <si>
    <t>Barnett, A; McAllister, JD; Semmens, J; Abrantes, K; Sheaves, M; Awruch, C</t>
  </si>
  <si>
    <t>Barnett, Adam; McAllister, Jamie D.; Semmens, Jayson; Abrantes, Katya; Sheaves, Marcus; Awruch, Cynthia</t>
  </si>
  <si>
    <t>Identification of essential habitats: Including chimaeras into current shark protected areas</t>
  </si>
  <si>
    <t>acoustic tracking; essential fish habitat; fisheries; habitat use; protected areas; reproduction; spatial ecology</t>
  </si>
  <si>
    <t>MARINE APEX PREDATOR; CONSERVATION; FISHERIES; ECOLOGY; BIOLOGY; WATERS</t>
  </si>
  <si>
    <t>Essential habitats are areas required to support specific functions, such as providing foraging grounds, shelter or used for reproductive purposes. For mobile aquatic species that move throughout numerous components of the seascape, identifying essential habitats within a species' broader distribution range is crucial to understanding their ecology and provide vital information needed to underpin effective conservation and management (e.g. the implementation of protected areas). In Tasmania (Australia), a number of coastal habitats have been declared shark refuge areas (SRAs), where fishing for elasmobranchs (sharks, rays and skates) is prohibited. Chimaeras are relatives of elasmobranchs (class Chondrichthyes) and share traits that predispose many elasmobranch species to be vulnerable to overfishing (e.g. slow growth rates and low reproductive output). However, fishing for elephantfish Callorhinchus milii (the chimaera species found in coastal Tasmania) is still permitted in SRAs. Here, a combination of acoustic tracking, catch data and reproductive information was used to determine the significance of the SRA coastal habitats for C. milii. Results suggest that these areas are essential habitats for reproduction and likely important for other purposes, such as foraging. Given that a key strategy in managing fish stocks is protecting areas important for reproduction, and the importance of these coastal areas of Tasmania for C. milii reproductive purposes, we recommend including C. milii in current SRAs, and decreeing these areas as chondrichthyan refuge areas.</t>
  </si>
  <si>
    <t>[Barnett, Adam; Abrantes, Katya; Sheaves, Marcus] James Cook Univ, Townsville, Qld, Australia; [Barnett, Adam] Deakin Univ, Geelong, Vic, Australia; [McAllister, Jamie D.; Semmens, Jayson] Inst Marine &amp; Antarctic Studies, Hobart, Tas, Australia; [Awruch, Cynthia] Univ Tasmania, Sch Nat Sci, Hobart, Tas, Australia; [Awruch, Cynthia] Consejo Nacl Invest Cient &amp; Tecn, CENPAT, CESIMAR Ctr Estudio Sistemas Marinos, Puerto Madryn, Chubut, Argentina</t>
  </si>
  <si>
    <t>James Cook University; Deakin University; University of Tasmania; University of Tasmania; Consejo Nacional de Investigaciones Cientificas y Tecnicas (CONICET); Centro Nacional Patagonico (CENPAT)</t>
  </si>
  <si>
    <t>Barnett, A (corresponding author), James Cook Univ, Coll Sci &amp; Engn, Townsville, Qld 4811, Australia.</t>
  </si>
  <si>
    <t>adam.barnett@jcu.edu.au</t>
  </si>
  <si>
    <t>; Sheaves, Marcus/G-4283-2012</t>
  </si>
  <si>
    <t>Semmens, Jayson/0000-0003-1742-6692; , Adam/0000-0001-7430-8428; Sheaves, Marcus/0000-0003-0662-3439; abrantes, katya/0000-0001-8648-8817</t>
  </si>
  <si>
    <t>Save Our Seas Foundation; Winifred Violet Scott Trust</t>
  </si>
  <si>
    <t>10.1002/aqc.3087</t>
  </si>
  <si>
    <t>IE7QO</t>
  </si>
  <si>
    <t>WOS:000472569200002</t>
  </si>
  <si>
    <t>Azziz, G; Giménez, M; Romero, H; Valdespino-Castillo, PM; Falcón, LI; Ruberto, LAM; Mac Cormack, WP; Batista, S</t>
  </si>
  <si>
    <t>Azziz, Gaston; Gimenez, Matias; Romero, Hector; Valdespino-Castillo, Patricia M.; Falcon, Luisa I.; Ruberto, Lucas A. M.; Mac Cormack, Walter P.; Batista, Silvia</t>
  </si>
  <si>
    <t>Detection of presumed genes encoding beta-lactamases by sequence based screening of metagenomes derived from Antarctic microbial mats</t>
  </si>
  <si>
    <t>FRONTIERS OF ENVIRONMENTAL SCIENCE &amp; ENGINEERING</t>
  </si>
  <si>
    <t>Beta-lactamases; Antibiotic resistance coding genes; Metagenomes; Antarctic microbial mats</t>
  </si>
  <si>
    <t>ANTIBIOTIC-RESISTANCE GENES; KLEBSIELLA-PNEUMONIAE; ESCHERICHIA-COLI</t>
  </si>
  <si>
    <t>Analysis of environmental samples for bacterial antibiotic resistance genes may have different objectives and analysis strategies. In some cases, the purpose was to study diversity and evolution of genes that could be grouped within a mechanism of antibiotic resistance. Different protocols have been designed for detection and confirmation that a functional gene was found. In this study, we present a sequence-based screening of candidate genes encoding beta-lactamases in 14 metagenomes of Antarctic microbial mats. The samples were obtained from different sites, representing diverse biogeographic regions of maritime and continental Antarctica. A protocol was designed based on generation of Hidden Markov Models from the four beta-lactamase classes by Ambler classification, using sequences from the Comprehensive Antibiotic Resistance Database (CARD). The models were used as queries for metagenome analysis and recovered contigs were subsequently annotated using RAST. According to our analysis, 14 metagenomes analyzed contain A, B and C beta-lactamase genes. Class D genes, however, were identified in 11 metagenomes. The most abundant was class C (46.8%), followed by classes B (35.5%), A (14.2%) and D (3.5%). A considerable number of sequences formed clusters which included, in some cases, contigs from different metagenomes. These assemblies are clearly separated from reference clusters, previously identified using CARD beta-lactamase sequences. While bacterial antibiotic resistance is a major challenge of public health worldwide, our results suggest that environmental diversity of beta-lactamase genes is higher than that currently reported, although this should be complemented with gene function analysis.</t>
  </si>
  <si>
    <t>[Azziz, Gaston; Gimenez, Matias; Batista, Silvia] Clemente Estable Biol Res Insitute, Mol Microbiol Unit, Montevideo 11600, Uruguay; [Azziz, Gaston] UdelaR, Microbiol Lab, Fac Agron, Montevideo 12900, Uruguay; [Romero, Hector] UdelaR, Genome Org &amp; Evolut Lab, Dept Ecol &amp; Evolut, Fac Sci, Montevideo 11400, Uruguay; [Valdespino-Castillo, Patricia M.] Lawrence Berkeley Natl Lab, Mol Biophys &amp; Integrated Bioimaging, BSISB Imaging Program, Berkeley, CA 94720 USA; [Falcon, Luisa I.] Univ Nacl Autonoma Mexico, Bacteial Ecol Lab, Inst Ecol, Cdmx 04510, DF, Mexico; [Falcon, Luisa I.] UNAM, Yucatan Technol &amp; Sci Pk, Merida 97302, Mexico; [Ruberto, Lucas A. M.; Mac Cormack, Walter P.] Argentine Antarctic Inst, RA-1650 Buenos Aires, DF, Argentina; [Ruberto, Lucas A. M.; Mac Cormack, Walter P.] UBA, Biotechnol Unit, Fac Pharm &amp; Biochem, Nanobiotec Inst,CONICET, RA-1113 Buenos Aires, DF, Argentina</t>
  </si>
  <si>
    <t>Instituto de Investigaciones Biologicas Clemente Estable Uruguay; Universidad de la Republica, Uruguay; Universidad de la Republica, Uruguay; United States Department of Energy (DOE); Lawrence Berkeley National Laboratory; Universidad Nacional Autonoma de Mexico; Universidad Nacional Autonoma de Mexico; Consejo Nacional de Investigaciones Cientificas y Tecnicas (CONICET); University of Buenos Aires</t>
  </si>
  <si>
    <t>Azziz, G (corresponding author), Clemente Estable Biol Res Insitute, Mol Microbiol Unit, Montevideo 11600, Uruguay.;Azziz, G (corresponding author), UdelaR, Microbiol Lab, Fac Agron, Montevideo 12900, Uruguay.</t>
  </si>
  <si>
    <t>gazziz@gmail.com</t>
  </si>
  <si>
    <t>Valdespino, Patricia/M-2413-2018; Azziz, Gastón/AAE-4878-2019; Falcon, Luisa I/HGU-5682-2022; Batista, Silvia/HKO-7008-2023; Batista, Silvia/ITO-0781-2023</t>
  </si>
  <si>
    <t>Valdespino, Patricia/0000-0002-2998-4627; Falcon, Luisa I/0000-0002-7210-6483; Batista, Silvia/0000-0002-8702-6566; Mac Cormack, Walter/0000-0002-5280-5463; Azziz, Gaston/0000-0002-8000-724X; Ruberto, Lucas Adolfo Mauro/0000-0001-5604-772X; Gimenez, Matias/0000-0002-6267-9106</t>
  </si>
  <si>
    <t>AMEXCID-Mexico [PNUD URU/113]; AUCI-Uruguay [PNUD URU/113]; IAU; PEDECIBA-Biologia (Programa de Ciencias Basicas)</t>
  </si>
  <si>
    <t>AMEXCID-Mexico; AUCI-Uruguay; IAU; PEDECIBA-Biologia (Programa de Ciencias Basicas)</t>
  </si>
  <si>
    <t>Authors acknowledge the following agencies that were involved in sampling: NSF-USA (Dry Valleys), DNA-Argentina (Peninsula), IAU-Uruguay (Maritime). We also would like to thank Osiris Gaona for technical support and Paul Gill for discussion and technical reading of the manuscript. AMEXCID-Mexico and AUCI-Uruguay supported the study through an international cooperation project (PNUD URU/113). The work was also supported by IAU and PEDECIBA-Biologia (Programa de Ciencias Basicas).</t>
  </si>
  <si>
    <t>HIGHER EDUCATION PRESS</t>
  </si>
  <si>
    <t>CHAOYANG DIST, 4, HUIXINDONGJIE, FUSHENG BLDG, BEIJING 100029, PEOPLES R CHINA</t>
  </si>
  <si>
    <t>2095-2201</t>
  </si>
  <si>
    <t>2095-221X</t>
  </si>
  <si>
    <t>FRONT ENV SCI ENG</t>
  </si>
  <si>
    <t>Front. Env. Sci. Eng.</t>
  </si>
  <si>
    <t>10.1007/s11783-019-1128-1</t>
  </si>
  <si>
    <t>IF1UL</t>
  </si>
  <si>
    <t>WOS:000472863400001</t>
  </si>
  <si>
    <t>Stanley, GJ</t>
  </si>
  <si>
    <t>Stanley, Geoffrey J.</t>
  </si>
  <si>
    <t>The exact geostrophic streamfunction for neutral surfaces</t>
  </si>
  <si>
    <t>OCEAN MODELLING</t>
  </si>
  <si>
    <t>Neutral surface; Geostrophic streamfunction; Multivalued function; Topology; Reeb graph</t>
  </si>
  <si>
    <t>ANTARCTIC CIRCUMPOLAR CURRENT; POTENTIAL VORTICITY; ORTHOBARIC DENSITY; INVERSE METHOD; OCEAN; CIRCULATION; STREAM</t>
  </si>
  <si>
    <t>McDougall (1989) proved that neutral surfaces possess an exact geostrophic streamfunction, but its form has remained unknown. The exact geostrophic streamfunction for neutral surfaces is derived here. It involves a path integral of the specific volume along a neutral trajectory. On a neutral surface, the specific volume is a multivalued function of the pressure on the surface, p. By decomposing the neutral surface into regions where the specific volume is a single-valued function of p, the path integral is simply a sum of integrals of these singlevalued functions. The regions are determined by the Reeb graph of p, and the neutral trajectory is encoded by a walk on this graph. Islands, and other holes in the neutral surface, can create cycles in the Reeb graph, causing the exact geostrophic streamfunction on a neutral surface to be multivalued. Moreover, neutral surfaces are illdefined in the real ocean. Hence, the topobaric geostrophic streamfunction is presented: a single-valued approximation of the exact geostrophic streamfunction for neutral surfaces, for use on any well-defined, approximately neutral surface. Numerical tests on several approximately neutral surfaces reveal that the topobaric geostrophic streamfunction estimates the geostrophic velocity with an error that is about an order of magnitude smaller than that for any previously known geostrophic streamfunction. Also, the Montgomery potential is generalized, leading to an alternate form of the exact geostrophic streamfunction for neutral surfaces. This form is used to construct the orthobaric Montgomery potential, an easily computable geostrophic streamfunction that estimates the geostrophic velocity more accurately than any previously known geostrophic streamfunction, but less so than the topobaric geostrophic streamfunction.</t>
  </si>
  <si>
    <t>[Stanley, Geoffrey J.] Univ Oxford, Dept Phys, Oxford OX1 3PU, England; [Stanley, Geoffrey J.] Univ New South Wales, Sch Math &amp; Stat, Sydney, NSW 2052, Australia</t>
  </si>
  <si>
    <t>University of Oxford; University of New South Wales Sydney</t>
  </si>
  <si>
    <t>Stanley, GJ (corresponding author), Univ Oxford, Dept Phys, Oxford OX1 3PU, England.;Stanley, GJ (corresponding author), Univ New South Wales, Sch Math &amp; Stat, Sydney, NSW 2052, Australia.</t>
  </si>
  <si>
    <t>g.stanley@unsw.edu.au</t>
  </si>
  <si>
    <t>Stanley, Geoffrey/HCI-9874-2022</t>
  </si>
  <si>
    <t>Stanley, Geoffrey/0000-0003-4536-8602</t>
  </si>
  <si>
    <t>Clarendon Scholarship at Linacre College, University of Oxford; Canadian Alumni Scholarship at Linacre College, University of Oxford</t>
  </si>
  <si>
    <t>The author thanks David Marshall for helpful discussions, Trevor McDougall for early encouragement to pursue this topic, two reviewers for their constructive feedback, and authors of quality software, including Andreas Klocker (omega-surfaces), David Gleich (GAIMC), Jonas Lundgren (splinefit), and Harish Doraiswamy and Vijay Natarajan (ReCon). GJS was supported by the Clarendon Scholarship, and the Canadian Alumni Scholarship at Linacre College, University of Oxford. MATLAB software to compute the topobaric geostrophic streamfunction, the orthobaric Montgomery potential, and other results herein is available from the author's website.</t>
  </si>
  <si>
    <t>1463-5003</t>
  </si>
  <si>
    <t>1463-5011</t>
  </si>
  <si>
    <t>OCEAN MODEL</t>
  </si>
  <si>
    <t>Ocean Model.</t>
  </si>
  <si>
    <t>10.1016/j.ocemod.2019.04.002</t>
  </si>
  <si>
    <t>IF1DV</t>
  </si>
  <si>
    <t>WOS:000472819600008</t>
  </si>
  <si>
    <t>Larsen, J; Blagnys, H; Cooper, B; Press, C; Sambridge, N; Livesey, M; Watt, C; Allewell, C; Chapman, N</t>
  </si>
  <si>
    <t>Larsen, Jennifer; Blagnys, Hannah; Cooper, Ben; Press, Christopher; Sambridge, Neil; Livesey, Matthew; Watt, Catherine; Allewell, Christopher; Chapman, Neil</t>
  </si>
  <si>
    <t>Mountain Rescue Casualty Care and the Undergraduate Medical Elective</t>
  </si>
  <si>
    <t>WILDERNESS &amp; ENVIRONMENTAL MEDICINE</t>
  </si>
  <si>
    <t>first aid; medical student; prehospital; teaching; trauma; wilderness</t>
  </si>
  <si>
    <t>PREHOSPITAL CARE; STUDENT</t>
  </si>
  <si>
    <t>Many UK medical curricula lack dedicated prehospital education other than first aid courses and basic life support training. In contrast, nonmedical mountain rescue team members receive advanced prehospital training addressing scene management and various clinical interventions. This article reports a condensed mountain rescue casualty care course designed for medical students by a mountain rescue team. The course was offered as part of a student-selected module during phase 3A at the University of Sheffield Medical School. Within the module, students also learned the relevant biomedical sciences and clinical skills to construct their knowledge of mountain rescue casualty care.</t>
  </si>
  <si>
    <t>[Larsen, Jennifer] Univ Leicester, Dept Hlth Sci, Leicester, Leics, England; [Blagnys, Hannah] Nottingham NHS Fdn Trust, City Hosp Nottingham, Dept Anesthet, Nottingham, England; [Cooper, Ben] Sheffield Teaching Hosp NHS Fdn Trust, Northern Gen Hosp, Dept Emergency Med, Sheffield, S Yorkshire, England; [Press, Christopher; Sambridge, Neil] Sheffield Teaching Hosp NHS Fdn Trust, Northern Gen Hosp, Dept Anesthet, Sheffield, S Yorkshire, England; [Livesey, Matthew] Bradford Grammar Sch, Bradford, W Yorkshire, England; [Watt, Catherine] Derriford Hosp, British Antarctic Survey Med Unit, Emergency Dept, Plymouth, Devon, England; [Allewell, Christopher] Beyond Edge, Sheffield, S Yorkshire, England; [Chapman, Neil] Med Sch, Acad Unit Med Educ, Beech Hill Rd, Sheffield S10 2RX, S Yorkshire, England; [Chapman, Neil] Med Sch, Dept Oncol &amp; Metab, Beech Hill Rd, Sheffield S10 2RX, S Yorkshire, England</t>
  </si>
  <si>
    <t>University of Leicester; Nottingham University Hospital NHS Trust; Nottingham City Hospital; Northern General Hospital; University of Sheffield; University of Sheffield; Northern General Hospital; Derriford Hospital</t>
  </si>
  <si>
    <t>Chapman, N (corresponding author), Med Sch, Acad Unit Med Educ, Beech Hill Rd, Sheffield S10 2RX, S Yorkshire, England.;Chapman, N (corresponding author), Med Sch, Dept Oncol &amp; Metab, Beech Hill Rd, Sheffield S10 2RX, S Yorkshire, England.</t>
  </si>
  <si>
    <t>n.r.chapman@sheffield.ac.uk</t>
  </si>
  <si>
    <t>Chapman, Neil R/C-9888-2011; Larsen, Jennifer/GRE-9153-2022</t>
  </si>
  <si>
    <t>Larsen, Jennifer/0000-0003-3592-5938; Chapman, Neil/0000-0002-4853-2909</t>
  </si>
  <si>
    <t>NERC [bas010011] Funding Source: UKRI</t>
  </si>
  <si>
    <t>ELSEVIER SCIENCE INC</t>
  </si>
  <si>
    <t>STE 800, 230 PARK AVE, NEW YORK, NY 10169 USA</t>
  </si>
  <si>
    <t>1080-6032</t>
  </si>
  <si>
    <t>1545-1534</t>
  </si>
  <si>
    <t>WILD ENVIRON MED</t>
  </si>
  <si>
    <t>Wildern. Environ. Med.</t>
  </si>
  <si>
    <t>10.1016/j.wem.2018.12.010</t>
  </si>
  <si>
    <t>Public, Environmental &amp; Occupational Health; Sport Sciences</t>
  </si>
  <si>
    <t>IF3MY</t>
  </si>
  <si>
    <t>WOS:000472986100017</t>
  </si>
  <si>
    <t>DeMets, C; Merkouriev, S</t>
  </si>
  <si>
    <t>DeMets, C.; Merkouriev, S.</t>
  </si>
  <si>
    <t>High-resolution reconstructions of South America plate motion relative to Africa, Antarctica and North America: 34 Ma to present</t>
  </si>
  <si>
    <t>Plate motions; Africa; North America; South America</t>
  </si>
  <si>
    <t>TECTONIC EVOLUTION; MID-ATLANTIC; INDIAN RIDGE; OCEAN-BASIN; SEA; KINEMATICS; SEISMICITY; QUATERNARY; NEOGENE; MODEL</t>
  </si>
  <si>
    <t>From an inversion of approximate to 7000 crossings of 37 magnetic reversals between chrons C1n (0.78 Ma) and C13 (33.7Ma) and numerous crossings of 43 transform faults and fracture zones in the central and southern Atlantic basin, we estimate finite rotations and stage angular velocities that describe South America plate motion relative to Africa (Nubia), and via plate circuit closures relative to the Antarctic and North America plates. Our newly estimated Nubia-South America rotations, which are spaced at approximate to 1-Myr intervals, reveal for the first time a transition from steady motion before 24-22 Ma to continuously slowing motion since 20 Ma, including a previously unknown, sudden spreading rate slowdown at 7-6 Ma, when similar declines in seafloor spreading rates also occurred in the northern Atlantic and Arctic basins and along the Southwest Indian Ridge. Geodetic measurements from Nubia and South America, which record the instantaneous plate motion, corroborate the slowdown and indicate it has continued to the present. Our newly determined North America-South America rotations and angular velocities indicate that the pole for this plate pair was stationary from 20 to 12Ma, but has migrated steadily southward since approximate to 12 Ma, causing the plate motion direction to change by up to 90 degrees anticlockwise along parts of the diffuse oceanic plate boundary. Since approximate to 14 Ma, the plate motion rates have averaged 3 +/- 0.5 mm yr(-1) of N-S to NW-SE-directed divergence near the Mid-Atlantic Ridge and 1-2 mm yr(-1) of obliquely convergent motion near the Lesser Antilles Trench, consistent with geodetic estimates. Our new Antarctic-South America rotations and angular velocities predict that American-Antarctic Ridge seafloor spreading rates and plate slip directions have slowed gradually by 60 per cent and rotated 5-7. clockwise since 20 Ma in response to the post-20 Ma slowdown in Nubia-South America seafloor spreading rates. Fracture zone flow lines that are predicted with the new Antarctic-South America rotations agree well with the trends of fracture zone valleys and ridges that flank the American-Antarctic Ridge, offering independent evidence for the accuracy of our new rotations. The Antarctic-South America rotations for chrons C5n.2 (11.1Ma) and C6no (19.7Ma) predict that 15-40 km less seafloor has accreted since these times than is indicated by identifications of these two reversals along the American-Antarctic Ridge. Slow westwards movement of the previously postulated Sur microplate with respect to the South America plate may explain the discrepancy-a strong test of this hypothesis awaits better magnetic anomaly data from this remote seafloor spreading centre.</t>
  </si>
  <si>
    <t>[DeMets, C.] Univ Wisconsin, Dept Geosci, Madison, WI 53706 USA; [Merkouriev, S.] Russian Acad Sci, Pushkov Inst Terr Magnetism, St Petersburg Filial 1 Mendeleevskaya Liniya, St Petersburg 199034, Russia; [Merkouriev, S.] St Petersburg State Univ, Inst Earth Sci, Univ Skaya Nab 7-9, St Petersburg 199034, Russia</t>
  </si>
  <si>
    <t>University of Wisconsin System; University of Wisconsin Madison; Russian Academy of Sciences; Saint Petersburg State University</t>
  </si>
  <si>
    <t>DeMets, C (corresponding author), Univ Wisconsin, Dept Geosci, Madison, WI 53706 USA.</t>
  </si>
  <si>
    <t>dcdemets@wisc.edu</t>
  </si>
  <si>
    <t>Merkuryev, Sergey/K-1202-2015</t>
  </si>
  <si>
    <t>Merkuryev, Sergey/0000-0002-1520-110X</t>
  </si>
  <si>
    <t>Russian Foundation for Basic Research [06-05-64297]; U.S. National Science Foundation [OCE-1433323]</t>
  </si>
  <si>
    <t>Russian Foundation for Basic Research(Russian Foundation for Basic Research (RFBR)Spanish Government); U.S. National Science Foundation(National Science Foundation (NSF))</t>
  </si>
  <si>
    <t>We thank Roi Granot, Duncan Agnew and an anonymous reviewer for constructive reviews. This work was supported by grant 06-05-64297 from the Russian Foundation for Basic Research and U.S. National Science Foundation grant OCE-1433323. Figures were drafted using Generic Mapping Tools software (Wessel &amp; Smith 1991).</t>
  </si>
  <si>
    <t>10.1093/gji/ggz087</t>
  </si>
  <si>
    <t>ID8VR</t>
  </si>
  <si>
    <t>WOS:000471966200022</t>
  </si>
  <si>
    <t>Okubo, T; Ae, R; Noda, J; Iizuka, Y; Usui, M; Tamura, Y</t>
  </si>
  <si>
    <t>Okubo, Torahiko; Ae, Rieko; Noda, Jun; Iizuka, Yoshinori; Usui, Masaru; Tamura, Yutaka</t>
  </si>
  <si>
    <t>Detection of the sul2-strA-strB gene cluster in an ice core from Dome Fuji Station, East Antarctica</t>
  </si>
  <si>
    <t>JOURNAL OF GLOBAL ANTIMICROBIAL RESISTANCE</t>
  </si>
  <si>
    <t>Antimicrobial resistance; Antarctica; Firn; Ice core</t>
  </si>
  <si>
    <t>STREPTOMYCIN-RESISTANCE GENES; ANTIBIOTIC-RESISTANCE; BACTERIA; GLACIER; CLIMATE; GREENLAND; PLASMIDS; SNOW</t>
  </si>
  <si>
    <t>Objectives: Bacteria harbouring antimicrobial resistance genes (ARGs) have been isolated from various locations, including ancient microbiomes, indicating that these genes pre-date the discovery of antibiotics. To gain further information regarding ARGs in the pre-antibiotic era, ice samples derived from Dome Fuji Station, Eastern Antarctica, were examined. Methods: DNA was extracted from firn or ice core samples (n = 3; 1200-1400 ybp, 1700-2100 ybp and 2200-2800 ybp, respectively) under sterile conditions. Whole-genome amplification and PCR analyses were utilised to detect ARGs. Results: A 2764-bp gene cluster containing the type II dihydropteroate synthase gene sul2 and the aminoglycoside phosphotransferase genes strA and strB was detected in the 1200-1400-year-old Antarctic ice core (DF-63.5). The sul2-strA-strB gene cluster is frequently associated with plasmid RSF1010 and transposon Tn5393; however, these elements were not detected in sample DF-63.5. The gene cluster exhibited a high level of sequence identity to sequences harboured in present-day bacteria, although there were sequence polymorphisms in the strA gene. Furthermore, expression of this gene cluster in Escherichia coli resulted in reduced susceptibility to dihydrostreptomycin and sulfamethoxazole. Conclusion: The results of this study provide further evidence that certain ARGs existed in the pre-antibiotic era. Because the sul2 gene confers resistance to the synthetic compound sulfamethoxazole, these findings suggest that ARGs against synthetic antimicrobials emerged in bacteria during the pre-antibiotic era. (C) 2018 International Society for Chemotherapy of Infection and Cancer. Published by Elsevier Ltd. All rights reserved.</t>
  </si>
  <si>
    <t>[Okubo, Torahiko; Usui, Masaru; Tamura, Yutaka] Rakuno Gakuen Univ, Grad Sch Vet Med, Dept Hlth &amp; Environm Sci, Lab Food Microbiol &amp; Food Safety, Ebetsu, Hokkaido 0690834, Japan; [Okubo, Torahiko] Hokkaido Univ, Fac Hlth Sci, Dept Med Lab Sci, Sapporo, Hokkaido 0600812, Japan; [Ae, Rieko; Noda, Jun] Rakuno Gakuen Univ, Sch Vet Med, Lab Environm Hlth Sci, Ebetsu, Hokkaido 0690834, Japan; [Iizuka, Yoshinori] Hokkaido Univ, Inst Low Temp Sci, Sapporo, Hokkaido 0600814, Japan</t>
  </si>
  <si>
    <t>Rakuno Gakuen University; Hokkaido University; Rakuno Gakuen University; Hokkaido University</t>
  </si>
  <si>
    <t>Tamura, Y (corresponding author), Rakuno Gakuen Univ, Grad Sch Vet Med, Dept Hlth &amp; Environm Sci, Lab Food Microbiol &amp; Food Safety, Ebetsu, Hokkaido 0690834, Japan.</t>
  </si>
  <si>
    <t>tamuray@rakuno.ac.jp</t>
  </si>
  <si>
    <t>Noda, Jun/AAG-3762-2019; Iizuka, Yoshinori/D-9112-2012</t>
  </si>
  <si>
    <t>Noda, Jun/0000-0002-8873-7650; Okubo, Torahiko/0000-0002-3194-5862</t>
  </si>
  <si>
    <t>National Institute of Polar Research, Japan [25-27]</t>
  </si>
  <si>
    <t>National Institute of Polar Research, Japan</t>
  </si>
  <si>
    <t>This study was supported with funds provided by the collaborative research project of the National Institute of Polar Research, Japan [grant no. 25-27].</t>
  </si>
  <si>
    <t>2213-7165</t>
  </si>
  <si>
    <t>2213-7173</t>
  </si>
  <si>
    <t>J GLOB ANTIMICROB RE</t>
  </si>
  <si>
    <t>J. Glob. Antimicrob. Resist.</t>
  </si>
  <si>
    <t>10.1016/j.jgar.2018.11.005</t>
  </si>
  <si>
    <t>Infectious Diseases; Pharmacology &amp; Pharmacy</t>
  </si>
  <si>
    <t>ID8RJ</t>
  </si>
  <si>
    <t>WOS:000471951900016</t>
  </si>
  <si>
    <t>Steffel, BV; Smith, KE; Dickinson, GH; Flannery, JA; Baran, KA; Rosen, MN; McClintock, JB; Aronson, RB</t>
  </si>
  <si>
    <t>Steffel, Brittan V.; Smith, Kathryn E.; Dickinson, Gary H.; Flannery, Jennifer A.; Baran, Kerstin A.; Rosen, Miranda N.; McClintock, James B.; Aronson, Richard B.</t>
  </si>
  <si>
    <t>Characterization of the exoskeleton of the Antarctic king crab Paralomis birsteini</t>
  </si>
  <si>
    <t>INVERTEBRATE BIOLOGY</t>
  </si>
  <si>
    <t>Antarctica; calcification; microhardness; ocean acidification; Paralomis</t>
  </si>
  <si>
    <t>POST-MOLT CALCIFICATION; OCEAN ACIDIFICATION; CALLINECTES-SAPIDUS; BLUE-CRAB; CARBON-DIOXIDE; H+ EXCRETION; COMMUNITIES; ECOLOGY; BIOLOGY; IMPACT</t>
  </si>
  <si>
    <t>Ocean acidification is projected to inhibit the biogenic production of calcium carbonate skeletons in marine organisms. Antarctic waters represent a natural environment in which to examine the long-term effects of carbonate undersaturation on calcification in marine predators. King crabs (Decapoda: Anomura: Lithodidae), which currently inhabit the undersaturated environment of the continental slope off Antarctica, are potential invasives on the Antarctic shelf as oceanic temperatures rise. Here, we describe the chemical, physical, and mechanical properties of the exoskeleton of the deep-water Antarctic lithodid Paralomis birsteini and compare our measurements with two decapod species from shallow water at lower latitudes, Callinectes sapidus (Brachyura: Portunidae) and Cancer borealis (Brachyura: Cancridae). In Paralomis birsteini, crabs deposit proportionally more calcium carbonate in their predatory chelae than their protective carapaces, compared with the other two crab species. When exoskeleton thickness and microhardness were compared between the chelae and carapace, the magnitude of the difference between these body regions was significantly greater in P. birsteini than in the other species tested. Hence, there appeared to be a greater disparity in P. birsteini in overall investment in calcium carbonate structures among regions of the exoskeleton. The imperatives of prey consumption and predator avoidance may be influencing the deposition of calcium to different parts of the exoskeleton in lithodids living in an environment undersaturated with respect to calcium carbonate.</t>
  </si>
  <si>
    <t>[Steffel, Brittan V.; Aronson, Richard B.] Florida Inst Technol, Dept Ocean Engn &amp; Marine Sci, Melbourne, FL 32901 USA; [Smith, Kathryn E.] Univ Exeter, Coll Life &amp; Environm Sci, Exeter, Devon, England; [Dickinson, Gary H.; Baran, Kerstin A.; Rosen, Miranda N.] Coll New Jersey, Dept Biol, Ewing, NJ USA; [Flannery, Jennifer A.] US Geol Survey, St Petersburg, FL USA; [McClintock, James B.] Univ Alabama Birmingham, Dept Biol, Birmingham, AL 35294 USA</t>
  </si>
  <si>
    <t>Florida Institute of Technology; University of Exeter; College of New Jersey; United States Department of the Interior; United States Geological Survey; University of Alabama System; University of Alabama Birmingham</t>
  </si>
  <si>
    <t>Steffel, BV (corresponding author), Florida Inst Technol, Dept Ocean Engn &amp; Marine Sci, Melbourne, FL 32901 USA.</t>
  </si>
  <si>
    <t>bsteffel2012@fit.edu</t>
  </si>
  <si>
    <t>Smith, kathryn/KBC-9376-2024</t>
  </si>
  <si>
    <t>Dickinson, Gary/0000-0003-1073-1483; Steffel, Brittan/0000-0003-0477-8883; Baran, Kerstin/0000-0002-1522-4942</t>
  </si>
  <si>
    <t>National Science Foundation [ANT-1141877, ANT-1141896]</t>
  </si>
  <si>
    <t>National Science Foundation, Grant/Award Number: ANT-1141877 and ANT-1141896</t>
  </si>
  <si>
    <t>1077-8306</t>
  </si>
  <si>
    <t>1744-7410</t>
  </si>
  <si>
    <t>INVERTEBR BIOL</t>
  </si>
  <si>
    <t>Invertebr. Biol.</t>
  </si>
  <si>
    <t>e12246</t>
  </si>
  <si>
    <t>10.1111/ivb.12246</t>
  </si>
  <si>
    <t>ID7XC</t>
  </si>
  <si>
    <t>WOS:000471895200006</t>
  </si>
  <si>
    <t>Szopinska, M; Szuminska, D; Bialik, RJ; Dymerski, T; Rosenberg, E; Polkowska, Z</t>
  </si>
  <si>
    <t>Szopinska, Malgorzata; Szuminska, Danuta; Bialik, Robert Jozef; Dymerski, Tomasz; Rosenberg, Erwin; Polkowska, Zaneta</t>
  </si>
  <si>
    <t>Determination of polycyclic aromatic hydrocarbons (PAHs) and other organic pollutants in freshwaters on the western shore of Admiralty Bay (King George Island, Maritime Antarctica)</t>
  </si>
  <si>
    <t>Admiralty Bay; Arctowski Polish Antarctic Station; Freshwater chemistry; Maritime Antarctica; Organic pollution; Polycyclic aromatic hydrocarbons (PAHs)</t>
  </si>
  <si>
    <t>SOUTH SHETLAND ISLANDS; ICE-FREE AREA; DECEPTION ISLAND; SURFACE WATERS; CLIMATE-CHANGE; FOREST-FIRES; POTTER COVE; SEDIMENTS; SOILS; CONTAMINATION</t>
  </si>
  <si>
    <t>Organic contamination in freshwater samples has never been investigated at the western shore of Admiralty Bay. Therefore, the presence of polycyclic aromatic hydrocarbons (PAHs) in five different sites distributed along a shore running from the Arctowski Station to the Baranowski Glacier was studied. Moreover, organic compounds such as n-alkanes, toluene and ethylbenzene were also noted. Increased sigma PAHs in late Austral summer 2016 are the result of long-range atmospheric transport of air masses from South America, confirmed by 10-day backward air mass trajectories analysis. The presence of n-alkanes and other hydrocarbons, as well as the evaluation of PAH indices (e.g. sigma LMW/sigma HMW* &gt;1), shows the use of fuel and indicate local human activity. As a final conclusion, our analysis indicates a mixed origin of PAHs (global and local). The presence of PAHs and other hydrocarbons in the water environment may constitute a potentially negative effect on the Antarctic ecosystem and it should be investigated in detail during further research (//*sigma LMWsum of low molecular weight PAHs (two- and three-ring PAHs); sigma HMWsum of high molecular weight PAHs (four- and five-ring PAHs)//).</t>
  </si>
  <si>
    <t>[Szopinska, Malgorzata] Gdansk Univ Technol, Dept Water &amp; Waste Water Technol, Fac Civil &amp; Environm Engn, 11-12 Narutowicza St, PL-80233 Gdansk, Poland; [Szuminska, Danuta] Kazimierz Wielki Univ, Inst Geog, 8 Koscielecki Sq, PL-85033 Bydgoszcz, Poland; [Bialik, Robert Jozef] Polish Acad Sci, Inst Biochem &amp; Biophys, Pawinskiego 5a, PL-02106 Warsaw, Poland; [Dymerski, Tomasz; Polkowska, Zaneta] Gdansk Univ Technol, Dept Analyt, Fac Chem, 11-12 Narutowicza St, PL-80233 Gdansk, Poland; [Rosenberg, Erwin] Vienna Univ Technol, Inst Chem Technol &amp; Analyt, Getreidemarkt 9-164 AC, A-1060 Vienna, Austria</t>
  </si>
  <si>
    <t>Fahrenheit Universities; Gdansk University of Technology; Kazimierz Wielki University; Polish Academy of Sciences; Institute of Biochemistry &amp; Biophysics - Polish Academy of Sciences; Fahrenheit Universities; Gdansk University of Technology; Technische Universitat Wien</t>
  </si>
  <si>
    <t>Szopinska, M (corresponding author), Gdansk Univ Technol, Dept Water &amp; Waste Water Technol, Fac Civil &amp; Environm Engn, 11-12 Narutowicza St, PL-80233 Gdansk, Poland.;Polkowska, Z (corresponding author), Gdansk Univ Technol, Dept Analyt, Fac Chem, 11-12 Narutowicza St, PL-80233 Gdansk, Poland.</t>
  </si>
  <si>
    <t>malszopi@pg.edu.pl; zanpolko@pg.edu.pl</t>
  </si>
  <si>
    <t>Szopińska, Małgorzata/AAX-9597-2021; Rosenberg, Erwin/AAE-5952-2020; Polkowska, Zaneta/AAA-3578-2020; Szumińska, Danuta/AAM-5133-2020; Dymerski, Tomasz/A-9070-2015</t>
  </si>
  <si>
    <t>Szopińska, Małgorzata/0000-0003-2186-7781; Szumińska, Danuta/0000-0001-7142-9080; Polkowska, Zaneta/0000-0002-2730-0068; Bialik, Robert/0000-0002-0254-6352; Rosenberg, Erwin/0000-0002-3608-4571</t>
  </si>
  <si>
    <t>Kazimierz Wielki University in Bydgoszcz [BS2016/5]; Austrian Academic Exchange Service (OeAD); Polish Ministry of Science and Higher Education</t>
  </si>
  <si>
    <t>Kazimierz Wielki University in Bydgoszcz; Austrian Academic Exchange Service (OeAD); Polish Ministry of Science and Higher Education(Ministry of Science and Higher Education, Poland)</t>
  </si>
  <si>
    <t>The study was also supported by a grant no. BS2016/5 'Transformation of river systems as a result of natural and anthropogenic factors' financed by Kazimierz Wielki University in Bydgoszcz. Moreover, this study was part of the ongoing bilateral research project 'Green Analytical Chemistry in Air and Water Pollution Assessment', which is financially supported by the Austrian Academic Exchange Service (OeAD) and the Polish Ministry of Science and Higher Education. The authors would also like to thank the SHIM-POL A.M. Borzymowski for their support during the Antarctic expedition and providing research equipment.</t>
  </si>
  <si>
    <t>10.1007/s11356-019-05045-w</t>
  </si>
  <si>
    <t>ID5ON</t>
  </si>
  <si>
    <t>WOS:000471725900026</t>
  </si>
  <si>
    <t>Clarke, A</t>
  </si>
  <si>
    <t>Clarke, Andrew</t>
  </si>
  <si>
    <t>Energy Flow in Growth and Production</t>
  </si>
  <si>
    <t>TRENDS IN ECOLOGY &amp; EVOLUTION</t>
  </si>
  <si>
    <t>DYNAMIC ACTION; GENERAL-MODEL; RESPIRATION</t>
  </si>
  <si>
    <t>Growth involves two flows of energy: the chemical energy in the monomers used to construct the macromolecules that comprise tissue (proteins, nucleic acids, lipid membranes), and the metabolic energy used to build those macromolecules. The metabolic costs of synthesising the macromolecules necessary to build tissue are well defined, and we have a robust estimate of the overall cost of growth for an individual ectotherm. At the population level the cost of production appears to be much greater for endotherms than ectotherms, the reasons for which are not fully understood. These uncertainties are important to resolve if we wish to accurately model the flow of energy through populations or ecosystems because simply scaling up from individual energetics may produce misleading results.</t>
  </si>
  <si>
    <t>[Clarke, Andrew] British Antarctic Survey, Madingley Rd, Cambridge CB3 0ET, England</t>
  </si>
  <si>
    <t>Clarke, A (corresponding author), British Antarctic Survey, Madingley Rd, Cambridge CB3 0ET, England.</t>
  </si>
  <si>
    <t>accl@bas.ac.uk</t>
  </si>
  <si>
    <t>ELSEVIER SCIENCE LONDON</t>
  </si>
  <si>
    <t>84 THEOBALDS RD, LONDON WC1X 8RR, ENGLAND</t>
  </si>
  <si>
    <t>0169-5347</t>
  </si>
  <si>
    <t>1872-8383</t>
  </si>
  <si>
    <t>TRENDS ECOL EVOL</t>
  </si>
  <si>
    <t>Trends Ecol. Evol.</t>
  </si>
  <si>
    <t>10.1016/j.tree.2019.02.003</t>
  </si>
  <si>
    <t>Ecology; Evolutionary Biology; Genetics &amp; Heredity</t>
  </si>
  <si>
    <t>Environmental Sciences &amp; Ecology; Evolutionary Biology; Genetics &amp; Heredity</t>
  </si>
  <si>
    <t>ID5XT</t>
  </si>
  <si>
    <t>WOS:000471751300007</t>
  </si>
  <si>
    <t>Negrete, J; Soibelzon, LH; Soibelzon, E; Lusky, J</t>
  </si>
  <si>
    <t>Negrete, Javier; Soibelzon, Leopoldo H.; Soibelzon, Esteban; Lusky, Jorge</t>
  </si>
  <si>
    <t>New records of mummified crabeater seals on islands bordering Admiralty Sound, Weddell Sea</t>
  </si>
  <si>
    <t>aerial survey; Isla Marambio; sea ice break-up; Snow Hill Island; taphonomic state</t>
  </si>
  <si>
    <t>PACK-ICE SEALS; JAMES-ROSS-ISLAND; LOBODON-CARCINOPHAGUS; MCMURDO SOUND; ABUNDANCE; CARCASSES; TAPHONOMY; RESERVOIR; BEHAVIOR; DENSITY</t>
  </si>
  <si>
    <t>Ninety-six mummified crabeater seals discovered at Seymour Island (Isla Marambio) are reported. Each specimen was georeferenced, photographed and assigned to five different taphonomic states. Previous work stated that seals at Seymour Island get stranded inland around the breeding season. However, it is not clear if the species breeds in this area. The abundance of crabeater seals and the ice condition along Admiralty Sound (Estrecho Bouchard) were obtained by aerial surveys during spring (2015-17). It appears that the species uses the strait as a passage to breeding grounds. Under heavy ice conditions, the seals become stranded in the middle section of this strait and wander inland through a valley that represents the mouth of an ephemeral stream that ends at the pack ice level. This situation was observed in 2014 and 2015 when recently dead seals were found, evidencing that this natural trap is still active. Nonetheless, in 2016 and 2017, during an early breakup of Admiralty Sound, the seals that remained in the area were more numerous than in 2015 but they did not get stranded inland. This early breakup may encourage the seals to breed there in the presence of open water areas with ice floes.</t>
  </si>
  <si>
    <t>[Negrete, Javier] Inst Antartico Argentine, Dept Predadores Tope, Cerrito 1248,C1010AAZ, Buenos Aires, DF, Argentina; [Soibelzon, Leopoldo H.; Soibelzon, Esteban] Univ Nacl La Plata, Fac Ciencias Nat &amp; Museo, Museo La Plata, Div Paleontol Vertebrados, Paseo Bosque S-N, RA-1900 La Plata, Buenos Aires, Argentina; [Soibelzon, Leopoldo H.; Soibelzon, Esteban] Consejo Nacl Invest Cient Conicet, Av Rivadavia 1917,C1033AAJ, Caba, Argentina; [Lusky, Jorge] Direcc Nacl Antartico, Dept Tecn &amp; Logist Polar, Cerrito 1248,C1010AAZ, Buenos Aires, DF, Argentina; [Negrete, Javier] Univ Nacl La Plata, Fac Ciencias Nat &amp; Museo, Av 60 &amp; 122 S-N, RA-1900 La Plata, Buenos Aires, Argentina</t>
  </si>
  <si>
    <t>Instituto Antartico Argentino; National University of La Plata; Museo La Plata; National University of La Plata; Museo La Plata</t>
  </si>
  <si>
    <t>Negrete, J (corresponding author), Inst Antartico Argentine, Dept Predadores Tope, Cerrito 1248,C1010AAZ, Buenos Aires, DF, Argentina.</t>
  </si>
  <si>
    <t>negretejavi@hotmail.com</t>
  </si>
  <si>
    <t>Negrete, Javier/0000-0001-6853-8307</t>
  </si>
  <si>
    <t>PICTA [2010-01 IAA]; UNLP [PI 11/N816]</t>
  </si>
  <si>
    <t>PICTA; UNLP(National University of La Plata)</t>
  </si>
  <si>
    <t>The authors are especially grateful to Dr Marthan Bester and Dr Daniel Nyvlt for their comments that clearly improved this manuscript. This contribution was funded by the PICTA 2010-01 IAA and UNLP (PI 11/N816).</t>
  </si>
  <si>
    <t>PII S0954102019000051</t>
  </si>
  <si>
    <t>10.1017/S0954102019000051</t>
  </si>
  <si>
    <t>ID4US</t>
  </si>
  <si>
    <t>WOS:000471672400002</t>
  </si>
  <si>
    <t>Wallis, JR; Melvin, JE; Kings, R; Kawaguchi, S</t>
  </si>
  <si>
    <t>Wallis, Jake R.; Melvin, Jessica E.; Kings, Robert; Kawaguchi, So</t>
  </si>
  <si>
    <t>In situ growth rate estimates of Southern Ocean krill, Thysanoessa macrura</t>
  </si>
  <si>
    <t>daily growth rate; instantaneous growth rate; intermoult period</t>
  </si>
  <si>
    <t>ANTARCTIC KRILL; EUPHAUSIA-SUPERBA; CRUSTACEA</t>
  </si>
  <si>
    <t>Growth, which is intrinsically linked to environmental conditions including temperature and food availability are highly variable both temporally and spatially. Estimates of growth rates of the Southern Ocean euphausiid Thysanoessa macrura are currently restricted to limited studies which rely upon repeated sampling and length-frequency analysis to quantify growth rates. The instantaneous growth method (IGR) was used to measure the growth rate of T. macrura successfully in the southern Kerulen Plateau region during summer, providing the first IGR parameters for the Southern Ocean euphausiid species. Results of the four-day IGR incubation indicate a period of low somatic growth for adult T. macrura. Males had a longer intermoult period (IMP) (62 days) than females (42 days), but the sexes exhibited similar daily growth rates of 0.011 mm day(-1) and 0.012 mm day(-1) respectively. Juveniles exhibited the fastest growth, with an IMP of 13 days and daily growth rate of 0.055 mm day(-1) indicating a prolonged growth season, similar to the Antarctic krill E. superba. Consequently, we highlight the usability of the IGR method and strongly encourage its use in developing a comprehensive understanding of spatial and seasonal growth patterns of T. macrura.</t>
  </si>
  <si>
    <t>[Wallis, Jake R.; Melvin, Jessica E.] Univ Tasmania, Inst Marine &amp; Antarctic Studies, Private Bag 129, Hobart, Tas 7001, Australia; [Wallis, Jake R.; Melvin, Jessica E.; Kawaguchi, So] Univ Tasmania, Antarctic Climate &amp; Ecosyst Cooperat Res Ctr, Private Bag 80, Hobart, Tas 7001, Australia; [Kings, Robert; Kawaguchi, So] Australian Antarctic Div, 203 Channel Highway, Kingston, Tas 7050, Australia</t>
  </si>
  <si>
    <t>University of Tasmania; University of Tasmania; Antarctic Climate &amp; Ecosystems Cooperative Research Centre (ACE CRC); Australian Antarctic Division</t>
  </si>
  <si>
    <t>Wallis, JR (corresponding author), Univ Tasmania, Inst Marine &amp; Antarctic Studies, Private Bag 129, Hobart, Tas 7001, Australia.;Wallis, JR (corresponding author), Univ Tasmania, Antarctic Climate &amp; Ecosyst Cooperat Res Ctr, Private Bag 80, Hobart, Tas 7001, Australia.</t>
  </si>
  <si>
    <t>jrwallis@uras.edu.au</t>
  </si>
  <si>
    <t>Kawaguchi, So/N-1795-2017</t>
  </si>
  <si>
    <t>Wallis, Jake/0000-0003-2932-612X; Melvin, Jessica/0000-0002-0625-0049; King, Robert/0000-0002-4650-2335; Kawaguchi, So/0000-0002-2042-5095</t>
  </si>
  <si>
    <t>Antarctic Climate and Ecosystems Cooperative Research Centre (ACE CRC); Australian Antarctic Science (AAS) [4331, 4344, 4037]</t>
  </si>
  <si>
    <t>Antarctic Climate and Ecosystems Cooperative Research Centre (ACE CRC)(Australian GovernmentDepartment of Industry, Innovation and ScienceCooperative Research Centres (CRC) Programme); Australian Antarctic Science (AAS)</t>
  </si>
  <si>
    <t>We would like to thank the captain and crew of the Aurora Australis and the members of the research expedition for their help and support during sample collection and the running of the experiment. We would also like to thank the reviewers for their help and expertise. This research was supported by the Antarctic Climate and Ecosystems Cooperative Research Centre (ACE CRC) and funded through the Australian Antarctic Science (AAS) grants 4331, 4344 and 4037.</t>
  </si>
  <si>
    <t>10.1017/S0954102019000063</t>
  </si>
  <si>
    <t>WOS:000471672400003</t>
  </si>
  <si>
    <t>Vick-Majors, TJ; Priscu, JC</t>
  </si>
  <si>
    <t>Vick-Majors, Trista J.; Priscu, John C.</t>
  </si>
  <si>
    <t>Inorganic carbon fixation in ice-covered lakes of the McMurdo Dry Valleys</t>
  </si>
  <si>
    <t>ammonia oxidation; carbon budget; chemolithoautotrophy; chemoautotrophy</t>
  </si>
  <si>
    <t>ANTARCTIC LAKES; POLAR NIGHT; PHYTOPLANKTON; COMMUNITIES; DIVERSITY; FRYXELL; MICROPLANKTON; BACTERIA; DESERT</t>
  </si>
  <si>
    <t>Inorganic carbon fixation, usually mediated by photosynthetic microorganisms, is considered to form the base of the food chain in aquatic ecosystems. In high-latitude lakes, lack of sunlight owing to seasonal solar radiation limits the activity of photosynthetic plankton during the polar winter, causing respiration-driven demand for carbon to exceed supply. Here, we show that inorganic carbon fixation in the dark, driven by organisms that gain energy from chemical reactions rather than sunlight (chemolithoautotrophs), provides a significant influx of fixed carbon to two permanently ice-covered lakes (Fryxell and East Bonney). Fryxell, which has higher biomass per unit volume of water, had higher rates of inorganic dark carbon fixation by chemolithoautotrophs than East Bonney (trophogenic zone average 1.0 mu g C l(-1) d(-1) vs 0.08 mu g C l(-1) d(-1), respectively). This contribution from dark carbon fixation was partly due to the activity of ammonia oxidizers, which are present in both lakes. Despite the potential importance of new carbon input by chemolithoautotrophic activity, both lakes remain net heterotrophic, with respiratory demand for carbon exceeding supply. Dark carbon fixation increased the ratio of new carbon supply to respiratory demand from 0.16 to 0.47 in Fryxell, and from 0.14 to 0.22 in East Bonney.</t>
  </si>
  <si>
    <t>[Vick-Majors, Trista J.; Priscu, John C.] Montana State Univ, Dept Land Resources &amp; Environm Sci, 334 Leon Johnson Hall, Bozeman, MT 59717 USA; [Vick-Majors, Trista J.] Univ Montana, Flathead Lake Biol Stn, 32125 Bio Stn Lane, Polson, MT 59860 USA</t>
  </si>
  <si>
    <t>Montana State University System; Montana State University Bozeman; University of Montana System; University of Montana</t>
  </si>
  <si>
    <t>Priscu, JC (corresponding author), Montana State Univ, Dept Land Resources &amp; Environm Sci, 334 Leon Johnson Hall, Bozeman, MT 59717 USA.</t>
  </si>
  <si>
    <t>Vick-Majors, Trista/AAQ-6258-2020</t>
  </si>
  <si>
    <t>Vick-Majors, Trista/0000-0002-6868-4010</t>
  </si>
  <si>
    <t>NSF [OPP-1115254, OPP-1340292, OPP-7460252]; American Association of University Women Dissertation Fellowship; Montana Space Grant Consortium Graduate Fellowship</t>
  </si>
  <si>
    <t>NSF(National Science Foundation (NSF)); American Association of University Women Dissertation Fellowship; Montana Space Grant Consortium Graduate Fellowship</t>
  </si>
  <si>
    <t>We thank the 2008-09 and 2009-10 McMurdo LTER limnology teams for assistance with sample collection and processing and Alexander Michaud and Pamela Santibanez for comments on the manuscript. This work was funded by NSF grants OPP-1115254, OPP-1340292, and OPP-7460252 to JCP. TJV-M received support from an American Association of University Women Dissertation Fellowship and a Montana Space Grant Consortium Graduate Fellowship. We are also grateful to David Walton, for editorial input, as well as input from Clive Howard-Williams, and that of an anonymous reviewer. We dedicate this paper to D. Walton for his dedication to all fields of Antarctic Science.</t>
  </si>
  <si>
    <t>PII S0954102019000075</t>
  </si>
  <si>
    <t>10.1017/S0954102019000075</t>
  </si>
  <si>
    <t>WOS:000471672400004</t>
  </si>
  <si>
    <t>Fretwell, PT; Trathan, PN</t>
  </si>
  <si>
    <t>Fretwell, Peter T.; Trathan, Philip N.</t>
  </si>
  <si>
    <t>Emperors on thin ice: three years of breeding failure at Halley Bay</t>
  </si>
  <si>
    <t>El Nino; ENSO; emperor penguins; Halley; penguins; sea ice</t>
  </si>
  <si>
    <t>EL-NINO; PENGUIN COLONIES; ROSS SEA</t>
  </si>
  <si>
    <t>Satellite imagery is used to show that the world's second largest emperor penguin colony, at Halley Bay, has suffered three years of almost total breeding failure. Although, like all emperor colonies, there has been large inter-annual variability in the breeding success at this site, the prolonged period of failure is unprecedented in the historical record. The observed events followed the early breakup of the fast ice in the ice creeks that the birds habitually used for breeding. The initial breakup was associated with a particularly stormy period in September 2015, which corresponded with the strongest El Nino in over 60 years, strong winds, and a record low sea-ice year locally. Conditions have not recovered in the two years since. Meanwhile, during the same three-year period, the nearby Dawson-Lambton colony, 55 km to the south, has seen a more than tenfold increase in penguin numbers. The authors associate this with immigration from the birds previously breeding at Halley Bay. Studying this 'tale of two cities' provides valuable information relevant to modelling penguin movement under future climate change scenarios.</t>
  </si>
  <si>
    <t>[Fretwell, Peter T.; Trathan, Philip N.] British Antarctic Survey, NERC, Madingley Rd, Cambridge CB3 0ET, England</t>
  </si>
  <si>
    <t>Fretwell, PT (corresponding author), British Antarctic Survey, NERC, Madingley Rd, Cambridge CB3 0ET, England.</t>
  </si>
  <si>
    <t>ptf@bas.ac.uk</t>
  </si>
  <si>
    <t>WWF-UK [GB095701]; NERC [bas010011, bas0100035] Funding Source: UKRI</t>
  </si>
  <si>
    <t>WWF-UK; NERC(UK Research &amp; Innovation (UKRI)Natural Environment Research Council (NERC))</t>
  </si>
  <si>
    <t>WWF-UK supported the project under Grant GB095701. The authors are grateful to Jennifer Brown for assistance with image processing and Louise Ireland for ordering imagery. The authors are also grateful to Michelle La Rue and Barbara Wienecke for helpful comments on an earlier draft of this manuscript.</t>
  </si>
  <si>
    <t>10.1017/S0954102019000099</t>
  </si>
  <si>
    <t>WOS:000471672400005</t>
  </si>
  <si>
    <t>Schiller, M; Dickinson, WW; Iverson, NA; Baker, JA</t>
  </si>
  <si>
    <t>Schiller, M.; Dickinson, W. W.; Iverson, N. A.; Baker, J. A.</t>
  </si>
  <si>
    <t>A re-evaluation of the Hart Ash, an important stratigraphic marker: Wright Valley, Antarctica</t>
  </si>
  <si>
    <t>McMurdo Dry Valleys; palaeoenvironmental; Pliocene; stratigraphy; tephra</t>
  </si>
  <si>
    <t>SOUTHERN VICTORIA LAND; DRY VALLEYS; GRAIN-SIZE; PLIOCENE PALEOCLIMATE; GLACIAL HISTORY; MIOCENE; THICKNESS; REGION; ICE</t>
  </si>
  <si>
    <t>Reliably dated surficial deposits for reconstructing palaeoclimate are rare in the McMurdo Dry Valleys of Antarctica. While many tephra have been found and dated, none is well characterized. In the Wright Valley, the Hart Ash is poorly dated and described. This paper reports profiles through tephra, the chemical signature of the glass shards and new high-precision multi-crystal laser fusion of 40Ar/39Ar ages. Major and trace element analyses of glass shards indicate the tephra are phonolitic and most probably sourced from Mount Discovery in the Erebus volcanic province. Two chemically distinct and stratigraphically separate tephra layers within the Hart Ash were found in three closely spaced soil profiles. The complex stratigraphy between these profiles could not be delineated without the geochemistry of the tephra. Importantly, our data suggest that only one tephra may be an in situ fall-out deposit, which gave a robust age of 2.97 +/- 0.02 Ma. This new age for the Hart Ash tephra, which is 10 cm thick and is preserved at the current surface, provides a maximum age for surface deposits in the lower Wright Valley. This study highlights that well-characterized tephra enhance stratigraphic correlations in the Dry Valleys and improve the accuracy of palaeoenvironmental interpretations.</t>
  </si>
  <si>
    <t>[Schiller, M.] Univ Copenhagen, Nat Hist Museum Denmark, Ctr Star &amp; Planet Format, DK-1350 Copenhagen, Denmark; [Dickinson, W. W.] Victoria Univ Wellington, Antarctic Res Ctr, POB 600, Wellington, New Zealand; [Iverson, N. A.] New Mexico Inst Min &amp; Technol, New Mexico Bur Geol &amp; Mineral Resources, Socorro, NM 87801 USA; [Baker, J. A.] Univ Auckland, Sch Environm, Private Bag 92019, Auckland, New Zealand</t>
  </si>
  <si>
    <t>University of Copenhagen; Victoria University Wellington; New Mexico Institute of Mining Technology; University of Auckland</t>
  </si>
  <si>
    <t>Dickinson, WW (corresponding author), Victoria Univ Wellington, Antarctic Res Ctr, POB 600, Wellington, New Zealand.</t>
  </si>
  <si>
    <t>Warren.Dickinson@vuw.ac.nz</t>
  </si>
  <si>
    <t>Schiller, Martin/E-8054-2010</t>
  </si>
  <si>
    <t>Schiller, Martin/0000-0003-4149-0627; Iverson, Nels/0000-0002-7110-5040</t>
  </si>
  <si>
    <t>PII S0954102019000129</t>
  </si>
  <si>
    <t>10.1017/S0954102019000129</t>
  </si>
  <si>
    <t>WOS:000471672400006</t>
  </si>
  <si>
    <t>Pang, XP; Gao, X; Ji, Q</t>
  </si>
  <si>
    <t>Pang, Xiaoping; Gao, Xiang; Ji, Qing</t>
  </si>
  <si>
    <t>Comparison of sea ice classification methods based on satellite scatterometer and radiometer data in the Weddell Sea, Antarctica</t>
  </si>
  <si>
    <t>ASPeCt; histogram threshold; sea ice type</t>
  </si>
  <si>
    <t>AMSR-E; MICROWAVE; EDGE; VARIABILITY</t>
  </si>
  <si>
    <t>Information on sea ice type is an important factor for deriving sea ice parameters from satellite remote sensing data, such as sea ice concentration, extent and thickness. In this study, sea ice in the Weddell Sea was classified by the histogram threshold (HT) method, the Spreen model (SM) method from satellite scatterometer data and the strong contrast (SC) method from radiometer data, and this information was compared with Antarctic Sea Ice Processes and Climate (ASPeCt) sea ice-type ship-based observations. The results show that all three methods can distinguish the multi-year (MY) ice and first-year (FY) ice using Ku-band scatterometer data and radiometer data during the ice growth season, while C-band scatterometer data are not suitable for MY ice and FY ice discrimination using HT and SM methods. The SM model has a smaller MY ice classification extent than the HT method from scatterometer data. The classification accuracy of the SM method is the higher compared to ship-based observations. It can be concluded that the SM method is a promising method for discriminating MY ice from FY ice. These results provide a reference for further retrieval of long-term sea ice-type information for the whole of Antarctica.</t>
  </si>
  <si>
    <t>[Pang, Xiaoping; Gao, Xiang; Ji, Qing] Wuhan Univ, Chinese Antarctic Ctr Surveying &amp; Mapping, Wuhan 430079, Hubei, Peoples R China; [Pang, Xiaoping; Ji, Qing] Natl Adm Surveying Mapping &amp; Geoinformat, Key Lab Polar Surveying &amp; Mapping, Wuhan 430079, Hubei, Peoples R China</t>
  </si>
  <si>
    <t>Ji, Q (corresponding author), Wuhan Univ, Chinese Antarctic Ctr Surveying &amp; Mapping, Wuhan 430079, Hubei, Peoples R China.;Ji, Q (corresponding author), Natl Adm Surveying Mapping &amp; Geoinformat, Key Lab Polar Surveying &amp; Mapping, Wuhan 430079, Hubei, Peoples R China.</t>
  </si>
  <si>
    <t>jiqing@whu.edu.cn</t>
  </si>
  <si>
    <t>National Natural Science Foundation of China [41606215, 41576188]; National Key Research and Development Program of China [2017YFA0603104]; Fundamental Research Funds for the Central Universities [2042016kf0038]; Chinese Postdoctoral Science Foundation [2016M602342]</t>
  </si>
  <si>
    <t>National Natural Science Foundation of China(National Natural Science Foundation of China (NSFC)); National Key Research and Development Program of China; Fundamental Research Funds for the Central Universities(Fundamental Research Funds for the Central Universities); Chinese Postdoctoral Science Foundation(China Postdoctoral Science Foundation)</t>
  </si>
  <si>
    <t>The authors would like to thank the BYU, the National Snow and Ice Data Center, the Japan Aerospace Exploration Agency, PANGAEA and the Australian Antarctic Data Centre and for providing QuikSCAT, ASCAT, OSCAT, AMSR-E, AMSR2 and ASPeCt sea ice conditions data. The authors acknowledge the support from the National Natural Science Foundation of China (41606215, 41576188), the National Key Research and Development Program of China (2017YFA0603104), the Fundamental Research Funds for the Central Universities (2042016kf0038) and the Chinese Postdoctoral Science Foundation Funded Project (2016M602342). The authors would also like to thank the two anonymous reviewers for their constructive and helpful comments and suggestions.</t>
  </si>
  <si>
    <t>10.1017/S0954102019000154</t>
  </si>
  <si>
    <t>WOS:000471672400007</t>
  </si>
  <si>
    <t>Gardner, CB; Lyons, WB</t>
  </si>
  <si>
    <t>Gardner, Christopher B.; Lyons, W. Berry</t>
  </si>
  <si>
    <t>Modelled composition of cryogenically produced subglacial brines, Antarctica</t>
  </si>
  <si>
    <t>HYDROCHEMISTRY; BENEATH; ORIGIN</t>
  </si>
  <si>
    <t>Polar subglacial hydrologic systems have garnered much interest since the recognition of Lake Vostok in 1996. In Antarctica, these environments are hydrologically diverse, including isolated lakes of different sizes, river-lake flow-through systems, swamps and groundwater (Siegert 2016). The refreezing of subglacial meltwater is also an important process beneath a large portion of the East Antarctic Ice Sheet (Bell et al. 2011). As subglacial water refreezes it exsolves salts, potentially leaving behind saline and hypersaline brines. Brines thought to derive from this cryoconcentration process have been observed in the northern polar permafrost regions and in the McMurdo Dry Valleys (MDVs) region of Antarctica. Additionally, sediments in the Victoria Land Basin have diagenetic signatures produced by brine movement dating from 3-11 m.y.a, suggesting hypersaline brines have existed in the McMurdo region since at least this time (Staudigel et al. 2018).</t>
  </si>
  <si>
    <t>[Gardner, Christopher B.] Ohio State Univ, Sch Earth Sci, Columbus, OH 43210 USA; Ohio State Univ, Byrd Polar &amp; Climate Res Ctr, Columbus, OH 43210 USA</t>
  </si>
  <si>
    <t>University System of Ohio; Ohio State University; University System of Ohio; Ohio State University</t>
  </si>
  <si>
    <t>Gardner, CB (corresponding author), Ohio State Univ, Sch Earth Sci, Columbus, OH 43210 USA.</t>
  </si>
  <si>
    <t>Gardner.177@osu.edu</t>
  </si>
  <si>
    <t>Gardner, Christopher/0000-0003-0400-3754</t>
  </si>
  <si>
    <t>NSF [ANT-1144176]</t>
  </si>
  <si>
    <t>This work was supported in part by NSF grant ANT-1144176.</t>
  </si>
  <si>
    <t>10.1017/S095410201900004X</t>
  </si>
  <si>
    <t>WOS:000471672400008</t>
  </si>
  <si>
    <t>Heggie, V</t>
  </si>
  <si>
    <t>Heggie, Vanessa</t>
  </si>
  <si>
    <t>Blood, race and indigenous peoples in twentieth century extreme physiology</t>
  </si>
  <si>
    <t>HISTORY AND PHILOSOPHY OF THE LIFE SCIENCES</t>
  </si>
  <si>
    <t>Blood; Acclimatisation; Race science; Adaptation; Physiology; Altitude</t>
  </si>
  <si>
    <t>BIOLOGY; EXPEDITION; SCIENCE; CLIMATE; DISEASE</t>
  </si>
  <si>
    <t>In the first half of the twentieth century the attention of American and European researchers was drawn to the area of extreme physiology', partly because of expeditions to the north and south poles, and to high altitude, but also by global conflicts which were fought for the first time with aircraft, and involved conflict in non-temperate zones, deserts, and at the freezing Eastern front. In an attempt to help white Euro-Americans survive in extreme environments, physiologists, anthropologists, and explorers studied indigenous people's bodies, cultures, and technologies. This paper will sketch an outline of the science of white survival in three extreme' environments: the Antarctic and Arctic; high-altitude; and the Australian desert, with a particular focus on the ways in which indigenous populations were studied, or in some cases ignored, by Western biomedical scientistsdespite their crucial and systematic contributions to the success of experiments and expeditions. Particularly focusing on altitude, and on blood in both its symbolic (hereditary) and literal sense, the article shows how assumptions about race, indigeneity, civilisation, and evolution shaped the ways White Westerners understood their own bodies as well as those of the people they encountered in cold, high and hot places on the earth. Despite new discoveries in physiology and evolutionary science, old racialised assumptions were maintained, especially those that figured the temperate body as civilised and the tropical body as primitive; and in at least one case it will be shown that these racialised assumptions significantly altered, if not retarded, the science of respiratory physiology.</t>
  </si>
  <si>
    <t>[Heggie, Vanessa] Univ Birmingham, Birmingham, W Midlands, England</t>
  </si>
  <si>
    <t>University of Birmingham</t>
  </si>
  <si>
    <t>Heggie, V (corresponding author), Univ Birmingham, Birmingham, W Midlands, England.</t>
  </si>
  <si>
    <t>v.heggie@bham.ac.uk</t>
  </si>
  <si>
    <t>Heggie, Vanessa/C-6361-2012</t>
  </si>
  <si>
    <t>Heggie, Vanessa/0000-0001-9659-7072</t>
  </si>
  <si>
    <t>Wellcome Trust [088204/Z/09/A]; Isaac Newton Trust; Cambridge University; Sydney Centre for the Foundations of Science, University of Sydney; Wellcome Trust [088204/Z/09/A] Funding Source: Wellcome Trust</t>
  </si>
  <si>
    <t>Wellcome Trust(Wellcome Trust); Isaac Newton Trust; Cambridge University(University of Cambridge); Sydney Centre for the Foundations of Science, University of Sydney; Wellcome Trust(Wellcome Trust)</t>
  </si>
  <si>
    <t>I thank all the participants in the 'Blood, Food, and Climate: historical relationships between physiology, race, nation-building and colonialism/globalization' panel at the 25th International Congress of the History of Science and Technology in 2017. Support for this research was provided by the Wellcome Trust (Grant No. 088204/Z/09/A), the Isaac Newton Trust, Cambridge University, and a Visiting Fellowship at the Sydney Centre for the Foundations of Science, University of Sydney.</t>
  </si>
  <si>
    <t>0391-9714</t>
  </si>
  <si>
    <t>1742-6316</t>
  </si>
  <si>
    <t>HIST PHIL LIFE SCI</t>
  </si>
  <si>
    <t>Hist. Philos. Life Sci.</t>
  </si>
  <si>
    <t>10.1007/s40656-019-0264-z</t>
  </si>
  <si>
    <t>History &amp; Philosophy Of Science</t>
  </si>
  <si>
    <t>Science Citation Index Expanded (SCI-EXPANDED); Social Science Citation Index (SSCI); Arts &amp; Humanities Citation Index (A&amp;HCI)</t>
  </si>
  <si>
    <t>History &amp; Philosophy of Science</t>
  </si>
  <si>
    <t>ID3WB</t>
  </si>
  <si>
    <t>WOS:000471606700002</t>
  </si>
  <si>
    <t>Holan, JR; King, CK; Proctor, AH; Davis, AR</t>
  </si>
  <si>
    <t>Holan, Jessica R.; King, Catherine K.; Proctor, Abigael H.; Davis, Andrew R.</t>
  </si>
  <si>
    <t>Increased sensitivity of subantarctic marine invertebrates to copper under a changing climate - Effects of salinity and temperature</t>
  </si>
  <si>
    <t>Multiple stressors; Macquarie island; Toxicity; Temperature; Salinity; Copper</t>
  </si>
  <si>
    <t>URCHIN STERECHINUS-NEUMAYERI; SOUTHERN-OCEAN; OXYGEN-CONSUMPTION; METAL ACCUMULATION; MACQUARIE ISLAND; TOXICITY; CONTAMINANTS; STRESSORS; COPEPOD; ECOSYSTEMS</t>
  </si>
  <si>
    <t>Stressors associated with climate change and contaminants, resulting from the activities of humans, are affecting organisms and ecosystems globally. Previous studies suggest that the unique characteristics of polar biota, such as slower metabolisms and growth, and the generally stable conditions in their natural environment, cause higher susceptibility to contamination and climate change than those in temperate and tropical areas. We investigated the effects of increased temperature and decreased salinity on copper toxicity in four subantarctic marine invertebrates using realistic projected conditions under a future climatic change scenario for this region. We hypothesised that these relatively subtle shifts in environmental stressors would impact the sensitivity of cold-adapted species to copper. The four test species were: a copepod Harpacticus sp.; isopod Limnoria stephenseni; flatworm Obrimoposthia ohlini; and bivalve Gaimardia trapesina. These species occupy a range of ecological niches, spanning intertidal and subtidal nearshore zones. We predicted that species would differ in their tolerance to stressors, depending on where they occurred within this ecological gradient. Organisms were exposed to the multiple stressors in a factorial design in laboratory based toxicity tests. Sensitivity estimates for copper (LC50) were calculated using a novel statistical approach which directly assessed the impacts of the multiple stressors. In three of the four species tested, sensitivity to copper was amplified by small increases in temperature (2-4 degrees C). The effects of salinity were more variable but a decrease of as little as 2 ppt caused a significant effect in one species. This study provides some of the first evidence that high latitude species may be at increased risk from contaminants under projected future climate conditions. This interaction, between contaminants and the abiotic environment, highlights a potential pathway to biodiversity loss under a changing climate. Crown Copyright (C) 2019 Published by Elsevier Ltd. All rights reserved.</t>
  </si>
  <si>
    <t>[Holan, Jessica R.] Univ Wollongong, Ctr Sustainable Ecosyst Solut, Wollongong, NSW, Australia; [Holan, Jessica R.] Univ Wollongong, Sch Biol Sci, Wollongong, NSW, Australia; [King, Catherine K.] Australian Antarctic Div, Kingston, Tas, Australia; [Proctor, Abigael H.; Davis, Andrew R.] Univ Tasmania, Inst Marine &amp; Antarctic Studies, Hobart, Tas, Australia</t>
  </si>
  <si>
    <t>University of Wollongong; University of Wollongong; Australian Antarctic Division; University of Tasmania</t>
  </si>
  <si>
    <t>Holan, JR (corresponding author), Univ Wollongong, Ctr Sustainable Ecosyst Solut, Wollongong, NSW, Australia.</t>
  </si>
  <si>
    <t>jrh951@uowmail.edu.au</t>
  </si>
  <si>
    <t>King, Catherine K/G-7059-2017; Davis, Andy/H-3607-2011</t>
  </si>
  <si>
    <t>King, Catherine K/0000-0003-3356-0381; Davis, Andy/0000-0002-8146-7424; Holan, Jessica/0000-0003-0080-4909</t>
  </si>
  <si>
    <t>Australian government through Australian Antarctic Science Grants [AAS 4100]; Australian government through Australian Postgraduate Award Scholarship</t>
  </si>
  <si>
    <t>Australian government through Australian Antarctic Science Grants(Australian Government); Australian government through Australian Postgraduate Award Scholarship</t>
  </si>
  <si>
    <t>Funding and support for this work was provided by the Australian government through Australian Antarctic Science Grants (AAS 4100) to CK, an Australian Postgraduate Award Scholarship to JH. We thank J Wasley and T. Raymond (AAD) for their reviewers and comments which significantly improved the manuscript. A full metadata record for this study is available from the Australian Antarctic Data Centre (Holan et al., 2018) which includes all toxicity test data and all measured copper concentrations in test solutions.</t>
  </si>
  <si>
    <t>10.1016/j.envpol.2019.02.016</t>
  </si>
  <si>
    <t>IC6KP</t>
  </si>
  <si>
    <t>WOS:000471081300006</t>
  </si>
  <si>
    <t>Hao, YF; Li, YM; Han, X; Wang, T; Yang, RQ; Wang, P; Xiao, K; Li, WJ; Lu, HL; Fu, JJ; Wang, YW; Shi, JB; Zhang, QH; Jiang, GB</t>
  </si>
  <si>
    <t>Hao, Yanfen; Li, Yingming; Han, Xu; Wang, Thanh; Yang, Ruiqiang; Wang, Pu; Xiao, Ke; Li, Wenjuan; Lu, Huili; Fu, Jianjie; Wang, Yawei; Shi, Jianbo; Zhang, Qinghua; Jiang, Guibin</t>
  </si>
  <si>
    <t>Air monitoring of polychlorinated biphenyls, polybrominated diphenyl ethers and organochlorine pesticides in West Antarctica during 2011-2017: Concentrations, temporal trends and potential sources</t>
  </si>
  <si>
    <t>Antarctica; Atmosphere; Passive air sampling; Temporal trends; POPs</t>
  </si>
  <si>
    <t>PERSISTENT ORGANIC POLLUTANTS; LONG-RANGE TRANSPORT; KING GEORGE ISLAND; ATMOSPHERIC CONCENTRATIONS; CHLORINATED PESTICIDES; STOCKHOLM CONVENTION; FLAME RETARDANTS; PCB CONGENERS; TERM TRENDS; POPS</t>
  </si>
  <si>
    <t>Annual air samples were collected at various sites in the Fildes Peninsula, West Antarctica from December 2010 to January 2018 using XAD-2 resin passive air samplers to investigate concentrations, temporal trends and potential sources of persistent organic pollutants (POPs) in Antarctic air. Relatively low concentrations of polychlorinated biphenyls (PCBs) (Sigma(19)PCBs: 1.5-29.7 pg/m(3)), polybrominated diphenyl ethers (PBDEs) (Sigma 12PBDEs: 0.2-2.9 pg/m(3)) and organochlorine pesticides (OCPs) (Sigma(13)OCPs: 101-278 pg/m(3)) were found in the atmosphere of West Antarctica. PCB-11, BDE-47 and hexachlorobenzene (HCB) were the predominant compounds in the atmosphere. The concentrations of PCBs, HCHs, DDTs and endosulfans were found to show decreasing temporal trends, whereas uniform temporal trends were observed for HCB. The atmospheric half-life values for PCBs, HCHs, DDTs and endosulfans in Antarctic air were estimated for the first time, using regressions of the natural logarithm of the concentrations versus the number of years, obtaining the values of 2.0, 2.0, 2.4 and 1.2 year, respectively. An increasing ratio of alpha-HCH/gamma-HCH indicated long residence time for alpha-HCH and possible transformation of gamma-HCH to alpha-HCH in the atmosphere. The ratios of p,p'-DDT/p,p'-DDE were mostly lower than unity in this study, which could be attributed to aged sources. It was found that long-range atmospheric transport was still considered to be the main contributing factor to the atmospheric levels of the POPs in West Antarctica whereas the contribution of human activities at the Chinese Great Wall Station was minor. The results of this study give a view on the most recent temporal trends and provide new insights regarding the occurrence of various POPs in the Antarctic atmosphere. (C) 2019 Elsevier Ltd. All rights reserved.</t>
  </si>
  <si>
    <t>[Hao, Yanfen; Li, Yingming; Han, Xu; Yang, Ruiqiang; Wang, Pu; Xiao, Ke; Li, Wenjuan; Lu, Huili; Fu, Jianjie; Wang, Yawei; Shi, Jianbo; Zhang, Qinghua; Jiang, Guibin] Chinese Acad Sci, Res Ctr Ecoenvironm Sci, State Key Lab Environm Chem &amp; Ecotoxicol, Beijing 100085, Peoples R China; [Hao, Yanfen; Han, Xu; Wang, Yawei; Shi, Jianbo; Zhang, Qinghua; Jiang, Guibin] Univ Chinese Acad Sci, Beijing 100049, Peoples R China; [Wang, Thanh] Orebro Univ, MTM Res Ctr, SE-70182 Orebro, Sweden</t>
  </si>
  <si>
    <t>Chinese Academy of Sciences; Research Center for Eco-Environmental Sciences (RCEES); Chinese Academy of Sciences; University of Chinese Academy of Sciences, CAS; Orebro University</t>
  </si>
  <si>
    <t>Li, YM (corresponding author), Chinese Acad Sci, Res Ctr Ecoenvironm Sci, State Key Lab Environm Chem &amp; Ecotoxicol, Beijing 100085, Peoples R China.</t>
  </si>
  <si>
    <t>ymli@rcees.ac.cn</t>
  </si>
  <si>
    <t>Zhang, Qinghua/L-7652-2019; xiao, ke/HSB-5863-2023; Wang, Yawei/C-5628-2015; Shi, Jianbo/B-1785-2012; Fu, Jianjie/ABI-2640-2020; Yang, yufei/KHW-2735-2024; Wang, Thanh/AAI-4603-2020; Yang, Yufei/JXX-6325-2024; ZHANG, XUCHEN/KBB-7989-2024</t>
  </si>
  <si>
    <t>Zhang, Qinghua/0000-0001-9086-7000; Wang, Yawei/0000-0002-5300-7121; Shi, Jianbo/0000-0003-2637-1929; Han, Xu/0000-0002-7382-5770</t>
  </si>
  <si>
    <t>National Basic Research Program of China [2015CB453101]; National Natural Science Foundation of China [21477155, 91743206, 21777186, 41676183, 21621064]; Strategic Priority Research Program of the Chinese Academy of Sciences [XDB14010100]</t>
  </si>
  <si>
    <t>National Basic Research Program of China(National Basic Research Program of China); National Natural Science Foundation of China(National Natural Science Foundation of China (NSFC)); Strategic Priority Research Program of the Chinese Academy of Sciences(Chinese Academy of Sciences)</t>
  </si>
  <si>
    <t>This work was supported by National Basic Research Program of China (2015CB453101), National Natural Science Foundation of China (21477155, 91743206, 21777186, 41676183 and 21621064) and the Strategic Priority Research Program of the Chinese Academy of Sciences (XDB14010100). We also thank Chinese Arctic and Antarctic Administration for the arrangements during the Chinese Antarctic Scientific Expedition during 2010-2018.</t>
  </si>
  <si>
    <t>10.1016/j.envpol.2019.03.039</t>
  </si>
  <si>
    <t>WOS:000471081300042</t>
  </si>
  <si>
    <t>van der Wurff, ISM; von Schacky, C; Bergeland, T; Leontjevas, R; Zeegers, MP; Kirschner, PA; de Groot, RHM</t>
  </si>
  <si>
    <t>van der Wurff, I. S. M.; von Schacky, C.; Bergeland, T.; Leontjevas, R.; Zeegers, M. P.; Kirschner, P. A.; de Groot, R. H. M.</t>
  </si>
  <si>
    <t>Exploring the association between whole blood Omega-3 Index, DHA, EPA, DHA, AA and n-6 DPA, and depression and self-esteem in adolescents of lower general secondary education</t>
  </si>
  <si>
    <t>EUROPEAN JOURNAL OF NUTRITION</t>
  </si>
  <si>
    <t>Adolescents; Depressed mood; Long-chain polyunsaturated fatty acid; Self-esteem; Omega-3 Index; Healthy youth; High schoolers; Brain functioning</t>
  </si>
  <si>
    <t>POLYUNSATURATED FATTY-ACIDS; STRESSFUL LIFE EVENTS; ITEM RESPONSE THEORY; MENTAL-HEALTH; SUBTHRESHOLD DEPRESSION; DOCOSAHEXAENOIC ACID; MAJOR DEPRESSION; PUBERTAL STATUS; DOUBLE-BLIND; EICOSAPENTAENOIC ACID</t>
  </si>
  <si>
    <t>PurposeDepression is common in adolescents and long-chain polyunsaturated fatty acids (LCPUFA) are suggested to be associated with depression. However, research in adolescents is limited. Furthermore, self-esteem has never been studied in relation to LCPUFA. The objective here was to determine associations of depression and self-esteem with eicosapentaenoic acid (EPA), docosahexaenoic acid (DHA), Omega-3 Index (O3I), n-6 docosapentaenoic acid (n-6 DPA, also called Osbond acid, ObA), n-3 docosapentaenoic acid (DPA), and arachidonic acid (AA) concentrations in blood of adolescents attending lower general secondary education (LGSE).MethodsBaseline cross-sectional data from a krill oil supplementation trial in adolescents attending LGSE with an O3I5% were analysed using regression models built with the BayesFactor package in R. Fatty acids and O3I were determined in blood. Participants filled out the Centre for Epidemiologic Studies Depression (CES-D) scale and the Rosenberg Self-Esteem scale (RSE).ResultsScores indicative of depression (CES-D16) were found in 29.4% of the respondents. Of all fatty acids, we found extreme evidence [Bayes factor (BF)&gt;100] for a weak negative association between ObA and depression score [-0.16; 95% credible interval (CI) -0.28 to -0.04; BF10=245], and substantial evidence for a weak positive association between ObA and self-esteem score (0.09; 95% CI, -0.03 to 0.20; BF10=4). When all fatty acids were put in one model as predictors of CES-D or RSE, all of the 95% CI contained 0, i.e., no significant association.ConclusionNo evidence was found for associations of DHA, EPA and O3I with depression or self-esteem scores in LGSE adolescents with O3I5%. The associations of higher ObA status with lower depression and higher self-esteem scores warrant more research.</t>
  </si>
  <si>
    <t>[van der Wurff, I. S. M.; Kirschner, P. A.; de Groot, R. H. M.] Open Univ Netherlands, Res Ctr Learning Teaching &amp; Technol, Welten Inst, Valkenburgerweg 177,POB 2960, NL-6419 AT Heerlen, Netherlands; [von Schacky, C.] Omegametrix, D-82152 Martinsried, Germany; [von Schacky, C.] Ludwig Maximilians Univ Munchen, Prevent Cardiol, Med Clin &amp; Poli Clin 1, Munich, Germany; [Bergeland, T.] Aker BioMarine Antarctic AS, N-1327 Lysaker, Norway; [Leontjevas, R.] Open Univ Netherlands, Fac Psychol &amp; Educ Sci, NL-6419 AT Heerlen, Netherlands; [Zeegers, M. P.; de Groot, R. H. M.] Maastricht Univ, Nutr &amp; Translat Res Metab, Sch NUTRIM, NL-6200 MD Maastricht, Netherlands; [Zeegers, M. P.] Maastricht Univ, Sch CAPHRI, Care &amp; Publ Hlth Res Inst, NL-6200 MD Maastricht, Netherlands; [Kirschner, P. A.] Univ Oulu, Oulu, Finland</t>
  </si>
  <si>
    <t>Open University Netherlands; University of Munich; Open University Netherlands; Maastricht University; Maastricht University; Maastricht University Medical Centre (MUMC); University of Oulu</t>
  </si>
  <si>
    <t>van der Wurff, ISM (corresponding author), Open Univ Netherlands, Res Ctr Learning Teaching &amp; Technol, Welten Inst, Valkenburgerweg 177,POB 2960, NL-6419 AT Heerlen, Netherlands.</t>
  </si>
  <si>
    <t>inge.vanderwurff@ou.nl</t>
  </si>
  <si>
    <t>Zeegers, Maurice/0000-0002-2387-083X</t>
  </si>
  <si>
    <t>Dutch Scientific Organisation [057-13-002]; Aker Biomarine (Norway); Aker Biomarine</t>
  </si>
  <si>
    <t>Dutch Scientific Organisation(Netherlands Organization for Scientific Research (NWO)); Aker Biomarine (Norway); Aker Biomarine</t>
  </si>
  <si>
    <t>The study is funded by the Grant Food, Cognition and Behaviour from the Dutch Scientific Organisation (Grant number 057-13-002), Aker Biomarine (Norway) who provided the krill and placebo capsules, and Omegametrix (Germany) who was responsible for the blood analyses. CVS is owner of Omegametrix, who is responsible for the blood analyses in this study. TB is a former employee of Aker Biomarine, who is partly funding the study.</t>
  </si>
  <si>
    <t>1436-6207</t>
  </si>
  <si>
    <t>1436-6215</t>
  </si>
  <si>
    <t>EUR J NUTR</t>
  </si>
  <si>
    <t>Eur. J. Nutr.</t>
  </si>
  <si>
    <t>10.1007/s00394-018-1667-4</t>
  </si>
  <si>
    <t>IC8TZ</t>
  </si>
  <si>
    <t>WOS:000471256100008</t>
  </si>
  <si>
    <t>Colominas-Ciuró, R; Masero, JA; Benzal, J; Bertellotti, M; Barbosa, A</t>
  </si>
  <si>
    <t>Colominas-Ciuro, Roger; Masero, Jose A.; Benzal, Jesus; Bertellotti, Marcelo; Barbosa, Andres</t>
  </si>
  <si>
    <t>Oxidative status and stress during highly energetic life-history stages of Chinstrap Penguins: breeding versus molting</t>
  </si>
  <si>
    <t>JOURNAL OF FIELD ORNITHOLOGY</t>
  </si>
  <si>
    <t>Antarctica; H; L ratio; oxidative stress; Pygoscelis antarcticus; reactive oxygen species</t>
  </si>
  <si>
    <t>PYGOSCELIS-ANTARCTICA; LEUKOCYTE PROFILES; PARENTAL CARE; BROOD SIZE; REPRODUCTION; COST; NEST; MAINTENANCE; RESPONSES; INCREASE</t>
  </si>
  <si>
    <t>Life-history stages such as reproduction and molt are energetically costly. Reproductive costs include those associated not only with offspring production, but also protecting and provisioning young. Costs typically associated with molting include decreased thermoregulatory and locomotive performance, and increased metabolic and nutritional costs. Energetic demands may disrupt homeostasis, particularly in terms of its maintenance (e.g., oxidative stress and immunity). Few investigators have explored the relationship between effort (increased metabolic rate) and oxidative status and stress by comparing life-history stages with different energetic demands. However, comparative studies are crucial for understanding the processes of energy allocation and their consequences for different physiological functions. Our objective was to determine how two highly demanding life-history stages, breeding and molting, affected oxidative balance in Chinstrap Penguins (Pygoscelis antarcticus), a species where these two activities do not overlap. We found that the heterophil/lymphocyte (H/L) ratio was significantly higher during breeding than molting; oxidative damage was also higher during breeding. In contrast, we found no significant differences between these stages in total antioxidant capacity. We also found sex differences, with males having greater oxidative damage than females. Our results suggest that breeding is more stressful and more demanding for Chinstrap Penguins than molting, and provide further support for the relationship between effort, in terms of increased metabolic rate, and oxidative balance.</t>
  </si>
  <si>
    <t>[Colominas-Ciuro, Roger; Barbosa, Andres] CSIC, Museo Nacl Ciencias Nat, Dept Ecol Evolut, E-28006 Madrid, Spain; [Masero, Jose A.] Univ Extremadura, Fac Sci, Dept Anat Cell Biol &amp; Zool, Conservat Biol Res Grp, E-06071 Badajoz, Spain; [Benzal, Jesus] CSIC, Estn Expt Zonas Aridas, Dept Ecol Func &amp; Evolut, Almeria 04120, Spain; [Bertellotti, Marcelo] Consejo Nacl Invest Cient &amp; Tecn, Ctr Estudio Sistemas Marinos, RA-2915 Brown, Puerto Madryn, Argentina; [Colominas-Ciuro, Roger] Nicolaus Copernicus Univ, Dept Vertebrate Zool, PL-87100 Torun, Poland</t>
  </si>
  <si>
    <t>Consejo Superior de Investigaciones Cientificas (CSIC); CSIC - Museo Nacional de Ciencias Naturales (MNCN); Universidad de Extremadura; Consejo Superior de Investigaciones Cientificas (CSIC); CSIC - Estacion Experimental de Zonas Aridas (EEZA); Consejo Nacional de Investigaciones Cientificas y Tecnicas (CONICET); Nicolaus Copernicus University</t>
  </si>
  <si>
    <t>Colominas-Ciuró, R (corresponding author), CSIC, Museo Nacl Ciencias Nat, Dept Ecol Evolut, E-28006 Madrid, Spain.;Colominas-Ciuró, R (corresponding author), Nicolaus Copernicus Univ, Dept Vertebrate Zool, PL-87100 Torun, Poland.</t>
  </si>
  <si>
    <t>rcolominas@mncn.csic.es</t>
  </si>
  <si>
    <t>Bertellotti, Marcelo/GQZ-7950-2022; Masero, Jose A./P-3418-2019; Colominas Ciuró, Roger/HOF-9267-2023; Colominas-Ciuro, Roger/ADL-7809-2022</t>
  </si>
  <si>
    <t>Masero, Jose A./0000-0001-5318-4833; Bertellotti, Marcelo/0000-0002-1834-7788; Colominas-Ciuro, Roger/0000-0001-6312-0702</t>
  </si>
  <si>
    <t>Spanish Ministry of Economy and Competitiveness [CTM2011-24427, CTM2015-64720]; Spanish Ministry of Economy and Competitiveness FPI grant [BES2012-059299]</t>
  </si>
  <si>
    <t>Spanish Ministry of Economy and Competitiveness(Spanish Government); Spanish Ministry of Economy and Competitiveness FPI grant</t>
  </si>
  <si>
    <t>We thank the Spanish Antarctic Base Gabriel de Castilla, the Spanish polar ship  Hesperides and the Marine Technology Unit (CSIC) for their hospitality, transportation and logistic support. This study is a contribution to the PINGUCLIM Project. Melinda Modrell and Deborah Fuldauer corrected the English language usage. This study was funded by the Spanish Ministry of Economy and Competitiveness (CTM2011-24427 and CTM2015-64720). RCC held a Spanish Ministry of Economy and Competitiveness FPI grant (BES2012-059299). This study was conducted in accordance to the Scientific Committee for Antarctic Research Code of Conduct for the use of Animals for Scientific Purposes in Antarctica. The protocol was approved by the Spanish Polar Committee (Permit number CPE-EIA-2012-2).</t>
  </si>
  <si>
    <t>0273-8570</t>
  </si>
  <si>
    <t>1557-9263</t>
  </si>
  <si>
    <t>J FIELD ORNITHOL</t>
  </si>
  <si>
    <t>J. Field Ornithol.</t>
  </si>
  <si>
    <t>10.1111/jofo.12297</t>
  </si>
  <si>
    <t>IC6AS</t>
  </si>
  <si>
    <t>WOS:000471051300008</t>
  </si>
  <si>
    <t>Balco, G; Blard, PH; Shuster, DL; Stone, JOH; Zimmermann, L</t>
  </si>
  <si>
    <t>Balco, Greg; Blard, Pierre-Henri; Shuster, David L.; Stone, John O. H.; Zimmermann, Laurent</t>
  </si>
  <si>
    <t>Cosmogenic and nucleogenic 21Ne in quartz in a 28-meter sandstone core from the McMurdo Dry Valleys, Antarctica</t>
  </si>
  <si>
    <t>QUATERNARY GEOCHRONOLOGY</t>
  </si>
  <si>
    <t>Neon-21; Cosmogenic-nuclide geochemistry; (U-Th)/Ne thermochronology; McMurdo dry valleys; Antarctica</t>
  </si>
  <si>
    <t>SOUTHERN VICTORIA LAND; TRANSANTARCTIC MOUNTAINS; PRODUCTION-RATES; IN-SITU; TERRESTRIAL ROCKS; EXPOSURE AGES; BE-10; AL-26; HISTORY; RADIONUCLIDES</t>
  </si>
  <si>
    <t>We measured concentrations of Ne isotopes in quartz in a 27.6-m sandstone core from a low-erosion-rate site at 2183 m elevation at Beacon Heights in the Antarctic Dry Valleys. Surface concentrations of cosmogenic Ne-21 indicate a surface exposure age of at least 4.1 Ma and an erosion rate no higher than ca. 14 cm Myr(-1) Ne-21 concentrations in the upper few centimeters of the core show evidence for secondary spallogenic neutron escape effects at the rock surface, which is predicted by first-principles models of cosmogenic-nuclide production but is not commonly observed in natural examples. We used a model for Ne-21 production by various mechanisms fit to the observations to distinguish cosmic-ray-produced Ne-21 from nucleogenic Ne-21 produced by decay of trace U and Th present in quartz, and also constrain rates of subsurface Ne-21 production by cosmic-ray muons. Core samples have a quartz (U-Th)/Ne closure age, reflecting cooling below approximately 95 degrees C, near 160 Ma, which is consistent with existing apatite fission-track data and the 183 Ma emplacement of nearby Ferrar dolerite intrusions. Constraints on Ne-21 production by muons derived from model fitting are consistent with a previously proposed value of 0.79 mb at 190 GeV for the cross-section for Ne-21 production by fast muon interactions, but indicate that Ne-21 production by negative muon capture is likely negligible.</t>
  </si>
  <si>
    <t>[Balco, Greg; Shuster, David L.] Berkeley Geochronol Ctr, 2455 Ridge Rd, Berkeley, CA 94709 USA; [Blard, Pierre-Henri; Zimmermann, Laurent] Univ Lorraine, CNRS, CRPG, UMR 7358, 15 Rue Notre Dame Pauvres, F-54501 Vandoeuvre Les Nancy, France; [Stone, John O. H.] Univ Washington, Earth &amp; Space Sci, Seattle, WA 98195 USA; [Shuster, David L.] Univ Calif Berkeley, Dept Earth &amp; Planetary Sci, 479 McCone Hall, Berkeley, CA 94720 USA</t>
  </si>
  <si>
    <t>Berkeley Geochronolgy Center; Centre National de la Recherche Scientifique (CNRS); CNRS - National Institute for Earth Sciences &amp; Astronomy (INSU); Universite de Lorraine; University of Washington; University of Washington Seattle; University of California System; University of California Berkeley</t>
  </si>
  <si>
    <t>Balco, G (corresponding author), Berkeley Geochronol Ctr, 2455 Ridge Rd, Berkeley, CA 94709 USA.</t>
  </si>
  <si>
    <t>balcs@bgc.org</t>
  </si>
  <si>
    <t>BLARD, Pierre-Henri/ABB-9401-2021</t>
  </si>
  <si>
    <t>Blard, Pierre-Henri/0000-0002-8455-8014</t>
  </si>
  <si>
    <t>Ann and Gordon Getty Foundation; U.S. National Science Foundation [EAR-0345949]</t>
  </si>
  <si>
    <t>Ann and Gordon Getty Foundation; U.S. National Science Foundation(National Science Foundation (NSF))</t>
  </si>
  <si>
    <t>Analytical work at BGC was supported primarily by The Ann and Gordon Getty Foundation and in part by U.S. National Science Foundation grant EAR-0345949. We thank Kevin Norton and Richard Jones for supplying aliquots of quartz from the Mackay Glacier erratics described in Jones et al. (2015), Brent Goehring for preparing Tulane-sourced samples and for a careful review of the paper, Lindsey Hedges and Ken Farley for U/Th measurements at Caltech, and Tim Becker for assistance with mass-spectrometric measurements.</t>
  </si>
  <si>
    <t>1871-1014</t>
  </si>
  <si>
    <t>1878-0350</t>
  </si>
  <si>
    <t>QUAT GEOCHRONOL</t>
  </si>
  <si>
    <t>Quat. Geochronol.</t>
  </si>
  <si>
    <t>10.1016/j.quageo.2019.02.006</t>
  </si>
  <si>
    <t>IC6KN</t>
  </si>
  <si>
    <t>WOS:000471081100006</t>
  </si>
  <si>
    <t>Grenholm, M</t>
  </si>
  <si>
    <t>Grenholm, Mikael</t>
  </si>
  <si>
    <t>The global tectonic context of the ca. 2.27-1.96 Ga Birimian Orogen - Insights from comparative studies, with implications for supercontinent cycles</t>
  </si>
  <si>
    <t>Supercontinent cycles; Birimian Orogen; plate tectonics; Atlantica; Gondwana; East African-Antarctic Orogen; SE Asia</t>
  </si>
  <si>
    <t>WEST-AFRICAN CRATON; PB ZIRCON GEOCHRONOLOGY; ARABIAN-NUBIAN SHIELD; LA-PLATA CRATON; KEDOUGOU-KENIEBA INLIER; GRANULITE-FACIES METAMORPHISM; SAO FRANCISCO CRATON; SOUTH-CENTRAL AFRICA; NORTH CHINA CRATON; U-PB</t>
  </si>
  <si>
    <t>The evolution of orogenic systems is a function of their overall tectonic context, and global reconstructions therefore provide a crucial framework for understanding the geodynamic setting of ancient orogens. However, the reverse is also true, as a detailed geodynamic model for an orogenic system can provide valuable insights into its overall tectonic context. Based on a recently proposed geodynamic model for the ca. 2.27-1.96 Ga accretionary-collisional Birimian Orogen in the West African Craton, this study aims to explore its broader tectonic setting, by placing the events outlined on an orogen-scale within a global context. The proposed geodynamic model argues that the Birimian Orogen formed in a plate tectonic setting similar to that which currently characterizes SE Asia, with the orogenic system forming in a wedge-shaped complex plate boundary zone, bordered to the north and south by continental blocks and opening up to face a major oceanic basin. The Neoproterozoic-Paleozoic East African-Antarctic orogen (EAAO) has also been constrained to have formed in such a setting and exhibits significant similarities with the Birimian Orogen with respect to its orogenic evolution. Furthermore, the EAAO and the Birimian Orogen have the same temporal relationship to major environmental perturbations and isotopic excursions in the Neo- and Paleoproterozoic Eras, respectively, which are generally considered to be controlled by global tectonics. Building on previous work, it is argued that this a reflection of how the Paleo- and Neoproterozoic were characterized by an equivalent supercontinent cycle, where the Birimian Orogen assumed an equivalent position to the EAAO. This further requires that the Birimian Orogen formed during the assembly of a Paleoproterozoic equivalent of Gondwana. This is in line with the previous recognition of a ca. 2.1-2.0 Ga continent that included the Birimian Orogen, and which has been referred to as Atlantica. A revised configuration is presented for this continent, which includes crustal domains now present in Africa, South America, Eastern Europe and North China. Gondwana formed during the 1.0 Ga breakup of Rodinia and 0.3 Ga assembly of Pangea, and this cycle forms the basis for a global tectonic reconstruction for the Paleo- and Mesoproterozoic, which places the evolution of the Birimian Orogen within the context of the assembly of Atlantica and global-scale supercontinent cycles. As they are proposed to have formed in an equivalent tectonic setting, the EAAO and the Birimian Orogen also provide an opportunity to study the effect of secular changes during the Proterozoic. Furthermore, since the Birimian Orogen has been noted to have many similarities with Archean orogenic systems, this may indicate that the latter formed in similar complex plate boundary zones, such as currently exist in SE Asia.</t>
  </si>
  <si>
    <t>[Grenholm, Mikael] Univ Western Australia, Sch Earth Sci, Ctr Explorat Targeting, 35 Stirling Highway, Perth, WA 6009, Australia</t>
  </si>
  <si>
    <t>University of Western Australia</t>
  </si>
  <si>
    <t>Grenholm, M (corresponding author), Univ Western Australia, Sch Earth Sci, Ctr Explorat Targeting, 35 Stirling Highway, Perth, WA 6009, Australia.</t>
  </si>
  <si>
    <t>mikael.grenholm@research.uwa.edu.au</t>
  </si>
  <si>
    <t>IPRS scholarship; APA scholarship</t>
  </si>
  <si>
    <t>This study forms part of a PhD project at the Centre for Exploration Targeting (School of Earth Science, The University of Western Australia) in Perth and supported by IPRS and APA scholarships. Support from PhD supervisors Mark Jessell and Nicholas Thebaud is greatly appreciated. MG would like to thank Peter R. Johnson for supplying a copy of the geochronological dataset for the ANS previously published in Johnson et al. (2011a) and Johnson (2014). Patrik Ledru, Christian Teyssier and Bert de Waele are also thanked for helpful comments on the manuscript when reviewing it as a part of MGs PhD thesis. Editor Carlo Doglioni is thanked for efficient handling of the manuscript. Journal reviewers Uwe Kroner and Christian Verard are thanked for comments that helped to improve the manuscript. Geochemical plots were made using the excellent GCDtoolkit (Janougek et al., 2006). This is a contribution to IGCP 648.</t>
  </si>
  <si>
    <t>10.1016/j.earscirev.2019.04.017</t>
  </si>
  <si>
    <t>IC4MU</t>
  </si>
  <si>
    <t>WOS:000470940800012</t>
  </si>
  <si>
    <t>Engel, Z; Kropácek, J; Smolíková, J</t>
  </si>
  <si>
    <t>Engel, Zbynek; Kropacek, Jan; Smolikova, Jana</t>
  </si>
  <si>
    <t>Surface elevation changes on Lachman Crags ice caps (north-eastern Antarctic Peninsula) since 1979 indicated by DEMs and ICESat data</t>
  </si>
  <si>
    <t>Antarctic glaciology; climate change; ice cap; ice thickness measurements; laser altimetry</t>
  </si>
  <si>
    <t>KING GEORGE ISLAND; JAMES-ROSS-ISLAND; LIVINGSTON ISLAND; MASS-BALANCE; GLACIER CHANGES; IMPACT; THICKNESS; DECLINE; SHELVES; AREAL</t>
  </si>
  <si>
    <t>The long-term warming on the Antarctic Peninsula in the second half of the 20th century prompted rapid retreat of glaciers on the peninsula and surrounding islands. Retreat accelerated until the beginning of the new millennium when the regional warming trend significantly decreased. The response of glaciers to the change in temperature trend has been observed around the northern part of the Antarctic Peninsula but the timing of the shift from the surface lowering to mass gain remains unclear. Using historical aerial photographs, DEMs and satellite altimeter data from ICESat, we estimate areal and surface elevation changes of two small ice caps in the northern part of James Ross Island over the last 39 years. The glacierized area on Lachman Crags decreased from 4.337 +/- 0.037 to 3.581 +/- 0.014 km(2) (-17.4%) between 1979 and 2006 and then increased to 3.597 +/- 0.047 km(2) (0.4%) until 2016. Surface lowering observed on ice caps after 1979 continued at least until 2008 as indicated by the ICESat data. The change from the lowering trend to increase in glacier surface elevation probably occurred after the ablation season 2008/09, which ranks among the warmest summers in the north-eastern Antarctic Peninsula since the mid-20th century.</t>
  </si>
  <si>
    <t>[Engel, Zbynek; Smolikova, Jana] Charles Univ Prague, Fac Sci, Dept Phys Geog &amp; Geoecol, Prague, Czech Republic; [Kropacek, Jan] Czech Univ Life Sci, Fac Environm Sci, Dept Appl Geoinformat &amp; Spatial Planning, Prague, Czech Republic</t>
  </si>
  <si>
    <t>Charles University Prague; Czech University of Life Sciences Prague</t>
  </si>
  <si>
    <t>Engel, Z (corresponding author), Charles Univ Prague, Fac Sci, Dept Phys Geog &amp; Geoecol, Prague, Czech Republic.</t>
  </si>
  <si>
    <t>engel@natur.cuni.cz</t>
  </si>
  <si>
    <t>Engel, Zbyněk/S-2954-2016; Smolíková, Jana JS/H-9111-2017</t>
  </si>
  <si>
    <t>Engel, Zbyněk/0000-0002-5209-7823;</t>
  </si>
  <si>
    <t>Czech Science Foundation project [GC16-14122J]; Ministry of Education, Youth and Sports of the Czech Republic [LM2015078, CZ.02.1.01/0.0/0.0/16_013/0001708]</t>
  </si>
  <si>
    <t>Czech Science Foundation project(Grant Agency of the Czech Republic); Ministry of Education, Youth and Sports of the Czech Republic(Ministry of Education, Youth &amp; Sports - Czech Republic)</t>
  </si>
  <si>
    <t>The authors acknowledge funding from the Czech Science Foundation project (GC16-14122J). Fieldwork was supported by the crew of the J. G. Mendel Station financed by the Ministry of Education, Youth and Sports of the Czech Republic (projects LM2015078 and CZ.02.1.01/0.0/0.0/16_013/0001708). We acknowledge the British Antarctic Survey for aerial photographs, the National Snow and Ice Data Center for ICESat data and the Polar Geospatial Center for the Reference Elevation Model of Antarctica. We thank for helpful comments from anonymous referees.</t>
  </si>
  <si>
    <t>10.1017/jog.2019.19</t>
  </si>
  <si>
    <t>IC1QV</t>
  </si>
  <si>
    <t>WOS:000470734900005</t>
  </si>
  <si>
    <t>Renaud, S; Ledevin, R; Delepine, C; Pisanu, B; Quillfedt, P; Hardouin, EA</t>
  </si>
  <si>
    <t>Renaud, S.; Ledevin, R.; Delepine, C.; Pisanu, B.; Quillfedt, P.; Hardouin, E. A.</t>
  </si>
  <si>
    <t>Diet Shift in Sub-Antarctic Mice: Morpho-Functional Response of the Jaw System</t>
  </si>
  <si>
    <t>JOURNAL OF MORPHOLOGY</t>
  </si>
  <si>
    <t>[Renaud, S.; Delepine, C.] Univ Lyon 1, CNRS, LBBE, Villeurbanne, France; [Ledevin, R.] Univ Bordeaux, PACEA, Bordeaux, France; [Pisanu, B.] MNHN, Paris, France; [Quillfedt, P.] Justus Liebig Univ, Giessen, Germany; [Hardouin, E. A.] Bournemouth Univ, Poole, Dorset, England</t>
  </si>
  <si>
    <t>Universite Claude Bernard Lyon 1; Centre National de la Recherche Scientifique (CNRS); VetAgro Sup; Universite de Bordeaux; Museum National d'Histoire Naturelle (MNHN); Justus Liebig University Giessen; Bournemouth University</t>
  </si>
  <si>
    <t>sabrina.renaud@univ-lyon1.fr</t>
  </si>
  <si>
    <t>Renaud, Sabrina/D-4247-2009; Renaud, Sabrina/AAV-3141-2020</t>
  </si>
  <si>
    <t>Renaud, Sabrina/0000-0002-8730-3113</t>
  </si>
  <si>
    <t>0362-2525</t>
  </si>
  <si>
    <t>1097-4687</t>
  </si>
  <si>
    <t>J MORPHOL</t>
  </si>
  <si>
    <t>J. Morphol.</t>
  </si>
  <si>
    <t>S68</t>
  </si>
  <si>
    <t>Anatomy &amp; Morphology</t>
  </si>
  <si>
    <t>IC2CX</t>
  </si>
  <si>
    <t>WOS:000470768500206</t>
  </si>
  <si>
    <t>Suttle, MD; Gengeg, MJ; Salge, T; Lee, MR; Folco, L; Góral, T; Russell, SS; Lindgren, P</t>
  </si>
  <si>
    <t>Suttle, M. D.; Gengeg, M. J.; Salge, T.; Lee, M. R.; Folco, L.; Goral, T.; Russell, S. S.; Lindgren, P.</t>
  </si>
  <si>
    <t>A microchondrule-bearing micrometeorite and comparison with microchondrules in CM chondrites</t>
  </si>
  <si>
    <t>ELECTRON-MICROPROBE ANALYSIS; ULTRACARBONACEOUS ANTARCTIC MICROMETEORITES; CARBONACEOUS CHONDRITE; AQUEOUS ALTERATION; SOLAR-SYSTEM; RICH MICROMETEORITES; ATMOSPHERIC ENTRY; ASTEROID DUST; II CHONDRULES; OLIVINE</t>
  </si>
  <si>
    <t>We report the discovery of a partially altered microchondrule within a fine-grained micrometeorite. This object is circular, &lt;10 mu m in diameter, and has a cryptocrystalline texture, internal zonation, and a thin S-bearing rim. These features imply a period of post-accretion parent body aqueous alteration, in which the former glassy igneous texture was subject to hydration and phyllosilicate formation as well as leaching of fluid-mobile elements. We compare this microchondrule to three microchondrules found in two CM chondrites: Elephant Moraine (EET) 96029 and Murchison. In all instances, their formation appears closely linked to the late stages of chondrule formation, chondrule recycling, and fine-grained rim accretion. Likewise, they share cryptocrystalline textures and evidence of mild aqueous alteration and thus similar histories. We also investigate the host micrometeorite's petrology, which includes an unusually Cr-rich mineralogy, containing both Mn-chromite spinel and low-Fe-Cr-rich (LICE) anhydrous silicates. Because these two refractory phases cannot form together in a single geochemical reservoir under equilibrium condensation, this micrometeorite's accretionary history requires a complex timeline with formation via nonequilibrium batch crystallization or accumulation of materials from large radial distances. In contrast, the bulk composition of this micrometeorite and its internal textures are consistent with a hydrated carbonaceous chondrite source. This micrometeorite is interpreted as a fragment of fine-grained rim material that once surrounded a larger parent chondrule and was derived from a primitive carbonaceous parent body; either a CM chondrite or Jupiter family comet.</t>
  </si>
  <si>
    <t>[Suttle, M. D.; Folco, L.] Univ Pisa, Dipartimento Sci Terra, I-56126 Pisa, Italy; [Suttle, M. D.; Gengeg, M. J.] Imperial Coll London, Dept Earth Sci &amp; Engn, London SW7 2AZ, England; [Suttle, M. D.; Gengeg, M. J.; Russell, S. S.] Nat Hist Museum, Mineral &amp; Planetary Sci, Cromwell Rd, London SW7 5BD, England; [Salge, T.; Goral, T.] Nat Hist Museum, Imaging &amp; Anal Ctr, Core Res Labs, Cromwell Rd, London SW7 5BD, England; [Lee, M. R.] Univ Glasgow, Sch Geog &amp; Earth Sci, Glasgow G12 8QQ, Lanark, Scotland; [Lindgren, P.] Lund Univ, Earth Sci &amp; Phys Geog, S-22100 Lund, Sweden</t>
  </si>
  <si>
    <t>University of Pisa; Imperial College London; Natural History Museum London; Natural History Museum London; University of Glasgow; Lund University</t>
  </si>
  <si>
    <t>Suttle, MD (corresponding author), Univ Pisa, Dipartimento Sci Terra, I-56126 Pisa, Italy.;Suttle, MD (corresponding author), Imperial Coll London, Dept Earth Sci &amp; Engn, London SW7 2AZ, England.;Suttle, MD (corresponding author), Nat Hist Museum, Mineral &amp; Planetary Sci, Cromwell Rd, London SW7 5BD, England.</t>
  </si>
  <si>
    <t>martindavid.suttle@dst.unipi.it</t>
  </si>
  <si>
    <t>Folco, Luigi/AAB-8586-2021; Lee, Martin/Q-1040-2019; Folco, Luigi/AAA-6351-2020</t>
  </si>
  <si>
    <t>Lee, Martin/0000-0002-6004-3622; Lindgren, Paula/0000-0002-4517-7972; Genge, Matthew/0000-0002-9528-5971; Suttle, Martin/0000-0001-7165-2215; Dr. Salge, Tobias/0000-0002-4414-4917; Russell, Sara/0000-0001-5531-7847</t>
  </si>
  <si>
    <t>Science and Technology Council (STFC) [ST/M503526/1]; Italian research grants MIUR [PNRA16_00029, CUP I52F17001050005, PRIN2015_20158W4JZ7 (CUP I52F15000310001)]; STFC [ST/J001260/1, ST/M00094X/1, ST/N000846/1, ST/H002960/1]; STFC [ST/M00094X/1, ST/J001260/1, ST/R000727/1, ST/N000803/1, ST/H002960/1, ST/N000846/1] Funding Source: UKRI</t>
  </si>
  <si>
    <t>Science and Technology Council (STFC); Italian research grants MIUR; STFC(UK Research &amp; Innovation (UKRI)Science &amp; Technology Facilities Council (STFC)); STFC(UK Research &amp; Innovation (UKRI)Science &amp; Technology Facilities Council (STFC))</t>
  </si>
  <si>
    <t>The data presented in this paper were acquired primarily during Martin Suttle's PhD research while at Imperial College London and the NHM and principally funded by the Science and Technology Council (STFC) under a training grant (ST/M503526/1). However, research continued while Martin Suttle attended a postdoc research position at the University of Pisa, which is funded through two Italian research grants MIUR: PNRA16_00029 (Programma Nazionale delle Ricerche in Antartide-CUP I52F17001050005) and PRIN2015_20158W4JZ7 (CUP I52F15000310001 for the Meteoriti Antartiche). Lugi Folco is also supported through the same research grants, while Matthew Genge and Sara Russell are funded by the STFC (ST/J001260/1 and ST/M00094X/1 respectively) and Martin Lee is funded by STFC grants (ST/N000846/1 and ST/H002960/1). We thank John Spratt and Tomasz Goral at the NHM, London and Tina Geriaki at Diamond Lightsource for their support and advice during and analytical acquisition. Further, we thank NASA ANSMET for the loan of EET 96029. We also thank two anonymous reviewers for their time spent on this manuscript and likewise our associate editor Don Brownlee.</t>
  </si>
  <si>
    <t>10.1111/maps.13279</t>
  </si>
  <si>
    <t>IC1TH</t>
  </si>
  <si>
    <t>WOS:000470741600007</t>
  </si>
  <si>
    <t>Simon, SB; Krot, AN; Nagashima, K</t>
  </si>
  <si>
    <t>Simon, Steven B.; Krot, Alexander N.; Nagashima, Kazuhide</t>
  </si>
  <si>
    <t>Oxygen and Al-Mg isotopic compositions of grossite-bearing refractory inclusions from CO3 chondrites</t>
  </si>
  <si>
    <t>SOLAR-SYSTEM EVIDENCE; HETEROGENEOUS DISTRIBUTION; FAYALITE FORMATION; ORGANIC-MATTER; AL-26; CALCIUM; SPINEL; GRAINS; RICH; PETROGRAPHY</t>
  </si>
  <si>
    <t>The distribution of the short-lived radionuclide Al-26 in the early solar system remains a major topic of investigation in planetary science. Thousands of analyses are now available but grossite-bearing Ca-, Al-rich inclusions (CAIs) are underrepresented in the database. Recently found grossite-bearing inclusions in CO3 chondrites provide an opportunity to address this matter. We determined the oxygen and magnesium isotopic compositions of individual phases of 10 grossite-bearing CAIs in the Dominion Range (DOM) 08006 (CO3.0) and DOM 08004 (CO3.1) chondrites. All minerals in DOM 08006 CAIs as well as hibonite, spinel, and pyroxene in DOM 08004 are uniformly O-16-rich (Delta O-17 = -25 to -20 parts per thousand) but grossite and melilite in DOM 08004 CAIs are not; Delta O-17 of grossite and melilite range from -11 to 0 parts per thousand and from -23 up to 0 parts per thousand, respectively. Even within this small suite, in the two chondrites a bimodal distribution of the inferred initial Al-26/Al-27 ratios (Al-26/Al-27)(0) is seen, with four having (Al-26/Al-27)(0) &lt;= 1.1 x 10(-5) and six having (Al-26/Al-27)(0) &gt;= 3.7 x 10(-5). Five of the Al-26-rich CAIs have (Al-26/Al-27)(0) within error of 4.5 x 10(-5); these values can probably be considered indistinguishable from the canonical value of 5.2 x 10(-5) given the uncertainty in the relative sensitivity factor for grossite measured by secondary ion mass spectrometry. We infer that the Al-26-poor CAIs probably formed before the radionuclide was fully mixed into the solar nebula. All minerals in the DOM 08006 CAIs, as well as spinel, hibonite, and Al-diopside in the DOM 08004 CAIs retained their initial oxygen isotopic compositions, indicating homogeneity of oxygen isotopic compositions in the nebular region where the CO grossite-bearing CAIs originated. Oxygen isotopic heterogeneity in CAIs from DOM 08004 resulted from exchange between the initially O-16-rich (Delta O-17 -24 parts per thousand) melilite and grossite and O-16-poor (Delta O-17 0 parts per thousand) fluid during hydrothermal alteration on the CO chondrite parent body; hibonite, spinel, and Al-diopside avoided oxygen isotopic exchange during the alteration. Grossite and melilite that underwent oxygen isotopic exchange avoided redistribution of radiogenic Mg-26 and preserved undisturbed internal Al-Mg isochrons. The Delta O-17 of the fluid can be inferred from O-isotopic compositions of aqueously formed fayalite and magnetite that precipitated from the fluid on the CO parent asteroid. This and previous studies suggest that O-isotope exchange during fluid-rock interaction affected most CAIs in CO &gt;= 3.1 chondrites.</t>
  </si>
  <si>
    <t>[Simon, Steven B.] Univ New Mexico, Inst Meteorit, Albuquerque, NM 87131 USA; [Krot, Alexander N.; Nagashima, Kazuhide] Univ Hawaii Manoa, Hawaii Inst Geophys &amp; Planetol, Sch Ocean &amp; Earth Sci &amp; Technol, Honolulu, HI 96822 USA; [Krot, Alexander N.] Goethe Univ Frankfurt, Geosci Inst Mineral, Altenhoeferallee 1, D-60438 Frankfurt, Germany</t>
  </si>
  <si>
    <t>University of New Mexico; University of Hawaii System; University of Hawaii Manoa; Goethe University Frankfurt</t>
  </si>
  <si>
    <t>Simon, SB (corresponding author), Univ New Mexico, Inst Meteorit, Albuquerque, NM 87131 USA.</t>
  </si>
  <si>
    <t>sbs8@unm.edu</t>
  </si>
  <si>
    <t>Nagashima, Kazuhide/0000-0002-9322-3187</t>
  </si>
  <si>
    <t>NSF; NASA; NASA Emerging Worlds Program [NNX17AI43G, NNX15AH38G]; Humboldt Foundation</t>
  </si>
  <si>
    <t>NSF(National Science Foundation (NSF)); NASA(National Aeronautics &amp; Space Administration (NASA)); NASA Emerging Worlds Program; Humboldt Foundation(Alexander von Humboldt Foundation)</t>
  </si>
  <si>
    <t>This manuscript benefitted from the careful reviews of J. Han and T. Tenner. The efforts of AE K. Righter are also appreciated. This work would not have been possible without the availability of Antarctic meteorites. U.S. Antarctic meteorite samples are recovered by the Antarctic Search for Meteorites (ANSMET) program, which has been funded by NSF and NASA, and characterized and curated by the Department of Mineral Sciences of the Smithsonian Institution and Astromaterials Acquisition and Curation Office at NASA Johnson Space Center. Our work was funded by the NASA Emerging Worlds Program through grants NNX17AI43G (S.B.S.) and NNX15AH38G (A.N.K.). A.N.K. was also partially supported by the Humboldt Foundation. All funding is gratefully acknowledged.</t>
  </si>
  <si>
    <t>10.1111/maps.13282</t>
  </si>
  <si>
    <t>WOS:000470741600010</t>
  </si>
  <si>
    <t>Ferrando, S; Amaroli, A; Gallus, L; Di Blasi, D; Carlig, E; Rottigni, M; Vacchi, M; Parker, SJ; Ghigliotti, L</t>
  </si>
  <si>
    <t>Ferrando, Sara; Amaroli, Andrea; Gallus, Lorenzo; Di Blasi, Davide; Carlig, Erica; Rottigni, Marino; Vacchi, Marino; Parker, Steven J.; Ghigliotti, Laura</t>
  </si>
  <si>
    <t>Olfaction in the Antarctic toothfish Dissostichus mawsoni: clues from the morphology and histology of the olfactory rosette and bulb</t>
  </si>
  <si>
    <t>Chemoreception; Notothenioid fish; Rodlet cells; G-protein; Functional anatomy</t>
  </si>
  <si>
    <t>PROTEIN ALPHA-SUBUNITS; SENSE ORGAN ANATOMY; RODLET CELLS; RECEPTOR NEURONS; BRAIN; PERCIFORMES; ZEBRAFISH; SYSTEM; NOTOTHENIOIDEI; ORGANIZATION</t>
  </si>
  <si>
    <t>The Antarctic notothenioid fish Dissostichus mawsoni (Antarctic toothfish) is an important piscine top predator in the Southern Ocean. Good olfactory capability has been hypothesized for this species on the basis of morphological (size of its olfactory bulb compared to other notothenioids) and behavioral (long distance migrations for food search and reproduction) traits. Here, we provide new information on the structure and function of the olfactory rosette and bulb of D. mawsoni using histology. Adult specimens (total length 136.2 +/- 11.6 cm) were collected from McMurdo Sound. The rosettes had an average of 39 lamellae, without secondary folds and with a total surface area of about 1000 mm(2). Both putative ciliated and microvillous receptor neurons were present in the sensory epithelium. Their projections to clustered glomeruli in the olfactory bulb were observed using antibodies against G-proteins. Numerous rodlet cells were observed in the epithelium and Gi2-like immunoreactivity was present in their cytoplasm. This deserves further investigation given the still-debated nature of this cell type. Through the isotropic fractionator method, we showed 116,000 cells (mg of tissue)(-1) in the olfactory bulb of D. mawsoni, a density that is similar to those found in mammals. Taken together, these data describe a well-developed olfactory system in this species, where olfaction is key sensory system.</t>
  </si>
  <si>
    <t>[Ferrando, Sara; Amaroli, Andrea; Gallus, Lorenzo; Rottigni, Marino] Univ Genoa, DISTAV, Corso Europa 26, I-16132 Genoa, Italy; [Amaroli, Andrea] Univ Genoa, DISC, Largo Rosanna Benzi 8, I-16132 Genoa, Italy; [Di Blasi, Davide; Carlig, Erica; Vacchi, Marino; Ghigliotti, Laura] ISMAR CNR, Via De Marini 6, I-16149 Genoa, Italy; [Parker, Steven J.] Natl Inst Water &amp; Atmospher Reseatch NIWA, POB 893, Nelson, New Zealand</t>
  </si>
  <si>
    <t>University of Genoa; University of Genoa; Consiglio Nazionale delle Ricerche (CNR); Istituto di Scienze Marine (ISMAR-CNR)</t>
  </si>
  <si>
    <t>Ferrando, S (corresponding author), Univ Genoa, DISTAV, Corso Europa 26, I-16132 Genoa, Italy.</t>
  </si>
  <si>
    <t>sara131274@gmail.com</t>
  </si>
  <si>
    <t>Di Blasi, Davide/AAV-5937-2021; Amaroli, Andrea/AAB-1932-2021; Ghigliotti, Laura/J-3076-2012; Ferrando, Sara/AAC-9934-2022; Amaroli, Andrea/AAC-8693-2022; Ghigliotti, Laura/AAN-6843-2021</t>
  </si>
  <si>
    <t>Amaroli, Andrea/0000-0002-0494-7942; Ferrando, Sara/0000-0002-5781-9709; Amaroli, Andrea/0000-0002-0494-7942; Ghigliotti, Laura/0000-0003-2139-1381</t>
  </si>
  <si>
    <t>Italian National Programme for Antarctic Research (PNRA) project [2015/B1.02]; New Zealand Ministry for Primary Industries [ANT2015/01]</t>
  </si>
  <si>
    <t>Italian National Programme for Antarctic Research (PNRA) project; New Zealand Ministry for Primary Industries</t>
  </si>
  <si>
    <t>The study was supported by the Italian National Programme for Antarctic Research (PNRA) project 2015/B1.02 (DISMAS), and contributes to the SCAR Scientific Research Program AnT-ERA (Antarctic Thresholds -Ecosystem Resilience and Adaptation). The sea-ice-based activities to collect D. mawsoni were funded by the New Zealand Ministry for Primary Industries under contract ANT2015/01. We thank Antarctica New Zealand for excellent logistic support.</t>
  </si>
  <si>
    <t>10.1007/s00300-019-02496-2</t>
  </si>
  <si>
    <t>IC1BP</t>
  </si>
  <si>
    <t>WOS:000470694200002</t>
  </si>
  <si>
    <t>Schüttler, E; Crego, RD; Saavedra-Aracena, L; Silva-Rodríguez, EA; Rozzi, R; Soto, N; Jiménez, JE</t>
  </si>
  <si>
    <t>Schuttler, Elke; Crego, Ramiro D.; Saavedra-Aracena, Lorena; Silva-Rodriguez, Eduardo A.; Rozzi, Ricardo; Soto, Nicolas; Jimenez, Jaime E.</t>
  </si>
  <si>
    <t>New records of invasive mammals from the sub-Antarctic Cape Horn Archipelago</t>
  </si>
  <si>
    <t>Assisted dispersal; Conservation; Free-ranging domestic animals; Islands; Monitoring; Range expansion; Vertebrates</t>
  </si>
  <si>
    <t>TIERRA-DEL-FUEGO; BIOLOGICAL INVASIONS; AMERICAN MINK; DISTRIBUTION MODELS; BIOSPHERE RESERVE; DOG-POPULATIONS; CITIZEN SCIENCE; SOUTHERN END; BIODIVERSITY; MANAGEMENT</t>
  </si>
  <si>
    <t>The southernmost archipelago of the Americas is dominated by invasive mammals that outnumber their native counterparts. Despite the relatively low ability of most invasive mammals to cross cold sea water channels, invaders are apparently colonizing new islands. Our objective was to provide an assessment of the expansion of invasive mammals within these sub-Antarctic ecosystems, determine whether human-mediated movement of invasive species is a plausible dispersal mechanism, and identify areas likely to be colonized in the near future. We report a decade of fieldwork (2006-2017) in 44 sites on 13 islands within the Cape Horn Biosphere Reserve including opportunistic and systematic camera trapping, carnivore diet, questionnaires, small mammal trapping, and walks/transects. We found new records of invasive mammals on seven islands, particularly for American mink (Neovison vison) and American beaver (Castor canadensis). Interviews with fishermen showed that mink, dogs (Canis familiaris), and small rodents are likely passengers in vessels. Finally, species distribution models revealed that the putative invasive-free Cape Horn National Park (55 degrees S) is suitable for several invasive species, suggesting a high risk of invasion if species are introduced. We conclude that it is urgent to implement barriers to dispersal to prevent further invasion. In the case of dogs and cats (Felis catus), the first step should be control actions that target pet owners. Finally, we highlight the need of systematic, long-term biodiversity monitoring and citizen science in the Cape Horn Archipelago and common conservation guidelines for the terrestrial sub-Antarcticecosystems.</t>
  </si>
  <si>
    <t>[Schuttler, Elke; Crego, Ramiro D.; Saavedra-Aracena, Lorena; Rozzi, Ricardo; Jimenez, Jaime E.] Univ Magallanes, Subantarctic Biocultural Conservat Program, Teniente Munoz 166, Puerto Williams, Region De Megal, Chile; [Crego, Ramiro D.; Rozzi, Ricardo] Inst Ecol &amp; Biodivers, Dept Ecol Sci, Casilla 653, Santiago, Chile; [Silva-Rodriguez, Eduardo A.] Univ Austral Chile, Fac Ciencias Forestales &amp; Recursos Nat, Inst Conservac Biodiversidad &amp; Terr, Campus Isla Teja,Casilla 567, Valdivia, Chile; [Rozzi, Ricardo; Jimenez, Jaime E.] Univ North Texas, Dept Biol Sci, 1511W Sycamore, Denton, TX 76203 USA; [Rozzi, Ricardo] Univ North Texas, Dept Philosophy &amp; Relig, 1155 Union Circle, Denton, TX 76203 USA; [Soto, Nicolas] Chilean Minist Agr, Agr &amp; Livestock Serv, Ave Bulnes, Punta Arenas 0309, Chile</t>
  </si>
  <si>
    <t>Universidad de Magallanes; Universidad Austral de Chile; University of North Texas System; University of North Texas Denton; University of North Texas System; University of North Texas Denton</t>
  </si>
  <si>
    <t>Schüttler, E (corresponding author), Univ Magallanes, Subantarctic Biocultural Conservat Program, Teniente Munoz 166, Puerto Williams, Region De Megal, Chile.</t>
  </si>
  <si>
    <t>elke.schuttler@umag.cl</t>
  </si>
  <si>
    <t>Crego, Ramiro Daniel/I-3964-2019; Rozzi, Ricardo/G-1047-2012; Jimenez, Jaime E./AAO-7531-2020; Silva-Rodriguez, Eduardo A./B-1854-2010</t>
  </si>
  <si>
    <t>Crego, Ramiro Daniel/0000-0001-8583-5936; Rozzi, Ricardo/0000-0001-5265-8726; Silva-Rodriguez, Eduardo A./0000-0001-9416-8653; Schuttler, Elke/0000-0001-9143-6237</t>
  </si>
  <si>
    <t>National Forest Corporation (CONAF); University of North Texas (UNT); Institute of Ecology and Biodiversity (IEB); Pew Charitable Trusts; Corporacion de Fomento de la Produccion (CORFO) [16BPER-67004]; Comision Nacional de Investigacion Cientifica y Tecnologica (PAI-CONICYT) [79140024]; Comision Nacional de Investigacion Cientifica y Tecnologica (FONDECYT Iniciacion) [11171006]; Millennium Scientific Initiative [P05-002]; Basal-CONICYT [PFB-23]</t>
  </si>
  <si>
    <t>National Forest Corporation (CONAF); University of North Texas (UNT); Institute of Ecology and Biodiversity (IEB); Pew Charitable Trusts; Corporacion de Fomento de la Produccion (CORFO); Comision Nacional de Investigacion Cientifica y Tecnologica (PAI-CONICYT); Comision Nacional de Investigacion Cientifica y Tecnologica (FONDECYT Iniciacion); Millennium Scientific Initiative; Basal-CONICYT</t>
  </si>
  <si>
    <t>We are grateful to the local community and fishermen of the Cape Horn Biosphere Reserve, who shared their knowledge with us, to A Mansilla, and numerous volunteers who helped in the field. Our special thanks go to the Chilean navy for facilitating maritime transport to the navy posts. We would also like to thank the National Forest Corporation (CONAF) for their support, especially X Alvarez, A Silva, L Ramirez and M Lopetegui. N Ward, E Butikofer, A Pietrek, and two anonymous reviewers made valuable comments on an earlier version of the manuscript. The University of North Texas (UNT), the Institute of Ecology and Biodiversity (IEB), Pew Charitable Trusts, and Corporacion de Fomento de la Produccion (CORFO, 16BPER-67004) funded the study. E Schuttler and E Silva were supported by the Comision Nacional de Investigacion Cientifica y Tecnologica (PAI-CONICYT No. 79140024 and FONDECYT Iniciacion No. 11171006), and R Rozzi by the Millennium Scientific Initiative (No. P05-002) and Basal-CONICYT (No. PFB-23).</t>
  </si>
  <si>
    <t>10.1007/s00300-019-02497-1</t>
  </si>
  <si>
    <t>WOS:000470694200003</t>
  </si>
  <si>
    <t>Eastman, JT</t>
  </si>
  <si>
    <t>Eastman, Joseph T.</t>
  </si>
  <si>
    <t>An analysis of maximum body size and designation of size categories for notothenioid fishes</t>
  </si>
  <si>
    <t>Antarctic; Maximum total length; Disparity in size; Food web</t>
  </si>
  <si>
    <t>SOUTH-SHETLAND ISLANDS; TERRA-NOVA BAY; TOOTHFISH DISSOSTICHUS-ELEGINOIDES; FLATHEAD PERCOPHIS-BRASILIENSIS; LIFE-HISTORY TRAITS; DEEP ROSS SEA; ANTARCTIC FISH; SCOTIA ARC; POGONOPHRYNE PISCES; SP-N</t>
  </si>
  <si>
    <t>There has been no comprehensive study of body size in notothenioid fishes. Therefore I evaluated maximum total length (TL) as an axis of the evolutionary radiation. Lengths are provided for 141 species that collectively range in maximum adult size from 5.7cm (Harpagifer nybelini) to 225cm (Dissostichus eleginoides), a 39-fold difference. For the 138 species analyzed, the mean length is 33.5cm and the median is 26.6cm. Based on 10cm-bins, notothenioids are apportioned into small (&lt;10cm), medium (10-39cm), medium-large (40-91cm), and large (&gt;200cm) size categories. The 20-29cm bin contains the most species (32%). Most species (71%) are of medium size, 21% of species are medium-large, and 7% and approximate to 1% are small and large, respectively. The median lengths vary among the five cryonotothenioid families as well as among eight clades (genera and families). Among families, median and mean lengths are smallest in the Harpagiferidae and largest in Channichthyidae. Among clades, Harpagifer has the smallest median length (8.3cm) followed by Artedidraco (12.5cm). Several middle-sized clades do not differ in median size: Patagonotothen, Trematomus, Pogonophryne, and Bathydraconidae. Two clades of medium-large size species, Notothenia and Channichthyidae, are of similar size. A significant but weak positive relationship exists between maximum length and maximum depth. With the exception of miniature species (1cm), the 126 species of cryonotothenioids (the Antarctic clade) encompass the range in size categories in actinopterygians in general, and the disparity in maximum lengths among individual species indicates that body size is an axis of the radiation. I discuss the size of notothenioids relative to other teleosts, the ecological implications of large species in the food web, and the similarity of the cryonotothenioid axes of diversification to those of Lake Baikal sculpins.</t>
  </si>
  <si>
    <t>[Eastman, Joseph T.] Ohio Univ, Dept Biomed Sci, Athens, OH 45701 USA</t>
  </si>
  <si>
    <t>University System of Ohio; Ohio University</t>
  </si>
  <si>
    <t>Eastman, JT (corresponding author), Ohio Univ, Dept Biomed Sci, Athens, OH 45701 USA.</t>
  </si>
  <si>
    <t>eastman@ohio.edu</t>
  </si>
  <si>
    <t>Eastman, Joseph T./O-6150-2019</t>
  </si>
  <si>
    <t>Eastman, Joseph T./0000-0003-3868-261X</t>
  </si>
  <si>
    <t>NSF [ANT 04-36190]</t>
  </si>
  <si>
    <t>For answering my questions and providing information and advice, I am most grateful to Arcady Balushkin (Zoological Institute, Russian Academy of Sciences), Esteban Barrera-Oro (Instituto Antartico Argentino), Richard R. Eakin, Stuart Hanchet (National Institute of Water and Atmospheric Research, New Zealand), Mathias Hune (Fundacion Ictiologica, Santiago, Chile), Valentina G. Sideleva (Zoological Institute, Russian Academy of Sciences), Andrew Stewart (National Museum of New Zealand Te Paupa), and Olga Voskoboinikova (Zoological Institute, Russian Academy of Sciences). Three reviewers also provided extremely useful comments. The study is supported by NSF ANT 04-36190.</t>
  </si>
  <si>
    <t>10.1007/s00300-019-02502-7</t>
  </si>
  <si>
    <t>WOS:000470694200006</t>
  </si>
  <si>
    <t>Kawarasaki, Y; Teets, NM; Philip, BN; Potts, LJ; Gantz, JD; Denlinger, DL; Lee, RE</t>
  </si>
  <si>
    <t>Kawarasaki, Yuta; Teets, Nicholas M.; Philip, Benjamin N.; Potts, Leslie J.; Gantz, J. D.; Denlinger, David L.; Lee, Richard E.</t>
  </si>
  <si>
    <t>Characterization of drought-induced rapid cold-hardening in the Antarctic midge, Belgica antarctica</t>
  </si>
  <si>
    <t>Antarctic Peninsula; Cross tolerance; Drought; Freeze tolerance; Rapid cold-hardening</t>
  </si>
  <si>
    <t>GOLDENROD GALL FLY; EUROSTA-SOLIDAGINIS; DROSOPHILA-MELANOGASTER; FREEZE-TOLERANCE; CRYOPROTECTIVE DEHYDRATION; DESICCATION; LARVAE; MECHANISMS; DIPTERA; STRESS</t>
  </si>
  <si>
    <t>Survival of the terrestrial midge, Belgica antarctica, on the Antarctic Peninsula is promoted, not only by their adaptations to prolonged exposures to seasonal stresses, but also by their ability to respond to unpredictable changes in their environments. Rapid cold-hardening (RCH) is an extremely swift acclimatory response of insects that occurs within minutes to hours. While the RCH response is most commonly induced by a brief exposure to mildly low temperatures, a similar rapid acclimatory response can also be elicited by exposure to drought. In this study, we characterized this drought-induced RCH in larvae of B. antarctica. Compared to fully hydrated larvae, those desiccated at various relative humidity (R.H.) conditions between 0 and 99% R.H. for 2h had a significantly greater survival (50%) to freezing at-14 degrees C. The amount of water loss varied between 4 and 16% depending on R.H. conditions; however, all treatments were equally effective in eliciting the protective response against freezing stress, and its induction was evident within 30min of desiccation. Lack of substantial changes in body-fluid osmolality or levels of major cryoprotectants suggest that accumulation of these protective solutes is not a primary mechanism of this response. Interestingly, the RCH protection induced by desiccation persisted after larvae were allowed to recover a significant portion of the lost water. Our results indicate that larval midges are highly sensitive to desiccation, capable of swiftly initiating physiological changes in response to a small reduction in their body water content.</t>
  </si>
  <si>
    <t>[Kawarasaki, Yuta] Gustavus Adolphus Coll, Dept Biol, 800 West Coll Ave, St Peter, MN 56082 USA; [Teets, Nicholas M.; Potts, Leslie J.] Univ Kentucky, Dept Entomol, Lexington, KY 40546 USA; [Philip, Benjamin N.; Gantz, J. D.; Lee, Richard E.] Miami Univ, Dept Biol, Oxford, OH 45056 USA; [Gantz, J. D.] Hendrix Coll, Dept Biol, Conway, AR 72032 USA; [Denlinger, David L.] Ohio State Univ, Dept Entomol, 1735 Neil Ave, Columbus, OH 43210 USA; [Denlinger, David L.] Ohio State Univ, Dept Evolut Ecol &amp; Organismal Biol, Columbus, OH 43210 USA</t>
  </si>
  <si>
    <t>Gustavus Adolphus College; University of Kentucky; University System of Ohio; Miami University; University System of Ohio; Ohio State University; University System of Ohio; Ohio State University</t>
  </si>
  <si>
    <t>Kawarasaki, Y (corresponding author), Gustavus Adolphus Coll, Dept Biol, 800 West Coll Ave, St Peter, MN 56082 USA.</t>
  </si>
  <si>
    <t>ykawaras@gustavus.edu</t>
  </si>
  <si>
    <t>Kawarasaki, Yuta/AAD-4032-2019; Teets, Nicholas/IQT-5328-2023; Philip, Ben/JYQ-5173-2024; Teets, Nicholas/H-7386-2013</t>
  </si>
  <si>
    <t>National Science Foundation [PLP-1341385, PLP-1341393]; National Institute of Food and Agriculture, U.S. Department of Agriculture; Hatch Project [1010996]</t>
  </si>
  <si>
    <t>National Science Foundation(National Science Foundation (NSF)); National Institute of Food and Agriculture, U.S. Department of Agriculture(United States Department of Agriculture (USDA)); Hatch Project(United States Department of Agriculture (USDA))</t>
  </si>
  <si>
    <t>This research was supported by the National Science Foundation Grants (PLP-1341385 and PLP-1341393). This work was also supported by the National Institute of Food and Agriculture, U.S. Department of Agriculture, and Hatch Project 1010996 awarded to NMT.</t>
  </si>
  <si>
    <t>10.1007/s00300-019-02503-6</t>
  </si>
  <si>
    <t>WOS:000470694200007</t>
  </si>
  <si>
    <t>Kuc, V; Vázquez, S; Hernández, E; Martinez-Alvarez, L; Primitz, JV; Cormack, WPM; Ruberto, L</t>
  </si>
  <si>
    <t>Kuc, Vanesa; Vazquez, Susana; Hernandez, Edgardo; Martinez-Alvarez, Lucas; Villalba Primitz, Julia; Mac Cormack, Walter Patricio; Ruberto, Lucas</t>
  </si>
  <si>
    <t>Hydrocarbon-contaminated Antarctic soil: changes in bacterial community structure during the progress of enrichment cultures with different n-alkanes as substrate</t>
  </si>
  <si>
    <t>Bioremediation; Enrichment cultures; n-Alkanes; Antarctica; Bacterial community structure</t>
  </si>
  <si>
    <t>POLYCYCLIC AROMATIC-HYDROCARBONS; MICROBIAL COMMUNITIES; BIOREMEDIATION; DEGRADATION; TEMPERATURE; BIODEGRADATION; MICROORGANISMS; SEQUENCES; CONSORTIA; GROWTH</t>
  </si>
  <si>
    <t>Hydrocarbon contamination in soils from extremely cold areas, such as those from Antarctica, requires the development of specific remediation strategies for cleaning up anthropogenic pollution. Previous reports evidenced that after on-site biostimulation process of gasoil-contaminated Antarctic soils, 20% of the initial hydrocarbons remained undegraded (mainly C11-C14 n-alkanes). In the present work, these n-alkanes were added as sole carbon and energy source to enrichment cultures inoculated with the previously treated soil (biostimulation) as microorganism's source to investigate changes occurring in the bacterial community structure. Three subcultures (8, 16, and 24days) were performed from each enrichment culture. Changes in bacterial communities among different cultures and its subcultures were evidenced by Denaturing Gradient Gel Electrophoresis (DGGE). Results showed that even differences of one C in the alkane chain-length led to different community structures that evolved divergently from the original one. Clusters analysis showed that while samples grouped mainly by culture time, substrate-dependent differences were also evident. Isolation of biological tools for bioremediation from the cultures showed that Pseudomonadaceae members were omnipresent, whereas Rhodococcus spp. were obtained in cultures with the longest chain-length substrates. Results provided evidence about the presence of certain substrate preference of soil bacteria (even when substrates differed only in one C-atom of their chain-length), leading to different community structures. A collection of psychrotolerant hydrocarbon degrading/tolerant strains was obtained, representing a valuable tool for the design of a bioaugmentation strategy as a second, more specific stage, targeting the remnant hydrocarbons after a first bioremediation process involving biostimulation.</t>
  </si>
  <si>
    <t>[Hernandez, Edgardo; Martinez-Alvarez, Lucas; Villalba Primitz, Julia; Mac Cormack, Walter Patricio; Ruberto, Lucas] Inst Antartico Argentino, 25 Mayo 1143,B1650BMK, Buenos Aires, DF, Argentina; [Vazquez, Susana; Hernandez, Edgardo; Martinez-Alvarez, Lucas; Villalba Primitz, Julia; Mac Cormack, Walter Patricio; Ruberto, Lucas] CONICET Univ Buenos Aires, Inst Nanobiotecnol NANOBIOTEC, Fac Farm &amp; Bioquim, Junin 956 6to Piso,C1113AAD, Buenos Aires, DF, Argentina; [Kuc, Vanesa] Univ Nacl Quilmes, Roque Saenz Pena 352,B1876BXD, Buenos Aires, DF, Argentina; [Vazquez, Susana; Hernandez, Edgardo; Martinez-Alvarez, Lucas; Villalba Primitz, Julia; Mac Cormack, Walter Patricio; Ruberto, Lucas] Univ Buenos Aires, Fac Farm &amp; Bioquim, Catedra Biotecnol,Junin 956, RA-1113 Buenos Aires, DF, Argentina</t>
  </si>
  <si>
    <t>Instituto Antartico Argentino; University of Buenos Aires; University of Buenos Aires</t>
  </si>
  <si>
    <t>Ruberto, L (corresponding author), Inst Antartico Argentino, 25 Mayo 1143,B1650BMK, Buenos Aires, DF, Argentina.;Ruberto, L (corresponding author), CONICET Univ Buenos Aires, Inst Nanobiotecnol NANOBIOTEC, Fac Farm &amp; Bioquim, Junin 956 6to Piso,C1113AAD, Buenos Aires, DF, Argentina.;Ruberto, L (corresponding author), Univ Buenos Aires, Fac Farm &amp; Bioquim, Catedra Biotecnol,Junin 956, RA-1113 Buenos Aires, DF, Argentina.</t>
  </si>
  <si>
    <t>luruberto@gmail.com</t>
  </si>
  <si>
    <t>Vazquez, Susana/AEP-5214-2022</t>
  </si>
  <si>
    <t>Vazquez, Susana/0000-0002-0760-6254; Ruberto, Lucas Adolfo Mauro/0000-0001-5604-772X; Mac Cormack, Walter/0000-0002-5280-5463</t>
  </si>
  <si>
    <t>CONICET, Universidad de Buenos Aires [UBACyT 2014-2017 UBA 20020130100569BA]; ANPCyT; Instituto Antartico Argentino [0124]</t>
  </si>
  <si>
    <t>CONICET, Universidad de Buenos Aires(University of Buenos AiresConsejo Nacional de Investigaciones Cientificas y Tecnicas (CONICET)); ANPCyT(ANPCyT); Instituto Antartico Argentino</t>
  </si>
  <si>
    <t>This research was partially supported by CONICET, Universidad de Buenos Aires (Grant UBACyT 2014-2017 UBA 20020130100569BA), ANPCyT and Instituto Antartico Argentino (Grant PICTO 2010 No 0124). We thank the logistic logistic support from Carlini Station crew (2013, 2014 and 2015) and the personnel belonging to Direccion Nacional del Antartico. Also, we are grateful to Cecilia Ferreiro for the revision of the English manuscript.</t>
  </si>
  <si>
    <t>10.1007/s00300-019-02508-1</t>
  </si>
  <si>
    <t>WOS:000470694200008</t>
  </si>
  <si>
    <t>Berg, S; White, DA; Hermichen, WD; Emmerson, L</t>
  </si>
  <si>
    <t>Berg, Sonja; White, Duanne A.; Hermichen, Wolf-Dieter; Emmerson, Louise</t>
  </si>
  <si>
    <t>Late Holocene colonisation of snow petrels (Pagodroma nivea) of the Prince Charles Mountains, Antarctica</t>
  </si>
  <si>
    <t>Snow petrel; Pagodroma nivea; Mumiyo deposits; Holocene; East Antarctica</t>
  </si>
  <si>
    <t>EAST ANTARCTICA; SOUTHERN-OCEAN; HILLS; C-14</t>
  </si>
  <si>
    <t>The effect of long-term environmental changes on sea bird populations with respect to changes in their breeding and foraging habitats is difficult to assess due to the scarcity of records that go beyond direct observational data. Information on the past distribution of snow petrel Pagodroma nivea (Forster) breeding colonies can be obtained from deposits of their proventricular stomach oil, so-called Antarctic mumiyo. In our study, we present C-14 ages of mumiyo deposits from northern and southern Prince Charles Mountains, East Antarctica, to reconstruct the timing of snow petrel occupation at these inland breeding localities. C-14 ages indicate a minimum age of snow petrel occupation of 3680calyear bp. The colonisation post-dates the de-glacial local and regional ice sheet retreat by several thousand years. This either suggests limited accessibility of the inland sites or a lack of suitable nesting locations prior to the Mid-Holocene and/or changes in the marine habitat affecting access to the foraging grounds. C-14 ages of mumiyo deposits from Vestfold and Larsemann Hills to the east of Prydz Bay point to a regional pattern of snow petrel dispersal starting in the Mid-Holocene. This suggests environmental changes in the foraging habitat to be the most likely drivers for extending breeding site locations of snow petrels to more inland ice-free areas in the Prydz Bay Region.</t>
  </si>
  <si>
    <t>[Berg, Sonja] Univ Cologne, Inst Geol &amp; Mineral, Zulpicher Str 49a, D-50674 Cologne, Germany; [White, Duanne A.] Univ Canberra, Inst Appl Ecol, Canberra, ACT, Australia; [Hermichen, Wolf-Dieter] Alfred Wegener Inst Polar &amp; Marine Res, Potsdam, Germany; [Emmerson, Louise] Australian Antarctic Div, Kingston, Tas, Australia</t>
  </si>
  <si>
    <t>University of Cologne; University of Canberra; Helmholtz Association; Alfred Wegener Institute, Helmholtz Centre for Polar &amp; Marine Research; Australian Antarctic Division</t>
  </si>
  <si>
    <t>Berg, S (corresponding author), Univ Cologne, Inst Geol &amp; Mineral, Zulpicher Str 49a, D-50674 Cologne, Germany.</t>
  </si>
  <si>
    <t>sberg0@uni-koeln.de</t>
  </si>
  <si>
    <t>White, Duanne A/E-6919-2012; Berg, Sonja/AAW-3817-2021</t>
  </si>
  <si>
    <t>Berg, Sonja/0000-0002-9629-6007; White, Duanne/0000-0003-0740-2072</t>
  </si>
  <si>
    <t>Deutsche Forschungsgemeinschaft (DFG) [BE 4764/4-1]; Australian Antarctic Division [AAS1071]</t>
  </si>
  <si>
    <t>Deutsche Forschungsgemeinschaft (DFG)(German Research Foundation (DFG)); Australian Antarctic Division</t>
  </si>
  <si>
    <t>This work was supported by the Deutsche Forschungsgemeinschaft (DFG) in the Framework of the Priority Program Antarctic Research with comparative investigations in Arctic ice areas by Grant BE 4764/4-1. Sample collection in the Northern Prince Charles Mountains was funded by the Australian Antarctic Division (Grant AAS1071). Thanks to Gary Kuehn and the PCMEGA-field guides, who surveyed the breeding sites and took the mumiyo samples.</t>
  </si>
  <si>
    <t>10.1007/s00300-019-02509-0</t>
  </si>
  <si>
    <t>WOS:000470694200009</t>
  </si>
  <si>
    <t>Flores, K; López, Z; Levicoy, D; Muñoz-Ramírez, CP; González-Wevar, C; Oliva, ME; Cárdenas, L</t>
  </si>
  <si>
    <t>Flores, K.; Lopez, Z.; Levicoy, D.; Munoz-Ramirez, C. P.; Gonzalez-Wevar, C.; Oliva, M. E.; Cardenas, L.</t>
  </si>
  <si>
    <t>Identification assisted by molecular markers of larval parasites in two limpet species (Patellogastropoda: Nacella) inhabiting Antarctic and Magellan coastal systems</t>
  </si>
  <si>
    <t>Nacella concinna; Nacella deaurata; Digenean parasites; Molecular markers; Southern Ocean</t>
  </si>
  <si>
    <t>LIFE-CYCLES; GYMNOPHALLID TREMATODES; COMMUNITY STRUCTURE; NORTH-SEA; ECOLOGY; FELLODISTOMIDAE; EVOLUTION; SEQUENCE; DIGENEA; HOSTS</t>
  </si>
  <si>
    <t>In the Southern Ocean, many parasites of vertebrates (mainly helminth groups) have been recognized as endemic species, but parasites of marine invertebrates remain almost unknown. It is reasonable to assume that digenean larvae will parasitize gastropods, bivalves, amphipods, and annelids, the usual first and second intermediate hosts for those parasites. Here, using an identification assisted by molecular markers, we report the Digenea species parasitizing the most abundant limpet species inhabiting ice-free rocky intertidal and subtidal zones of the Southern Ocean, viz. Nacella concinna from the Antarctic and Nacella deaurata from the Magellan region. The limpets harbored larval Digenea (two metacercariae and one sporocyst). Phylogenetic analysis based on the multilocus tree supported the hypothesis that N.concinna is parasitized by a species of Gymnophallidae, whereas the limpet N.deaurata is parasitized by Gymnophalloides nacellae and a species of Renicolidae. In addition, differences in prevalence and intensity were also recorded between the two compared host species and also from other congeneric species. This new knowledge in parasite species in marine invertebrates from the Southern Ocean reveals the presence of a particular parasite fauna and confirms the utility of molecular tools to identify biodiversity still scarcely known.</t>
  </si>
  <si>
    <t>[Flores, K.; Levicoy, D.; Cardenas, L.] Univ Austral Chile, Inst Ciencias Ambientales &amp; Evolut, Ctr FONDAP IDEAL, Valdivia, Chile; [Lopez, Z.] Univ Chile, IEB, Fac Ciencias, Santiago, Chile; [Lopez, Z.] Univ Magallanes, LEMAS, Punta Arenas, Chile; [Munoz-Ramirez, C. P.] Univ Catolica Santisima Concepcion, CIBAS, Concepcion, Chile; [Munoz-Ramirez, C. P.] Univ Catolica Santisima Concepcion, Fac Ciencias, Concepcion, Chile; [Gonzalez-Wevar, C.] Univ Austral Chile, Ctr FONDAP IDEAL, Inst Ciencias Marinas &amp; Limnol, Valdivia, Chile; [Oliva, M. E.] Univ Antofagasta, Inst Ciencias Nat Alexander Von Humboldt, FACIMAR, Antofagasta, Chile; [Oliva, M. E.] Univ Concepcion, Inst Milenio Oceanog, Concepcion, Chile</t>
  </si>
  <si>
    <t>Universidad Austral de Chile; Universidad de Chile; Universidad de Magallanes; Universidad Catolica de la Santisima Concepcion; Universidad Catolica de la Santisima Concepcion; Universidad Austral de Chile; Universidad de Antofagasta; Universidad de Concepcion</t>
  </si>
  <si>
    <t>Cárdenas, L (corresponding author), Univ Austral Chile, Inst Ciencias Ambientales &amp; Evolut, Ctr FONDAP IDEAL, Valdivia, Chile.</t>
  </si>
  <si>
    <t>leylacardenas@uach.cl</t>
  </si>
  <si>
    <t>Cardenas, Leyla/AAY-5671-2020; Oliva, Marcelo E./O-7080-2016; González-Wevar, Claudio Alejandro/AAD-6513-2021; Muñoz-Ramirez, Carlos/F-8969-2012</t>
  </si>
  <si>
    <t>Cardenas, Leyla/0000-0003-0676-6704; Muñoz-Ramirez, Carlos/0000-0003-1348-5476; Levicoy, Daniela/0000-0002-0039-3487</t>
  </si>
  <si>
    <t>Instituto Antartico Chileno [Inach RT 02-15]; National Commission of Scientific and Technological Investigation of Chile through the Fondo de Financiamiento de Centros de Investigacion en Areas Prioritarias (FONDAP) programme research center: Dynamics of High Latitude Marine Ecosystems [15150003]; FONDECYT [3180331]</t>
  </si>
  <si>
    <t>Instituto Antartico Chileno; National Commission of Scientific and Technological Investigation of Chile through the Fondo de Financiamiento de Centros de Investigacion en Areas Prioritarias (FONDAP) programme research center: Dynamics of High Latitude Marine Ecosystems; FONDECYT(Comision Nacional de Investigacion Cientifica y Tecnologica (CONICYT)CONICYT FONDECYT)</t>
  </si>
  <si>
    <t>This work was supported and funded by the Instituto Antartico Chileno through the Inach RT 02-15 Grant, the National Commission of Scientific and Technological Investigation of Chile through the Fondo de Financiamiento de Centros de Investigacion en Areas Prioritarias (FONDAP) programme research center: Dynamics of High Latitude Marine Ecosystems (grant no. 15150003), and FONDECYT (postdoctoral grant no. 3180331 to C.P.M.-R.).</t>
  </si>
  <si>
    <t>10.1007/s00300-019-02511-6</t>
  </si>
  <si>
    <t>WOS:000470694200010</t>
  </si>
  <si>
    <t>An update on the Southern Giant Petrels Macronectes giganteus breeding at Harmony Point, Nelson Island, Maritime Antarctic Peninsula</t>
  </si>
  <si>
    <t>Breeding Pairs; Nest Distribution; Population; Seabird</t>
  </si>
  <si>
    <t>POPULATION-SIZE; PENGUIN; TRENDS</t>
  </si>
  <si>
    <t>In several parts of Antarctica, the information on the size of seabird populations is outdated by decades. Considering the environmental changes taking place at the Antarctic Peninsula, up-to-date information is urgently required. In this study, the breeding population of southern giant petrel (Macronectes giganteus) at Harmony Point, Nelson Island, was counted and mapped during incubation. The total number of active nests was 481, distributed mostly in small dispersed groups (&lt;30 nests); one single colony presented&gt;100 nests. Nests were distributed throughout the whole area. Current colony distribution was similar to the ones reported previously. The current number of nests is similar to those reported since 2005, and also for early counts in the 1965 and 1989s. However, current numbers were almost half of those counted in the 1997. The apparent increases in the number of southern giant petrels by 1997 was attributed to prohibiting tourism visits to the area (giant petrels are sensitive to human disturbance), but causes of the following decrease are unknown. This highlights the need for updated information in order to understand which factors are responsible for trends in Antarctic seabird populations.</t>
  </si>
  <si>
    <t>[Kruger, Lucas] Inst Antartico Chileno, Plaza Munoz Gamero, Punta Arenas 1055, Chile</t>
  </si>
  <si>
    <t>Krüger, L (corresponding author), Inst Antartico Chileno, Plaza Munoz Gamero, Punta Arenas 1055, Chile.</t>
  </si>
  <si>
    <t>Chilean Antarctic Institute (INACH); Fondecyt [11180175]</t>
  </si>
  <si>
    <t>Chilean Antarctic Institute (INACH); Fondecyt(Comision Nacional de Investigacion Cientifica y Tecnologica (CONICYT)CONICYT FONDECYT)</t>
  </si>
  <si>
    <t>I thank the logistic and expedition teams of the Chilean Antarctic Institute (INACH) and the Norwegian Polar Institute for field support (particularly Andrew Lowther). I thank Fondecyt for the project funding (Fondecyt Iniciacion 11180175). My many thanks for Chris Oosthuizen and William Jouaenneau for being such good fieldwork colleagues and having the patience to wait for me to count the Giant Petrels while conducting the penguin studies. Finally, thanks for Petra Quillfeldt and an anonymous reviewer by many useful comments and suggestions.</t>
  </si>
  <si>
    <t>10.1007/s00300-019-02504-5</t>
  </si>
  <si>
    <t>WOS:000470694200014</t>
  </si>
  <si>
    <t>Cuba-Díaz, M; Acuña, D; Fuentes-Lillo, E</t>
  </si>
  <si>
    <t>Cuba-Diaz, Marely; Acuna, Daniela; Fuentes-Lillo, Eduardo</t>
  </si>
  <si>
    <t>Antarctic pearlwort (Colobanthus quitensis) populations respond differently to pre-germination treatments</t>
  </si>
  <si>
    <t>Acid scarification; Antarctic pearlwort; Colobanthus quitensis; Germination; Germplasm bank; Seeds; Stratification</t>
  </si>
  <si>
    <t>KING GEORGE ISLAND; PHYSICAL DORMANCY-BREAK; SOUTH SHETLAND; SEED DORMANCY; CARYOPHYLLACEAE; REPRODUCTION; GROWTH; ANDES; SIZE; LONGEVITY</t>
  </si>
  <si>
    <t>Seed germination depends on various biotic and abiotic interactions associated with maternal habitat. The formation of soil seed banks is a key strategy and has ecological implications, especially with regard to species that develop in extreme habitats. When establishing germplasm banks of these species from seeds, seed dormancy becomes one of the main difficulties. In this research, we study Colobanthus quitensis, a species with wide latitudinal and altitudinal distribution, inhabiting extreme environments from southern Mexico to maritime Antarctica. Furthermore, this species has been described to have a secondary dormancy that is dependent on the environment. In order to perform research without needing to have regular access to this species' habitats, it is therefore vital to possess plant material from different populations representing the species distribution. Thus, we evaluated the effects of various pre-germination treatments on germination percentage and time in four populations of the species. A differential and significant effect was evidenced, both among treatments and populations.Acid scarification increased germination percentage and decreased germination time. The best treatments were determined by population, and direct seeding after a brief period of cold stratification (4 degrees C) allowed us to achieve good germination percentages in at least three of the studied populations. This new evidence allows optimization in the introduction, development, characterization, and availability of plant material of the different C. quitensis populations in the Antarctic Vascular Plant Germplasm Bank.</t>
  </si>
  <si>
    <t>[Cuba-Diaz, Marely; Acuna, Daniela] Univ Concepcion, Escuela Ciencias &amp; Tecnol, Lab Biotecnol &amp; Estudios Ambientales, Campus Los Angeles,Casilla 341, Los Angeles 0201, Chile; [Fuentes-Lillo, Eduardo] Univ Concepcion, Fac Ciencias Forestales, Lab Invas Biol, Victoria 631, Concepcion, Chile</t>
  </si>
  <si>
    <t>Universidad de Concepcion; Universidad de Concepcion</t>
  </si>
  <si>
    <t>Cuba-Díaz, M (corresponding author), Univ Concepcion, Escuela Ciencias &amp; Tecnol, Lab Biotecnol &amp; Estudios Ambientales, Campus Los Angeles,Casilla 341, Los Angeles 0201, Chile.</t>
  </si>
  <si>
    <t>mcuba@udec.cl</t>
  </si>
  <si>
    <t>Cuba-Diaz, Marely/V-3109-2019</t>
  </si>
  <si>
    <t>Fuentes-Lillo, Eduardo/0000-0001-5657-954X</t>
  </si>
  <si>
    <t>VRID Project, Vice-Rectory for Research and Development, University of Concepcion [217.418.009-1.0]</t>
  </si>
  <si>
    <t>VRID Project, Vice-Rectory for Research and Development, University of Concepcion</t>
  </si>
  <si>
    <t>This research was financed by VRID Project 217.418.009-1.0, Vice-Rectory for Research and Development, University of Concepcion. The authors would like to thank Journal Revisions (https ://www.journ alrevisions. com) for their English revision and editing of the final manuscript. The authors would also like to thank Dieter Piepenburg and the other reviewers for their thorough analysis, which led to a significant improvement in this work. This article contributes to the SCAR biological research programs: Antarctic Thresholds-Ecosystem Resilience and Adaptation (AnT-ERA) and  State of the Antarctic Ecosystem (AnT-Eco).</t>
  </si>
  <si>
    <t>10.1007/s00300-019-02505-4</t>
  </si>
  <si>
    <t>WOS:000470694200015</t>
  </si>
  <si>
    <t>Jones, CW; Risi, MM; Osborne, A; Bester, MN</t>
  </si>
  <si>
    <t>Jones, Christopher W.; Risi, Michelle M.; Osborne, Alexis; Bester, Marthan N.</t>
  </si>
  <si>
    <t>First record of a leucistic sub-Antarctic fur seal</t>
  </si>
  <si>
    <t>Gough Island; Arctocephalus tropicalis; Hypo-pigmentation; Pinniped; Rare trait</t>
  </si>
  <si>
    <t>PRINCE-EDWARD ISLANDS; ARCTOCEPHALUS-GAZELLA; TROPICALIS; TRENDS</t>
  </si>
  <si>
    <t>Anomalous pelage colourations have been reported to occur in several pinniped species and can potentially be used to assess gene flow amongst conspecific populations. Aberrant pelage colour has not been documented in sub-Antarctic fur seals Arctocephalus tropicalis older than pups. Sub-Antarctic fur seals were inspected on two of the beaches at Gough Island, South Atlantic Ocean, in the austral summer of 2018/19. A leucistic adult male was sighted on 09 January 2019, the first recorded leucistic individual for the species. Given the apparent extreme rarity of leucism in this sub-Antarctic pinniped species, it is unlikely to contribute to assessment of gene flow amongst conspecific populations.</t>
  </si>
  <si>
    <t>[Jones, Christopher W.; Risi, Michelle M.; Osborne, Alexis] Royal Soc Protect Birds, RSPB Ctr Conservat Sci, Sandy SG19 2DL, Beds, England; [Bester, Marthan N.] Univ Pretoria, Mammal Res Inst, Dept Zool &amp; Entomol, Private Bag X20, ZA-0028 Pretoria, South Africa</t>
  </si>
  <si>
    <t>Royal Society for Protection of Birds; University of Pretoria</t>
  </si>
  <si>
    <t>Bester, MN (corresponding author), Univ Pretoria, Mammal Res Inst, Dept Zool &amp; Entomol, Private Bag X20, ZA-0028 Pretoria, South Africa.</t>
  </si>
  <si>
    <t>mnbester@zoology.up.ac.za</t>
  </si>
  <si>
    <t>South African Department of Environmental Affairs through the South African National Antarctic Programme (SANAP); National Research Foundation (South Africa); FitzPatrick Institute of African Ornithology (University of Cape Town); Mammal Research Institute (University of Pretoria); Royal Society for the Protection of Birds (RSPB)</t>
  </si>
  <si>
    <t>South African Department of Environmental Affairs through the South African National Antarctic Programme (SANAP); National Research Foundation (South Africa)(National Research Foundation - South Africa); FitzPatrick Institute of African Ornithology (University of Cape Town); Mammal Research Institute (University of Pretoria); Royal Society for the Protection of Birds (RSPB)</t>
  </si>
  <si>
    <t>Logistical and financial support was provided by the South African Department of Environmental Affairs through the South African National Antarctic Programme (SANAP), the National Research Foundation (South Africa), the FitzPatrick Institute of African Ornithology (University of Cape Town), Mammal Research Institute (University of Pretoria) and the Royal Society for the Protection of Birds (RSPB). The Tristan da Cunha Administrator, Island Council and Conservation Department provided permission to work at Gough Island.</t>
  </si>
  <si>
    <t>10.1007/s00300-019-02506-3</t>
  </si>
  <si>
    <t>WOS:000470694200016</t>
  </si>
  <si>
    <t>Bester, MN; Ryan, PG</t>
  </si>
  <si>
    <t>Bester, M. N.; Ryan, P. G.</t>
  </si>
  <si>
    <t>Early pupping of a sub-Antarctic fur seal at Inaccessible Island, Tristan da Cunha</t>
  </si>
  <si>
    <t>Arctocephalus tropicalis; Breeding season; Median birthdate; Delayed implantation; Early birth</t>
  </si>
  <si>
    <t>ARCTOCEPHALUS-TROPICALIS</t>
  </si>
  <si>
    <t>A sub-Antarctic fur seal, Arctocephalus tropicalis, pup was located on Inaccessible Island in the Tristan da Cunha archipelago (TdC), well before the start of the annual breeding (pupping and mating) season in 2018. It was born a few days before 27 September 2018, at least 59days before the next pup was observed on the island in 2018 and 75days before the median birthdate for the species at the TdC. A malfunctioning of the obligate delay of implantation of the blastocyst in its mother was likely the cause of the early birth.</t>
  </si>
  <si>
    <t>[Bester, M. N.] Univ Pretoria, Mammal Res Inst, Dept Zool &amp; Entomol, Private Bag X20, ZA-0028 Pretoria, South Africa; [Ryan, P. G.] Univ Cape Town, FitzPatrick Inst African Ornithol, DST NRF Ctr Excellence, ZA-7701 Rondebosch, South Africa</t>
  </si>
  <si>
    <t>University of Pretoria; National Research Foundation - South Africa; University of Cape Town</t>
  </si>
  <si>
    <t>10.1007/s00300-019-02510-7</t>
  </si>
  <si>
    <t>WOS:000470694200017</t>
  </si>
  <si>
    <t>Day, RD; Fitzgibbon, QP; Gardner, C</t>
  </si>
  <si>
    <t>Day, Ryan D.; Fitzgibbon, Quinn P.; Gardner, Caleb</t>
  </si>
  <si>
    <t>The impact of holding stressors on the immune function and haemolymph biochemistry of Southern Rock Lobsters (Jasus edwardsii)</t>
  </si>
  <si>
    <t>Crustacean; Physiology; Hemocytes; Innate immunity; Aquaculture</t>
  </si>
  <si>
    <t>INDIAN SPINY LOBSTER; NUTRITIONAL CONDITION; AMERICAN LOBSTER; PHENOLOXIDASE ACTIVITY; PANULIRUS-INTERRUPTUS; MILNE-EDWARDS; TRANSPORT; PROPHENOLOXIDASE; TEMPERATURE; PARAMETERS</t>
  </si>
  <si>
    <t>Lobsters are fished world-wide due to their status as a high value, luxury seafood. A large proportion of the product is sold via live export, with lobsters subject to a range of stressors during holding post-capture. Improving the current understanding of the immune response to these stressors assists in improving efficiency and reducing loss in the chain between capture and consumption. In this study, the immune status of four treatment groups of Southern Rock Lobster (Jasus edwardsii) were studied: controls recently landed from a fishing boat, lobsters displaying advanced shell necrosis, lobsters in an unexplained moribund state and lobsters held in a processing facility for 10 weeks in standard conditions (i.e. high density, fasted). A total of 15 immune parameters and 19 haemolymph biochemical parameters were assayed. Phenoloxidase activity was only sporadically observed in haemocyte lysate and was consistently observed at a low level in the plasma with no difference between treatments for either. Haemocyte lysate prophenoloxidase activity was detected in most individuals, with no differences found between treatments. Prophenoloxidase in the plasma showed the highest level of activity, with the shell necrosis treatment demonstrating an elevated activity level relative to the other three treatments. Cell viability was not affected in any treatment. Lobsters with shell necrosis had a reduced capacity for phagocytosis, a significantly higher total haemocyte count, fewer hyalinocytes and more granulocytes and semigranulocytes. Fasted lobsters showed an opposite shift, with significantly more hyalinocytes compared to the other treatments and very few granulocytes and semigranulocytes. The balance of a range electrolytes, minerals metabolites and enzymes were affected in shell necrosis and fasted treatments, raising them as potential markers for immunocompromised lobsters. Multivariate analysis of all assayed parameters showed that all individuals in the necrosis treatment showed a similar, distinct immune response and that the fasted treatment, along with one control and one moribund individual, showed a separate intermediate response. The remainder of the control and moribund lobsters demonstrated a distinct non-response in comparison. These results offer a characterisation of the physiological response to common challenges during post-capture holding of rock lobsters, demonstrating the differential response to pathogenic bacterial infection, long term fasting, non-specific moribundity and the stress of capture and transport.</t>
  </si>
  <si>
    <t>[Day, Ryan D.; Fitzgibbon, Quinn P.; Gardner, Caleb] Univ Tasmania, Fisheries &amp; Aquaculture Ctr, Inst Marine &amp; Antarctic Studies, Hobart, Tas 7001, Australia</t>
  </si>
  <si>
    <t>Day, RD (corresponding author), Univ Tasmania, Fisheries &amp; Aquaculture Ctr, Inst Marine &amp; Antarctic Studies, Hobart, Tas 7001, Australia.</t>
  </si>
  <si>
    <t>Day, Ryan/0000-0002-1834-6945; Fitzgibbon, Quinn/0000-0002-1104-3052</t>
  </si>
  <si>
    <t>Fisheries Research and Development Corporation [FRDC 2016-235]; Southern Rocklobster Limited</t>
  </si>
  <si>
    <t>Fisheries Research and Development Corporation; Southern Rocklobster Limited</t>
  </si>
  <si>
    <t>The authors acknowledge and thank Kylie Cahill (IMAS) for assistance in the laboratory. Funding for this project was provided by the Fisheries Research and Development Corporation grant FRDC 2016-235 with support from Southern Rocklobster Limited. We thank the Australian Rock Lobster Exporters Association and the South Australian lobster Company for the supply of lobsters and ongoing industry support.</t>
  </si>
  <si>
    <t>10.1016/j.fsi.2019.03.043</t>
  </si>
  <si>
    <t>IA9SS</t>
  </si>
  <si>
    <t>WOS:000469897700073</t>
  </si>
  <si>
    <t>Saito, T; Hidaka, H; Lee, SG</t>
  </si>
  <si>
    <t>Saito, Takaharu; Hidaka, Hiroshi; Lee, Seung-Gu</t>
  </si>
  <si>
    <t>176Ln-176Hf and 87Rb-87Sr Systematics and Rare Earth Element Abundances of Nine Diogenite Meteorites: Evidence for Their Crystallization from Partial Melts of the Vestan Mantle</t>
  </si>
  <si>
    <t>ASTROPHYSICAL JOURNAL</t>
  </si>
  <si>
    <t>meteorites, meteors, meteoroids; minor planets, asteroids: individual (Vesta); planets and satellites: formation</t>
  </si>
  <si>
    <t>MAGMA OCEAN CRYSTALLIZATION; LU-HF; THERMAL HISTORY; ASTEROID VESTA; RB-SR; EUCRITES; OLIVINE; DIFFERENTIATION; GEOCHRONOLOGY; GEOCHEMISTRY</t>
  </si>
  <si>
    <t>Howardite-eucrite-diogenite meteorites are believed to originate in the crust of the asteroid 4 Vesta, whose differentiation processes are still controversial. In this study, the first Lu-176-Hf-176 isotopic data of nine diogenites are presented together with their Rb-87-Sr-87 isotopic compositions and rare earth element (REE) abundances to investigate the differentiation process of diogenites. The Lu-176-Hf-176 data sets of nine diogenites revealed the significantly higher initial Hf-176/Hf-177 ratio of diogenites than that of eucrites, while there are no resolvable differences between their ages. Based on the high initial ratio and the early formation of diogenites, their source material is estimated to be the Vestan mantle. The Rb-87-Sr-87 systematics of nine diogenites are entirely disturbed probably due to impact events on Vesta. The significant variation observed in the REE abundances of nine diogenites suggests their crystallization from compositionally diverse melts. Based on the mantle origin and compositional diversity of diogenites, we propose the crystallization of diogenites from partial melts of the Vestan mantle. The variation of the trace element abundances of diogenites can be explained by the variation of the degree of the partial melting. The timescale between the crystallization and partial melting of the Vestan mantle is estimated to be similar to 100-600 Ma from the Lu-176-Hf-176 isotopic data of nine diogenites, while a heat source for the partial melting is uncertain.</t>
  </si>
  <si>
    <t>[Saito, Takaharu; Hidaka, Hiroshi] Nagoya Univ, Dept Earth &amp; Planetary Sci, Nagoya, Aichi 4648601, Japan; [Lee, Seung-Gu] Korea Inst Geosci &amp; Mineral Resources, Geol Res Div, Daejeon 34132, South Korea</t>
  </si>
  <si>
    <t>Nagoya University; Korea Institute of Geoscience &amp; Mineral Resources (KIGAM)</t>
  </si>
  <si>
    <t>Saito, T (corresponding author), Nagoya Univ, Dept Earth &amp; Planetary Sci, Nagoya, Aichi 4648601, Japan.</t>
  </si>
  <si>
    <t>saito.takaharu@f.mbox.nagoya-u.ac.jp</t>
  </si>
  <si>
    <t>Lee, Seung-Gu/AAI-2920-2020; Hidaka, Hiroshi/AAJ-5603-2021</t>
  </si>
  <si>
    <t>Hidaka, Hiroshi/0000-0001-7239-4086; Saito, Takaharu/0000-0002-2400-8838</t>
  </si>
  <si>
    <t>Japan Society for the Promotion of Science; National Research Foundation of Korea under the Japan-Korea Basic Scientific Cooperation Program</t>
  </si>
  <si>
    <t>Japan Society for the Promotion of Science(Ministry of Education, Culture, Sports, Science and Technology, Japan (MEXT)Japan Society for the Promotion of Science); National Research Foundation of Korea under the Japan-Korea Basic Scientific Cooperation Program</t>
  </si>
  <si>
    <t>We thank K. Yamamoto, Y. Asahara, and K. Sakuma for their great assistance with the ICP-MS and TIMS measurements. The three Antarctic diogenites used in this study are provided by National Institute of Polar Research. This study was financially supported by Japan Society for the Promotion of Science and National Research Foundation of Korea under the Japan-Korea Basic Scientific Cooperation Program.</t>
  </si>
  <si>
    <t>0004-637X</t>
  </si>
  <si>
    <t>1538-4357</t>
  </si>
  <si>
    <t>ASTROPHYS J</t>
  </si>
  <si>
    <t>Astrophys. J.</t>
  </si>
  <si>
    <t>10.3847/1538-4357/ab1aa5</t>
  </si>
  <si>
    <t>IA3AC</t>
  </si>
  <si>
    <t>WOS:000469433800009</t>
  </si>
  <si>
    <t>Koppel, DJ; Adams, MS; King, CK; Jolley, DF</t>
  </si>
  <si>
    <t>Koppel, Darren J.; Adams, Merrin S.; King, Catherine K.; Jolley, Dianne F.</t>
  </si>
  <si>
    <t>Diffusive Gradients in Thin Films Can Predict the Toxicity of Metal Mixtures to Two Microalgae: Validation for Environmental Monitoring in Antarctic Marine Conditions</t>
  </si>
  <si>
    <t>Multiple stressor; Passive sampler; Synergism; Antagonism; Risk assessment; Environmental monitoring</t>
  </si>
  <si>
    <t>NATURAL-WATERS; TRACE-METALS; SEDIMENTS; CONTAMINANTS; SENSITIVITY; SPECIATION; COPPER; BIOAVAILABILITY; REMEDIATION; PHAEOCYSTIS</t>
  </si>
  <si>
    <t>Anthropogenic contamination in the Antarctic near-shore marine environment is a challenge for environmental managers because of its isolation, high costs associated with monitoring and remediation activities, and the current lack of Antarctic-specific ecotoxicological data. The present study investigated the application of diffusive gradients in thin films (DGT) with a Chelex-100 binding resin for metal contaminant assessment in Antarctic marine conditions. Diffusion coefficients for cadmium (Cd), copper (Cu), nickel (Ni), lead (Pb), and zinc (Zn), determined at 1 degrees C, ranged between 2.1 and 2.6x10(-6) cm(2)/s and were up to 32% lower than those derived by theoretical calculations. Competition of metals on the DGT binding resin was observed at subsaturation concentrations, reducing the effective capacity for metal uptake by approximately 60%. The lability of the dissolved (0.45 mu m filterable) Cd, Cu, Pb, and Zn metal fraction to DGT was generally &gt;90% and unaffected by the presence of the Antarctic marine microalga Phaeocystis antarctica. Both DGT and dissolved metal concentrations gave equivalent mixture toxicity predictions in independent action and concentration addition models to P. antarctica and Cryothecomonas armigera; that is, predictions using DGT-labile concentrations also showed antagonism to P. antarctica, which agrees with previously determined mixture interactivity. The benefits of DGT over traditional sampling techniques (i.e., discrete water sampling) include lower method detection limits (MDLs), in situ assessment, and time-averaged concentrations which capture pulses of contamination typical of the Antarctic near-shore marine environment. The present study provides MDLs and recommended minimum deployment times to guide field deployments in Antarctica. Environ Toxicol Chem 2019;38:1323-1333. (c) 2019 SETAC</t>
  </si>
  <si>
    <t>[Koppel, Darren J.] Univ Wollongong, Sch Chem, Wollongong, NSW, Australia; [Koppel, Darren J.; Jolley, Dianne F.] Univ Technol, Fac Sci, Sydney, NSW, Australia; [Koppel, Darren J.; Adams, Merrin S.] CSIRO Land &amp; Water, Lucas Heights, NSW, Australia; [King, Catherine K.] Australian Antarctic Div, Kingston, Tas, Australia</t>
  </si>
  <si>
    <t>University of Wollongong; University of Technology Sydney; Commonwealth Scientific &amp; Industrial Research Organisation (CSIRO); Australian Antarctic Division</t>
  </si>
  <si>
    <t>Koppel, DJ (corresponding author), Univ Wollongong, Sch Chem, Wollongong, NSW, Australia.;Koppel, DJ; Jolley, DF (corresponding author), Univ Technol, Fac Sci, Sydney, NSW, Australia.;Koppel, DJ (corresponding author), CSIRO Land &amp; Water, Lucas Heights, NSW, Australia.</t>
  </si>
  <si>
    <t>djk146@uowmail.edu.au; Dianne.Jolley@uts.edu.au</t>
  </si>
  <si>
    <t>Koppel, Darren J/AAY-6884-2020; Jolley, Dianne/D-1597-2009; King, Catherine/G-7059-2017; Adams, Merrin/F-3513-2011</t>
  </si>
  <si>
    <t>Koppel, Darren J/0000-0001-7534-237X; Jolley, Dianne/0000-0003-1028-1603; King, Catherine/0000-0003-3356-0381; Adams, Merrin/0000-0003-2849-9096</t>
  </si>
  <si>
    <t>Australian government through an Australian Antarctic Science Grant [AAS 4326]; Australian Government Research Training Program Scholarship; CSIRO Land and Water</t>
  </si>
  <si>
    <t>Australian government through an Australian Antarctic Science Grant(Australian Government); Australian Government Research Training Program Scholarship(Australian GovernmentDepartment of Industry, Innovation and Science); CSIRO Land and Water(Commonwealth Scientific &amp; Industrial Research Organisation (CSIRO))</t>
  </si>
  <si>
    <t>Funding and support for the present study were provided by the Australian government through an Australian Antarctic Science Grant (AAS 4326), an Australian Government Research Training Program Scholarship (for D.J. Koppel), and by CSIRO Land and Water. We thank E. Amato (University of Antwerp) and G. Bately (CSIRO) and the anonymous journal reviewers for comments which improved the manuscript. Data generated from the present study are available from the Australian Antarctic Data Centre (https://doi.org/http://dx.org/10.4225/15/5746938EC8C8B).</t>
  </si>
  <si>
    <t>10.1002/etc.4399</t>
  </si>
  <si>
    <t>IA0TT</t>
  </si>
  <si>
    <t>WOS:000469271300017</t>
  </si>
  <si>
    <t>Philip, L; Abdurashidova, Z; Chiang, HC; Ghazi, N; Gumba, A; Heilgendor, HM; Jáuregui-García, JM; Malepe, K; Nunhokee, CD; Peterson, J; Sievers, JL; Simes, V; Spann, R</t>
  </si>
  <si>
    <t>Philip, L.; Abdurashidova, Z.; Chiang, H. C.; Ghazi, N.; Gumba, A.; Heilgendor, H. M.; Jauregui-Garcia, J. M.; Malepe, K.; Nunhokee, C. D.; Peterson, J.; Sievers, J. L.; Simes, V.; Spann, R.</t>
  </si>
  <si>
    <t>Probing Radio Intensity at High-Z from Marion: 2017 Instrument</t>
  </si>
  <si>
    <t>JOURNAL OF ASTRONOMICAL INSTRUMENTATION</t>
  </si>
  <si>
    <t>Cosmology; observations; dark ages; reionization; first stars; instrumentation; polarimeters</t>
  </si>
  <si>
    <t>EPOCH; SARAS</t>
  </si>
  <si>
    <t>We introduce Probing Radio Intensity at high-Z from Marion ((PRIM)-M-z), a new experiment designed to measure the globally averaged sky brightness, including the expected redshifted 21 cm neutral hydrogen absorption feature arising from the formation of the first stars. (PRIM)-M-z consists of two dual-polarization antennas operating at central frequencies of 70 and 100MHz, and the experiment is located on Marion Island in the sub-Antarctic. We describe the initial design and configuration of the (PRIM)-M-z instrument that was installed in 2017, and we present preliminary data that demonstrate that Marion Island offers an exceptionally clean observing environment, with essentially no visible contamination within the FM band.</t>
  </si>
  <si>
    <t>[Philip, L.; Gumba, A.; Sievers, J. L.] Univ KwaZulu Natal, Sch Chem &amp; Phys, ZA-4000 Durban, South Africa; [Abdurashidova, Z.] Univ Calif Berkeley, Dept Astron, Berkeley, CA 94720 USA; [Chiang, H. C.; Ghazi, N.; Heilgendor, H. M.; Simes, V.] Univ KwaZulu Natal, Sch Math Stat &amp; Comp Sci, ZA-4000 Durban, South Africa; [Chiang, H. C.] Natl Inst Theoret Phys, ZA-4000 Durban, South Africa; [Jauregui-Garcia, J. M.; Peterson, J.] Carnegie Mellon Univ, Dept Phys, Pittsburgh, PA 15213 USA; [Malepe, K.] South African Natl Space Agcy, ZA-7200 Hermanus, South Africa; [Nunhokee, C. D.] Rhodes Univ, Dept Phys &amp; Elect, ZA-6140 Grahamstown, South Africa; [Spann, R.] South African Sq Kilometre Array, ZA-7405 Pinelands, South Africa</t>
  </si>
  <si>
    <t>University of Kwazulu Natal; University of California System; University of California Berkeley; University of Kwazulu Natal; Carnegie Mellon University; Rhodes University</t>
  </si>
  <si>
    <t>Philip, L (corresponding author), Univ KwaZulu Natal, Sch Chem &amp; Phys, ZA-4000 Durban, South Africa.</t>
  </si>
  <si>
    <t>lijuphil@gmail.com</t>
  </si>
  <si>
    <t>; Peterson, Jeffrey/O-4794-2014; Ghazi, Nicola/AAH-4169-2020</t>
  </si>
  <si>
    <t>Philip, Liju/0000-0001-7612-2379; Peterson, Jeffrey/0000-0003-1340-818X; Nunhokee, Chuneeta Devi/0000-0002-5445-6586; Ghazi, Nicola/0000-0001-9255-8025; Chiang, Hsin/0000-0002-4098-9533</t>
  </si>
  <si>
    <t>National Research Foundation [93087]; South African National Antarctic Programme; South African SKA Project (SKA SA)</t>
  </si>
  <si>
    <t>National Research Foundation; South African National Antarctic Programme; South African SKA Project (SKA SA)</t>
  </si>
  <si>
    <t>We gratefully acknowledge the National Research Foundation (Grant number 93087) and the South African National Antarctic Programme for providing funding and logistical support for our research program. The financial assistance of the South African SKA Project (SKA SA) towards this research is hereby acknowledged (www.ska.ac.za).We additionally extend our sincere gratitude to the staff at SKA SA for hosting our lab tests. We thank the South African National Space Agency for their technical support and the crew of Ultimate Heli for safely delivering us and our cargo. The authors also wish to thank Judd Bowman, Matt Dexter, Ryan Monroe, Raul Monsalve, Aaron Parsons and Nipanjana Patra for useful discussions. We express our deepest gratitude to Jack Hickish for writing the PRIZM-specific firmware for the SNAP boards and invaluable advice on digital signal processing.</t>
  </si>
  <si>
    <t>WORLD SCIENTIFIC PUBL CO PTE LTD</t>
  </si>
  <si>
    <t>SINGAPORE</t>
  </si>
  <si>
    <t>5 TOH TUCK LINK, SINGAPORE 596224, SINGAPORE</t>
  </si>
  <si>
    <t>2251-1717</t>
  </si>
  <si>
    <t>2251-1725</t>
  </si>
  <si>
    <t>J ASTRON INSTRUM</t>
  </si>
  <si>
    <t>J. Astron. Instrum.</t>
  </si>
  <si>
    <t>10.1142/S2251171719500041</t>
  </si>
  <si>
    <t>IA3KE</t>
  </si>
  <si>
    <t>WOS:000469461300004</t>
  </si>
  <si>
    <t>Lundesgaard, O; Powell, B; Merrifield, M; Hahn-Woernle, L; Winsor, P</t>
  </si>
  <si>
    <t>Lundesgaard, Oyvind; Powell, Brian; Merrifield, Mark; Hahn-Woernle, Lisa; Winsor, Peter</t>
  </si>
  <si>
    <t>Response of an Antarctic Peninsula Fjord to Summer Katabatic Wind Events</t>
  </si>
  <si>
    <t>Antarctica; Seas; gulfs; bays; Downslope winds; Wind stress; Ocean models</t>
  </si>
  <si>
    <t>SURFACE-LAYER; SUBGLACIAL DISCHARGE; STRATIFIED INLET; ATLANTIC WATER; ICE SHELVES; TIDE MODEL; GREENLAND; DRIVEN; GLACIER; DYNAMICS</t>
  </si>
  <si>
    <t>Fjords along the western Antarctic Peninsula are episodically exposed to strong winds flowing down marine-terminating glaciers and out over the ocean. These wind events could potentially be an important mechanism for the ventilation of fjord waters. A strong wind event was observed in Andvord Bay in December 2015, and was associated with significant increases in upper-ocean salinity. We examine the dynamical impacts of such wind events during the ice-free summer season using a numerical model. Passive tracers are used to identify water mass pathways and quantify exchange with the outer ocean. Upwelling and outflow in the model fjord generate an average salinity increase of 0.3 in the upper ocean during the event, similar to observations from Andvord Bay. Down-fjord wind events are a highly efficient mechanism for flushing out the upper fjord waters, but have little net impact on deep waters in the inner fjord. As such, summer episodic wind events likely have a large effect on fjord phytoplankton dynamics and export of glacially modified upper waters, but are an unlikely mechanism for the replenishment of deep basin waters and oceanic heat transport toward inner-fjord glaciers.</t>
  </si>
  <si>
    <t>[Lundesgaard, Oyvind; Powell, Brian; Merrifield, Mark; Hahn-Woernle, Lisa] Univ Hawaii Manoa, Honolulu, HI 96822 USA; [Winsor, Peter] Univ Alaska Fairbanks, Fairbanks, AK USA; [Merrifield, Mark] Scripps Inst Oceanog, La Jolla, CA USA</t>
  </si>
  <si>
    <t>University of Hawaii System; University of Hawaii Manoa; University of Alaska System; University of Alaska Fairbanks; University of California System; University of California San Diego; Scripps Institution of Oceanography</t>
  </si>
  <si>
    <t>Lundesgaard, O (corresponding author), Univ Hawaii Manoa, Honolulu, HI 96822 USA.</t>
  </si>
  <si>
    <t>oyvind.lundesgaard@gmail.com</t>
  </si>
  <si>
    <t>Hahn-Woernle, Lisa/0000-0002-5945-589X; Foss, Oyvind/0000-0002-3410-8904</t>
  </si>
  <si>
    <t>National Science Foundation [OPP 1443680]</t>
  </si>
  <si>
    <t>This research was supported by the National Science Foundation under Grant OPP 1443680. We thank the captains, crews, and USAP personnel on the FjordEco cruises. We are grateful to Dustin Carroll, Rebecca Jackson, and David Sutherland for helpful discussions at various stages of the work. Three anonymous reviewers contributed insightful comments that greatly improved the manuscript.</t>
  </si>
  <si>
    <t>10.1175/JPO-D-18-0119.1</t>
  </si>
  <si>
    <t>IA1WF</t>
  </si>
  <si>
    <t>WOS:000469352500002</t>
  </si>
  <si>
    <t>Havermans, C; Hagen, W; Zeidler, W; Held, C; Auel, H</t>
  </si>
  <si>
    <t>Havermans, Charlotte; Hagen, Wilhelm; Zeidler, Wolfgang; Held, Christoph; Auel, Holger</t>
  </si>
  <si>
    <t>A survival pack for escaping predation in the open ocean: amphipod - pteropod associations in the Southern Ocean</t>
  </si>
  <si>
    <t>Hyperiidea; Hyperiella; Clione; Spongiobranchaea; Gymnosomata; COI barcodes</t>
  </si>
  <si>
    <t>MCMURDO SOUND; HYPERIID AMPHIPODS; GELATINOUS-ZOOPLANKTON; SHETLAND ISLANDS; NOTOTHENIID FISH; GYMNOSOMATA; PLANKTIVORY; METABOLISM; PTEROENONE; GASTROPODA</t>
  </si>
  <si>
    <t>Hyperiidean amphipods are a major prey for fish and seabirds. In the Southern Ocean, they are particularly abundant, with distributions ranging from the Polar Frontal Zone to Antarctic shelf waters. The species Hyperiella dilatata has previously been reported to show a peculiar anti-predatory behaviour: It captures chemically protected, gymnosome pteropods in the water column and carries them on its dorsum, like a backpack. We report this association at four oceanic sampling sites between latitudes 45 degrees and 71 degrees S. Molecular barcodes of both hosts and pteropods are provided and compared with those of other hyperiidean and pteropod specimens. Morphological identifications as well as molecular analyses show a so far undocumented association of Hyperiella antarctica with the pteropod Spongiobranchaea australis in the Polar Frontal Zone (Lazarev Sea). H. dilatata carried Clione limacina antarctica specimens in the Weddell Sea, as recorded previously for the Ross Sea. Lengths of the abducted pteropods varied between 1 and 5 mm, with the biggest pteropod measuring more than half the host's size. One of the abducting amphipods was a female carrying eggs. The formation of such tandem is known to be very efficient as protection from visually hunting icefish in the crystal-clear coastal waters around the Antarctic continent; however, in the open ocean, this behaviour was so far undocumented. Here, we develop hypotheses on its origin and function.</t>
  </si>
  <si>
    <t>[Havermans, Charlotte; Hagen, Wilhelm; Auel, Holger] Univ Bremen, Marine Zool, BreMarE Bremen Marine Ecol, POB 330 440, D-28334 Bremen, Germany; [Havermans, Charlotte; Held, Christoph] Helmholtz Zentrum Polar &amp; Meeresforsch, Alfred Wegener Inst, Handelshafen 12, D-27568 Bremerhaven, Germany; [Zeidler, Wolfgang] South Australian Museum, North Terrace, Adelaide, SA 5000, Australia</t>
  </si>
  <si>
    <t>University of Bremen; Helmholtz Association; Alfred Wegener Institute, Helmholtz Centre for Polar &amp; Marine Research; South Australian Museum</t>
  </si>
  <si>
    <t>Havermans, C (corresponding author), Univ Bremen, Marine Zool, BreMarE Bremen Marine Ecol, POB 330 440, D-28334 Bremen, Germany.;Havermans, C (corresponding author), Helmholtz Zentrum Polar &amp; Meeresforsch, Alfred Wegener Inst, Handelshafen 12, D-27568 Bremerhaven, Germany.</t>
  </si>
  <si>
    <t>Charlotte.Havermans@awi.de</t>
  </si>
  <si>
    <t>Hagen, Wilhelm/0000-0002-7462-9931; Havermans, Charlotte/0000-0002-1126-4074</t>
  </si>
  <si>
    <t>German Science Foundation/Deutsche Forschungsgemeinschaft (DFG) [1158, HA 7627/1-1]</t>
  </si>
  <si>
    <t>German Science Foundation/Deutsche Forschungsgemeinschaft (DFG)(German Research Foundation (DFG))</t>
  </si>
  <si>
    <t>This work was supported by the German Science Foundation/Deutsche Forschungsgemeinschaft (DFG) in the framework of the Priority Programme 1158 on Antarctic Research with comparative investigations in Arctic ice areas by the grant HA 7627/1-1 to the first author.</t>
  </si>
  <si>
    <t>10.1007/s12526-018-0916-3</t>
  </si>
  <si>
    <t>IA7UF</t>
  </si>
  <si>
    <t>WOS:000469762000023</t>
  </si>
  <si>
    <t>Stewart, CL; Christoffersen, P; Nicholls, KW; Williams, MJM; Dowdeswell, JA</t>
  </si>
  <si>
    <t>Stewart, Craig L.; Christoffersen, Poul; Nicholls, Keith W.; Williams, Michael J. M.; Dowdeswell, Julian A.</t>
  </si>
  <si>
    <t>Basal melting of Ross Ice Shelf from solar heat absorption in an ice-front polynya</t>
  </si>
  <si>
    <t>SURFACE-WATER BENEATH; SEA-ICE; RADAR; CIRCULATION; ANTARCTICA; DRIVEN; OCEANOGRAPHY; VARIABILITY; THICKNESS; BUDGET</t>
  </si>
  <si>
    <t>Ice-ocean interactions at the bases of Antarctic ice shelves are rarely observed, yet have a profound influence on ice sheet evolution and stability. Ice sheet models are highly sensitive to assumed ice shelf basal melt rates; however, there are few direct observations of basal melting or the oceanographic processes that drive it, and consequently our understanding of these interactions remains limited. Here we use in situ observations from the Ross Ice Shelf to examine the oceanographic processes that drive basal ablation of the world's largest ice shelf. We show that basal melt rates beneath a thin and structurally important part of the shelf are an order of magnitude higher than the shelf-wide average. This melting is strongly influenced by a seasonal inflow of solar-heated surface water from the adjacent Ross Sea Polynya that downwells into the ice shelf cavity, nearly tripling basal melt rates during summer. Melting driven by this frequently overlooked process is expected to increase with predicted surface warming. We infer that solar heat absorbed in ice-front polynyas can make an important contribution to the present-day mass balance of ice shelves, and potentially impact their future stability.</t>
  </si>
  <si>
    <t>[Stewart, Craig L.; Christoffersen, Poul; Dowdeswell, Julian A.] Univ Cambridge, Scott Polar Res Inst, Cambridge, England; [Stewart, Craig L.; Williams, Michael J. M.] Natl Inst Water &amp; Atmospher Res, Wellington, New Zealand; [Nicholls, Keith W.] British Antarctic Survey, Cambridge, England</t>
  </si>
  <si>
    <t>University of Cambridge; National Institute of Water &amp; Atmospheric Research (NIWA) - New Zealand; UK Research &amp; Innovation (UKRI); Natural Environment Research Council (NERC); NERC British Antarctic Survey</t>
  </si>
  <si>
    <t>Stewart, CL (corresponding author), Univ Cambridge, Scott Polar Res Inst, Cambridge, England.;Stewart, CL (corresponding author), Natl Inst Water &amp; Atmospher Res, Wellington, New Zealand.</t>
  </si>
  <si>
    <t>craig.stewart@niwa.co.nz</t>
  </si>
  <si>
    <t>Stewart, Craig/HTL-6429-2023; Christoffersen, Poul/W-3708-2019</t>
  </si>
  <si>
    <t>Christoffersen, Poul/0000-0003-2643-8724; Dowdeswell, Julian/0000-0003-1369-9482; Stewart, Craig/0000-0002-3906-1594</t>
  </si>
  <si>
    <t>NSF [ANT08-39039]; Rutherford Foundation; Antarctica New Zealand through the Scott Centenary Scholarship; NERC [bas0100033] Funding Source: UKRI</t>
  </si>
  <si>
    <t>NSF(National Science Foundation (NSF)); Rutherford Foundation(Royal Society of New Zealand); Antarctica New Zealand through the Scott Centenary Scholarship; NERC(UK Research &amp; Innovation (UKRI)Natural Environment Research Council (NERC))</t>
  </si>
  <si>
    <t>The authors acknowledge T. Arnold, B. Grant and R. Benson for assistance with the radar survey fieldwork, and Antarctica New Zealand, the Andrill programme and the Woods Hole Oceanographic Institute for field support, hot-water drilling at the mooring site and assistance with the mooring deployment, respectively. We thank J. Kohut for the use of CTD data gathered by during the RV Nathaniel B. Palmer Ross Sea Expedition 2011 funded by NSF grant no. ANT08-39039, and thank C. Stevens for comments that improved the manuscript. C. L. S. was supported by the Rutherford Foundation and Antarctica New Zealand through the Scott Centenary Scholarship.</t>
  </si>
  <si>
    <t>10.1038/s41561-019-0356-0</t>
  </si>
  <si>
    <t>IA3JN</t>
  </si>
  <si>
    <t>WOS:000469459600010</t>
  </si>
  <si>
    <t>Tinto, KJ; Padman, L; Siddoway, CS; Springer, SR; Fricker, HA; Das, I; Tontini, FC; Porter, DF; Frearson, NP; Howard, SL; Siegfried, MR; Mosbeux, C; Becker, MK; Bertinato, C; Boghosian, A; Brady, N; Burton, BL; Chu, W; Cordero, SI; Dhakal, T; Dong, L; Gustafson, CD; Keeshin, S; Locke, C; Lockett, A; O'Brien, G; Spergel, JJ; Starke, SE; Tankersley, M; Wearing, MG; Bell, RE</t>
  </si>
  <si>
    <t>Tinto, K. J.; Padman, L.; Siddoway, C. S.; Springer, S. R.; Fricker, H. A.; Das, I.; Tontini, F. Caratori; Porter, D. F.; Frearson, N. P.; Howard, S. L.; Siegfried, M. R.; Mosbeux, C.; Becker, M. K.; Bertinato, C.; Boghosian, A.; Brady, N.; Burton, B. L.; Chu, W.; Cordero, S. I.; Dhakal, T.; Dong, L.; Gustafson, C. D.; Keeshin, S.; Locke, C.; Lockett, A.; O'Brien, G.; Spergel, J. J.; Starke, S. E.; Tankersley, M.; Wearing, M. G.; Bell, R. E.</t>
  </si>
  <si>
    <t>Ross Ice Shelf response to climate driven by the tectonic imprint on seafloor bathymetry</t>
  </si>
  <si>
    <t>BASAL MELT RATES; ICEBRIDGE GRAVITY; OCEAN VARIABILITY; AIRBORNE GRAVITY; WEST ANTARCTICA; BENEATH; SURFACE; CIRCULATION; TOPOGRAPHY; GREENLAND</t>
  </si>
  <si>
    <t>Ocean melting has thinned Antarctica's ice shelves at an increasing rate over the past two decades, leading to loss of grounded ice. The Ross Ice Shelf is currently close to steady state but geological records indicate that it can disintegrate rapidly, which would accelerate grounded ice loss from catchments equivalent to 11.6 m of global sea level rise. Here, we use data from the ROSETTA-Ice airborne survey and ocean simulations to identify the principal threats to Ross Ice Shelf stability. We locate the tectonic boundary between East and West Antarctica from magnetic anomalies and use gravity data to generate a new high-resolution map of sub-ice-shelf bathymetry. The tectonic imprint on the bathymetry constrains sub-ice-shelf ocean circulation, protecting the ice shelf grounding line from moderate changes in global ocean heat content. In contrast, local, seasonal production of warm upper-ocean water near the ice front drives rapid ice shelf melting east of Ross Island, where thinning would lead to faster grounded ice loss from both the East and West Antarctic ice sheets. We confirm high modelled melt rates in this region using ROSETTA-Ice radar data. Our findings highlight the significance of both the tectonic framework and local ocean-atmosphere exchange processes near the ice front in determining the future of the Antarctic Ice Sheet.</t>
  </si>
  <si>
    <t>[Tinto, K. J.; Das, I.; Porter, D. F.; Frearson, N. P.; Bertinato, C.; Boghosian, A.; Cordero, S. I.; Dhakal, T.; Dong, L.; Gustafson, C. D.; Locke, C.; Spergel, J. J.; Starke, S. E.; Wearing, M. G.; Bell, R. E.] Columbia Univ, Lamont Doherty Earth Observ, Palisades, NY 10964 USA; [Padman, L.] Earth &amp; Space Res, Corvallis, OR USA; [Siddoway, C. S.; Keeshin, S.; Lockett, A.; Tankersley, M.] Colorado Coll, Colorado Springs, CO 80903 USA; [Springer, S. R.; Howard, S. L.] Earth &amp; Space Res, Seattle, WA USA; [Fricker, H. A.; Mosbeux, C.; Becker, M. K.] Univ Calif San Diego, Scripps Inst Oceanog, La Jolla, CA 92093 USA; [Tontini, F. Caratori; O'Brien, G.] GNS Sci, Lower Hutt, New Zealand; [Siegfried, M. R.] Colorado Sch Mines, Golden, CO 80401 USA; [Brady, N.] Dynam Grav Syst, Broomfield, CO USA; [Burton, B. L.] US Geol Survey, Box 25046, Denver, CO 80225 USA; [Chu, W.] Stanford Univ, Stanford, CA 94305 USA</t>
  </si>
  <si>
    <t>Columbia University; Colorado College; University of California System; University of California San Diego; Scripps Institution of Oceanography; GNS Science - New Zealand; Colorado School of Mines; United States Department of the Interior; United States Geological Survey; Stanford University</t>
  </si>
  <si>
    <t>Tinto, KJ (corresponding author), Columbia Univ, Lamont Doherty Earth Observ, Palisades, NY 10964 USA.</t>
  </si>
  <si>
    <t>tinto@ldeo.columbia.edu</t>
  </si>
  <si>
    <t>Tontini, Fabio Caratori/S-4025-2018; Siddoway, Christine/HKV-0895-2023; Tankersley, Matt/AAX-7607-2020; Springer, Scott/AAH-3218-2019; Padman, Laurence/AAH-3808-2021; Porter, David F/D-2631-2017</t>
  </si>
  <si>
    <t>Tontini, Fabio Caratori/0000-0002-2000-416X; Tankersley, Matt/0000-0003-4266-8554; Springer, Scott/0000-0002-6669-4557; Locke, Caitlin/0000-0002-3319-4070; Wearing, Martin/0000-0002-8927-8564; Chu, Winnie/0000-0002-8107-7450; Siddoway, Christine Smith/0000-0003-0478-6138; Cordero, Isabel/0000-0003-4187-3281; Padman, Laurence/0000-0003-2010-642X; Mosbeux, Cyrille/0009-0005-3075-7754; Howard, Susan/0000-0002-9183-0178</t>
  </si>
  <si>
    <t>109th Airlift Wing of the New York Air National Guard; National Science Foundation [0958658, 1443534, 1443498, 1443677, 1443497, 1341688]; NASA [NNX16AJ65G]; Moore Foundation; Old York Foundation; New Zealand Ministry of Business Innovation and Employment [C05X1001]; New Zealand Antarctic Research Institute (NZARI) [2014-11]; NASA [NNX16AJ65G, 901805] Funding Source: Federal RePORTER</t>
  </si>
  <si>
    <t>109th Airlift Wing of the New York Air National Guard; National Science Foundation(National Science Foundation (NSF)); NASA(National Aeronautics &amp; Space Administration (NASA)); Moore Foundation(Gordon and Betty Moore Foundation); Old York Foundation; New Zealand Ministry of Business Innovation and Employment(New Zealand Ministry of Business, Innovation and Employment (MBIE)); New Zealand Antarctic Research Institute (NZARI); NASA(National Aeronautics &amp; Space Administration (NASA))</t>
  </si>
  <si>
    <t>We gratefully acknowledge the support of the 109th Airlift Wing of the New York Air National Guard. We thank the United States Antarctic Program and staff of McMurdo Station seasons 2014-2018 and J. DeTemple during the development of the IcePod. This work was supported by the National Science Foundation 0958658, 1443534, 1443498, 1443677, 1443497 and 1341688, NASA NNX16AJ65G, the Moore Foundation, the Old York Foundation, the New Zealand Ministry of Business Innovation and Employment contract C05X1001, and New Zealand Antarctic Research Institute (NZARI no. 2014-11) funded Aotearoa New Zealand Ross Ice Shelf Programme (F.C.T. and G.O'B.). Any use of trade, firm, or product names is for descriptive purposes only and does not imply endorsement by the United States Government.</t>
  </si>
  <si>
    <t>10.1038/s41561-019-0370-2</t>
  </si>
  <si>
    <t>WOS:000469459600011</t>
  </si>
  <si>
    <t>O'hara, TD; Mah, CL; Hipsley, CA; Bribiesca-Contreras, G; Barrett, NS</t>
  </si>
  <si>
    <t>O'hara, Timothy D.; Mah, Christopher L.; Hipsley, Christy A.; Bribiesca-Contreras, Guadalupe; Barrett, Neville S.</t>
  </si>
  <si>
    <t>The Derwent River seastar: re-evaluation of a critically endangered marine invertebrate</t>
  </si>
  <si>
    <t>Australia; echinoderms; ecology; evolution; extinction; rocky shores; taxonomic revision</t>
  </si>
  <si>
    <t>PATIRIELLA-REGULARIS; NEW-ZEALAND; ECHINODERMATA; ASTEROIDEA; HYBRIDIZATION; EXTINCTION</t>
  </si>
  <si>
    <t>The Derwent River seastar, Marginaster' littoralis (Echinodermata: Asteroidea), has been assessed as critically endangered owing to its highly restricted range within one estuary in Tasmania, Australia. However, there have been concerns about the validity and status of the species. Here, we use non-invasive X-ray computed tomography to review the morphology of the holotype. This reveals the presence of internal ossicles to strengthen the disc margin, a character that requires the taxonomic transfer of this species to the family Asterinidae, genus Patiriella. The presence of relatively long marginal spinelets (0.7-0.9 mm) reliably distinguishes this species from the invasive congeneric Patiriella regularis (0.2-0.35 mm). These findings remove doubt about the validity of the species; the recorded habitat and restricted range of Patiriella littoralis are not exceptional for an asterinid seastar. The weight of evidence suggests that it is an endemic species, rather than a transient exotic introduced to Tasmania via shipping or food importation. Its known habitat has been severely impacted by urbanization, poor water quality and invasive species. Targeted surveys in 1993 and 2010 failed to find this species, and it is highly probable that the Derwent River seastar is now extinct; one of the few documented recent marine invertebrate extinctions.</t>
  </si>
  <si>
    <t>[O'hara, Timothy D.; Hipsley, Christy A.; Bribiesca-Contreras, Guadalupe] Museums Victoria, GPO Box 666, Melbourne, Vic 3001, Australia; [Mah, Christopher L.] Smithsonian Inst, Natl Museum Nat Hist, Invertebrate Zool, Washington, DC 20560 USA; [Hipsley, Christy A.; Bribiesca-Contreras, Guadalupe] Univ Melbourne, Sch Biosci, Parkville, Vic 3010, Australia; [Barrett, Neville S.] Univ Tasmania, Inst Marine &amp; Antarctic Studies, Hobart, Tas 7001, Australia</t>
  </si>
  <si>
    <t>Melbourne Genomics Health Alliance; Smithsonian Institution; Smithsonian National Museum of Natural History; University of Melbourne; University of Tasmania</t>
  </si>
  <si>
    <t>O'hara, TD (corresponding author), Museums Victoria, GPO Box 666, Melbourne, Vic 3001, Australia.</t>
  </si>
  <si>
    <t>tohara@museum.vic.gov.au</t>
  </si>
  <si>
    <t>; Barrett, Neville/J-7593-2014</t>
  </si>
  <si>
    <t>Hipsley, Christy/0000-0002-5740-9363; Mah, Christopher/0000-0002-0178-8237; Barrett, Neville/0000-0002-6167-1356; O'Hara, Timothy/0000-0003-0885-6578</t>
  </si>
  <si>
    <t>10.1093/zoolinnean/zly057</t>
  </si>
  <si>
    <t>IA8PQ</t>
  </si>
  <si>
    <t>WOS:000469821200006</t>
  </si>
  <si>
    <t>Houghton, M; Terauds, A; Merritt, D; Driessen, M; Shaw, J</t>
  </si>
  <si>
    <t>Houghton, Melissa; Terauds, Aleks; Merritt, David; Driessen, Michael; Shaw, Justine</t>
  </si>
  <si>
    <t>The impacts of non-native species on the invertebrates of Southern Ocean Islands</t>
  </si>
  <si>
    <t>JOURNAL OF INSECT CONSERVATION</t>
  </si>
  <si>
    <t>Invasive species; Island conservation; Sub-Antarctic; Ecosystem impacts; Monitoring</t>
  </si>
  <si>
    <t>SUB-ANTARCTIC MARION; FERAL HOUSE MICE; RATS RATTUS-RATTUS; SEA-LEVEL RISE; CLIMATE-CHANGE; TERRESTRIAL INVERTEBRATES; MACQUARIE ISLAND; MUS-MUSCULUS; INVASIVE RODENTS; GOUGH ISLAND</t>
  </si>
  <si>
    <t>Isolation and climate have protected Southern Ocean Islands from non-native species. Relatively recent introductions have had wide-ranging, sometimes devastating, impacts across a range of species and ecosystems, including invertebrates, which are the main terrestrial fauna. In our comprehensive review, we found that despite the high abundance of non-native plants across the region, their impacts on native invertebrates are not well-studied and remain largely unknown. We highlight that non-native invertebrates are numerous and continue to arrive. Their impacts are multi-directional, including changing nutrient cycling regimes, establishing new functional guilds, out-competing native species, and mutually assisting spread of other non-native species. Non-native herbivorous and omnivorous vertebrates have caused declines in invertebrate habitat, but data that quantifies implications for invertebrates are rare. Predatory mammals not only indirectly effect invertebrates through predation of ecosystem engineers such as seabirds, but also directly shape community assemblages through invertebrate diet preferences and size-selective feeding. We found that research bias is not only skewed towards investigating impacts of mice, but is also focused more intensely on some islands, such as Marion Island, and towards some taxa, such as beetles and moths. The results of our review support and build on previous assessments of non-native species in the Antarctic regionthat the responses of invertebrate fauna on these islands are under-reported and often poorly understood. Given the importance of invertebrates as indicators of environmental change, and their potential utility in quantifying change associated with island restoration projects (such as eradications), these knowledge gaps need to be urgently addressed.</t>
  </si>
  <si>
    <t>[Houghton, Melissa; Shaw, Justine] Univ Queensland, Sch Biol Sci, Ctr Biodivers &amp; Conservat Sci, Brisbane, Qld 4072, Australia; [Terauds, Aleks] Antarctic Conservat &amp; Management, Australian Antarctic Div, Dept Environm, 203 Channel Highway, Kingston, Tas 7050, Australia; [Merritt, David] Univ Queensland, Sch Biol Sci, Brisbane, Qld 4072, Australia; [Driessen, Michael] Univ Tasmania, Sch Technol Environm &amp; Design, Discipline Geog &amp; Spatial Sci, Hobart, Tas 7001, Australia</t>
  </si>
  <si>
    <t>University of Queensland; Australian Antarctic Division; University of Queensland; University of Tasmania</t>
  </si>
  <si>
    <t>Houghton, M (corresponding author), Univ Queensland, Sch Biol Sci, Ctr Biodivers &amp; Conservat Sci, Brisbane, Qld 4072, Australia.</t>
  </si>
  <si>
    <t>m.houghton@uq.edu.au</t>
  </si>
  <si>
    <t>Driessen, Michael Matthew/X-3642-2019; Terauds, Aleks/A-4991-2010; Houghton, Melissa/IZE-8544-2023; Merritt, David/D-2318-2010</t>
  </si>
  <si>
    <t>Driessen, Michael Matthew/0000-0003-2553-0027; Shaw, Justine/0000-0002-9603-2271; Terauds, Aleks/0000-0001-7804-6648; Houghton, Melissa/0000-0001-7256-5711; Merritt, David/0000-0002-8573-7508</t>
  </si>
  <si>
    <t>Australian Academy of Science; Australian Government's National Environmental Science Programme through the Threatened Species Recovery Hub; Australian Antarctic Science program [AAS 4305]</t>
  </si>
  <si>
    <t>Australian Academy of Science; Australian Government's National Environmental Science Programme through the Threatened Species Recovery Hub(Australian Government); Australian Antarctic Science program</t>
  </si>
  <si>
    <t>We thank Paulo A. V. Borges and an anonymous reviewer for their valuable comments on the manuscript. We thank the Australian Academy of Science for their support to MH through the Max Day Environmental Fellowship. This research is also supported by funding from the Australian Government's National Environmental Science Programme through the Threatened Species Recovery Hub and the Australian Antarctic Science program (AAS 4305).</t>
  </si>
  <si>
    <t>1366-638X</t>
  </si>
  <si>
    <t>1572-9753</t>
  </si>
  <si>
    <t>J INSECT CONSERV</t>
  </si>
  <si>
    <t>J. Insect Conserv.</t>
  </si>
  <si>
    <t>10.1007/s10841-019-00147-9</t>
  </si>
  <si>
    <t>HZ4DS</t>
  </si>
  <si>
    <t>WOS:000468797900001</t>
  </si>
  <si>
    <t>Lee, JB; Jeon, SH; Choi, SG; Jung, HY; Kim, MK; Srinivasan, S</t>
  </si>
  <si>
    <t>Lee, Jae-Bong; Jeon, Seon Hwa; Choi, Seok-Gwan; Jung, Hee-Young; Kim, Myung Kyum; Srinivasan, Sathiyaraj</t>
  </si>
  <si>
    <t>Bacillus piscis sp. nov., a novel bacterium isolated from the muscle of the antarctic fish Dissostichus mawsoni (vol 54, pg 809, 2016)</t>
  </si>
  <si>
    <t>JOURNAL OF MICROBIOLOGY</t>
  </si>
  <si>
    <t>The NCBI GenBank/EMBL/DDBJ accession number for the 16S rRNA gene sequence of strain 16MFT21(T) (=KCTC 33839(T) =JCM 31664(T)) is KX753358.</t>
  </si>
  <si>
    <t>[Lee, Jae-Bong; Choi, Seok-Gwan] Natl Inst Fisheries Sci, Distant Water Fisheries Resources Div, Busan 46083, South Korea; [Jeon, Seon Hwa; Kim, Myung Kyum; Srinivasan, Sathiyaraj] Seoul Womens Univ, Dept Bio &amp; Environm Technol, Coll Nat Sci, Seoul 01797, South Korea; [Jung, Hee-Young] Kyungpook Natl Univ, Coll Agr &amp; Life Sci, Daegu 41566, South Korea; [Jung, Hee-Young] Kyungpook Natl Univ, Inst Plant Med, Daegu 41566, South Korea</t>
  </si>
  <si>
    <t>National Institute of Fisheries Science; Seoul Women's University; Kyungpook National University; Kyungpook National University</t>
  </si>
  <si>
    <t>Kim, MK; Srinivasan, S (corresponding author), Seoul Womens Univ, Dept Bio &amp; Environm Technol, Coll Nat Sci, Seoul 01797, South Korea.</t>
  </si>
  <si>
    <t>Kim, Jihyeon/IQV-8555-2023</t>
  </si>
  <si>
    <t>Srinivasan, Sathiyaraj/0000-0001-6019-7421</t>
  </si>
  <si>
    <t>MICROBIOLOGICAL SOCIETY KOREA</t>
  </si>
  <si>
    <t>KOREA SCIENCE &amp; TECHNOLOGY CENTER 803, 635-4 YEOGSAM-DONG, KANGNAM-KU, SEOUL 135-703, SOUTH KOREA</t>
  </si>
  <si>
    <t>1225-8873</t>
  </si>
  <si>
    <t>1976-3794</t>
  </si>
  <si>
    <t>J MICROBIOL</t>
  </si>
  <si>
    <t>J. Microbiol.</t>
  </si>
  <si>
    <t>10.1007/s12275-019-0719-7</t>
  </si>
  <si>
    <t>IA0EB</t>
  </si>
  <si>
    <t>WOS:000469228500013</t>
  </si>
  <si>
    <t>Liu, U; Kenney, S; Breman, E; Cossu, TA</t>
  </si>
  <si>
    <t>Liu, Udayangani; Kenney, Siobhan; Breman, Elinor; Cossu, Tiziana Antonella</t>
  </si>
  <si>
    <t>A multicriteria decision making approach to prioritise vascular plants for species-based conservation</t>
  </si>
  <si>
    <t>Multicriteria decision making; Prioritization; Priority criteria; Priority scores; Species-based conservation; Vascular plants</t>
  </si>
  <si>
    <t>HERBARIUM DATA; MANAGEMENT; EXTINCTION; DIVERSITY; PATTERNS; RARITY; AREAS; RISK</t>
  </si>
  <si>
    <t>There is a growing demand for species-based conservation to be strategic and deliver the greatest possible benefits for the money and resources invested. There is no global consensus on what constitutes an important species, but many biodiversity conservation initiatives prioritise the most rare, unique, vulnerable and/or useful as deserving attention. Currently, a wide range of prioritisation methods using varied criteria are available, but it can be difficult for conservation managers to choose the appropriate protocol best suited to their conservation purposes, and to combine the protocols that are available. The prioritisation process proposed here is integrative, adaptable, straightforward and transparent, and open to refinement by interested parties. Based on the availability of taxon level data, from an initial list of 337,137 accepted scientific names, we produced a conservation priority list for 25,025 vascular plant taxa (pteridophytes, gymnosperms and angiosperms) that accounts for their geographic rarity or endemism, taxonomic rarity or uniqueness, vulnerability to extinction and natural capital value by means of a multicriteria decision making approach. This list represents about 4.47% of pteridophyte, 36.12% of gymnosperm and 7.41% of angiosperm global diversity. The list consisted of a high percentage of taxa from South America (30%), Africa (23%) and North America (22%) followed by Asia-Temperate and Europe (each 15%) and Asia-Tropical (14%) with a low percentage from Australasia (6%), the Pacific (5%) and Antarctic (similar to 2%). The occurrence of some taxa was reported from more than one geographic continent. We found 573 taxa (2%) had a high priority status, 21,707 taxa (87%) had a medium priority status and 2745 taxa (11%) had a low priority status for conservation. Results were validated against existing prioritisation schemes with a global or continental focus. The resulting list of plants with priority status along with their geographical distribution patterns should complement, not replace, existing conservation plans. Our method can be used as a rapid and preliminary assessment technique in prioritising vascular plants and has the scope to be used globally across various conservation activities.</t>
  </si>
  <si>
    <t>[Liu, Udayangani; Kenney, Siobhan; Breman, Elinor; Cossu, Tiziana Antonella] Royal Bot Gardens, Kew, Wellcome Trust Millennium Bldg, Ardingly RH17 6TN, W Sussex, England; [Kenney, Siobhan] Zool Soc London, Conservat Programmes, Regents Pk, London NW1 4RY, England</t>
  </si>
  <si>
    <t>Royal Botanic Gardens, Kew; Zoological Society of London</t>
  </si>
  <si>
    <t>Liu, U (corresponding author), Royal Bot Gardens, Kew, Wellcome Trust Millennium Bldg, Ardingly RH17 6TN, W Sussex, England.</t>
  </si>
  <si>
    <t>u.liu@kew.org</t>
  </si>
  <si>
    <t>Cossu, Tiziana/AAT-9787-2020; Breman, Elinor/GNM-6036-2022</t>
  </si>
  <si>
    <t>Cossu, Tiziana/0000-0002-9386-0514; Breman, Elinor/0000-0001-9834-5186</t>
  </si>
  <si>
    <t>10.1016/j.biocon.2019.03.014</t>
  </si>
  <si>
    <t>HZ2ZY</t>
  </si>
  <si>
    <t>WOS:000468718500026</t>
  </si>
  <si>
    <t>Singh, AK; Das, RM; Saini, S</t>
  </si>
  <si>
    <t>Singh, Arun Kumar; Das, Rupesh M.; Saini, Shailendra</t>
  </si>
  <si>
    <t>Variations of total electron content over high latitude region during the ascending phase of 24th solar cycle</t>
  </si>
  <si>
    <t>ADVANCES IN SPACE RESEARCH</t>
  </si>
  <si>
    <t>High latitude ionosphere; Total electron content; EUV flux; Sunspot number; Correlation</t>
  </si>
  <si>
    <t>MILLSTONE HILL; RADIO NOISE; IONOSPHERE; IONIZATION; CONVECTION; DENSITY; MODELS; MIDDLE; CREST; WINDS</t>
  </si>
  <si>
    <t>The solar cycle variation and seasonal changes significantly affects the ionization process of earth's ionosphere and required to be monitored in real time basis for regional level refinement of existing models. In view of this, the present study has been carried out by using the ionospheric Total Electron Content (TEC) data observed with the help of Global Ionospheric Scintillation and TEC monitoring (GISTM) system installed at Indian Antarctic Research Station, Maitri [70 degrees 46'00 '' S 11 degrees 43'56 '' E] during the ascending phase of 24th solar cycle. The daily values of solar extreme ultraviolet (EUV) flux (0.1-50 nm wavelength), 10.7 cm radio flux F-10.7 and Sunspot number (SSN) has been taken as a proxy to represent the solar cycle variation to correlate with TEC. The linear regression results revels better correlation of TEC with EUV flux rather than F-10.7 and SSN. Also, the EUV and TEC show better agreement during summer as compared to winter and equinox period. Correlation between TEC and EUV appears significantly noticeable during ten internationally defined quiet days of each month (stable background geophysical condition) as compared to the overall days (2010-2014). Further, saturation effect has been observed on TEC values during the solar maxima year 2014. The saturation effects are more prominent during the night hours of winter and equinox season due to transportation losses manifested by the equator-ward direction of meridional wind. (C) 2019 COSPAR. Published by Elsevier Ltd. All rights reserved.</t>
  </si>
  <si>
    <t>[Singh, Arun Kumar; Das, Rupesh M.] CSIR Natl Phys Lab, Dr KS Krishnan Marg, New Delhi 110012, India; [Singh, Arun Kumar; Das, Rupesh M.] Acad Sci &amp; Innovat Res AcSIR, Postal Staff Coll Area, CSIR HRDC Campus,Sect 19, Ghaziabad 201002, Uttar Pradesh, India; [Saini, Shailendra] Natl Ctr Antarctic &amp; Ocean Res, Head Land Sada, Vasco Da Gama 403804, Goa, India</t>
  </si>
  <si>
    <t>Council of Scientific &amp; Industrial Research (CSIR) - India; CSIR - National Physical Laboratory (NPL); Academy of Scientific &amp; Innovative Research (AcSIR); Ministry of Earth Sciences (MoES) - India; National Centre for Polar and Ocean Research (NCPOR)</t>
  </si>
  <si>
    <t>Singh, AK (corresponding author), CSIR Natl Phys Lab, Dr KS Krishnan Marg, New Delhi 110012, India.;Singh, AK (corresponding author), Acad Sci &amp; Innovat Res AcSIR, Postal Staff Coll Area, CSIR HRDC Campus,Sect 19, Ghaziabad 201002, Uttar Pradesh, India.</t>
  </si>
  <si>
    <t>arsurya123@gmail.com; rupesh@nplindia.org; shailendra@ncaor.gov.in</t>
  </si>
  <si>
    <t>0273-1177</t>
  </si>
  <si>
    <t>1879-1948</t>
  </si>
  <si>
    <t>ADV SPACE RES</t>
  </si>
  <si>
    <t>Adv. Space Res.</t>
  </si>
  <si>
    <t>10.1016/j.asr.2019.02.017</t>
  </si>
  <si>
    <t>Engineering, Aerospace; Astronomy &amp; Astrophysics; Geosciences, Multidisciplinary; Meteorology &amp; Atmospheric Sciences</t>
  </si>
  <si>
    <t>Engineering; Astronomy &amp; Astrophysics; Geology; Meteorology &amp; Atmospheric Sciences</t>
  </si>
  <si>
    <t>HY6PV</t>
  </si>
  <si>
    <t>WOS:000468253100010</t>
  </si>
  <si>
    <t>Castro, NO; Moretto, A; Selzer, LJ; Escobar, J</t>
  </si>
  <si>
    <t>Oro Castro, N.; Moretto, A.; Selzer, L. J.; Escobar, J.</t>
  </si>
  <si>
    <t>Effects of alternative silvicultural systems on litter decomposition and nutrients dynamics in sub-Antarctic forests</t>
  </si>
  <si>
    <t>AGROFORESTRY SYSTEMS</t>
  </si>
  <si>
    <t>Forest harvesting; Variable-retention; Nothofagus pumilio; Decomposition; Nutrients</t>
  </si>
  <si>
    <t>NOTHOFAGUS-PUMILIO FORESTS; TIERRA-DEL-FUEGO; ALTITUDINAL GRADIENT; LEAF DECOMPOSITION; VARIABLE RETENTION; MANAGEMENT CYCLE; VEGETATION; PLANT; BIODIVERSITY; MAGALLANES</t>
  </si>
  <si>
    <t>Forest harvesting is one of the main economic practices in South Patagonia. The impacts produced by forest harvesting have been studied by numerous investigations. And it is known that forest harvesting affects the decomposition of soil organic matter. However, there is no data about how the harvesting by variable-retentions affect this decomposition. Our objective was to determine how impact variable-retention upon decomposition and nutrient release in Nothofagus pumilio forest soils. We hypothesized that variable-retention accelerate decomposition and nutrient release. We compared primary and harvested forests with two types of retentions (aggregated and dispersed) and two times [1 and 5years after harvesting (YAH)]. To measure litter decomposition, we used bag technique for to determine organic matter loss. We determined carbon; nitrogen; calcium; potassium; magnesium and lignin concentrations in decomposing material. We analysed the data using linear mixed models ANOVA. Decomposition rates were estimated as derivate of the linear mixed model for the logarithm of the remaining leaf litter weight. We found that dispersed retentions treatment had the highest decomposition rates. Primary forest and aggregated retentions had the smaller slopes of the decomposition model. Dispersed and aggregated retention 5 YAH retained more nitrogen compared to primary forest. Dispersed retention 5 YAH had the lowest C/N ratio. Primary forest had higher Lignin/N ratio at 540 incubation days. Dispersed retention 5 YAH released more phosphorus compared to primary forest. Dispersed and aggregated retention 1 YAH had higher C/P ratio. Dispersed retention 5 YAH presented the most mineralization of potassium in the initial time of decomposition. We conclude that the harvesting by variable-retentions had an immediate negative effect on litter decomposition and the nutrients dynamics.</t>
  </si>
  <si>
    <t>[Oro Castro, N.; Moretto, A.; Selzer, L. J.; Escobar, J.] Consejo Nacl Invest Cient &amp; Tecn, CADIC, Houssay 200, RA-9410 Ushuaia, Tierra Del Fueg, Argentina; [Oro Castro, N.; Moretto, A.; Selzer, L. J.] Univ Nacl Tierra Del Fuego, Inst Ciencias Polares Ambiente &amp; Recursos Nat, Alem 1036, RA-9410 Ushuaia, Tierra Del Fueg, Argentina</t>
  </si>
  <si>
    <t>Consejo Nacional de Investigaciones Cientificas y Tecnicas (CONICET)</t>
  </si>
  <si>
    <t>Castro, NO (corresponding author), Consejo Nacl Invest Cient &amp; Tecn, CADIC, Houssay 200, RA-9410 Ushuaia, Tierra Del Fueg, Argentina.</t>
  </si>
  <si>
    <t>nporocastro@untdf.edu.ar</t>
  </si>
  <si>
    <t>Agencia Nacional de Promocion Cientifica y Tecnologica [PAV2004-22428, PICTO FORESTAL-36861]; CONICET doctoral scholarship</t>
  </si>
  <si>
    <t>Agencia Nacional de Promocion Cientifica y Tecnologica(ANPCyTSpanish Government); CONICET doctoral scholarship</t>
  </si>
  <si>
    <t>We thank Sr. Roberto Fernandez and Eng. Ricardo Vukasovic for their logistic assistance and Dr. Guillermo Martinez Pastur for his scientific and technical advice. We also like to thank the constructive criticism of an anonymous reviewer that greatly improved this manuscript. This study was funded by the Agencia Nacional de Promocion Cientifica y Tecnologica (PAV2004-22428 and PICTO FORESTAL-36861). N. Oro Castro and L.J. Selzer were recipient of a CONICET doctoral scholarship.</t>
  </si>
  <si>
    <t>0167-4366</t>
  </si>
  <si>
    <t>1572-9680</t>
  </si>
  <si>
    <t>AGROFOREST SYST</t>
  </si>
  <si>
    <t>Agrofor. Syst.</t>
  </si>
  <si>
    <t>10.1007/s10457-018-0183-0</t>
  </si>
  <si>
    <t>Agronomy; Forestry</t>
  </si>
  <si>
    <t>Agriculture; Forestry</t>
  </si>
  <si>
    <t>HY1TO</t>
  </si>
  <si>
    <t>WOS:000467900200011</t>
  </si>
  <si>
    <t>Morozov, EG; Marchenko, AV; Filchuk, KV; Kowalik, Z; Marchenko, NA; Ryzhov, IV</t>
  </si>
  <si>
    <t>Morozov, E. G.; Marchenko, A. V.; Filchuk, K. V.; Kowalik, Z.; Marchenko, N. A.; Ryzhov, I. V.</t>
  </si>
  <si>
    <t>Sea ice evolution and internal wave generation due to a tidal jet in a frozen sea</t>
  </si>
  <si>
    <t>APPLIED OCEAN RESEARCH</t>
  </si>
  <si>
    <t>Internal waves; Ice; Tides; Freezing; Modeling; Internal wave overturning; Internal lee waves</t>
  </si>
  <si>
    <t>MOUNTAIN WAVES; TOPOGRAPHY; STABILITY; STRAIT; TIDES; FLOW; LEE</t>
  </si>
  <si>
    <t>The purpose of this study is to investigate the influence of tidal currents on sea ice in Spitsbergen cords which may cause rapid decrease of the ice thickness due to erosion and melting of the ice. The effect was studied in-situ near the narrow channel connecting the Van Mijen Fjord and Lake Vallunden. The strong jet-like tidal currents in the strait driven by semidiurnal tide continue into the lake preventing ice freezing along a narrow strip during high tide and relatively warm weather. Understanding the formation of open water regions or regions with thin ice is important for the safe transportation on ice. We estimate conditions and representative time over which strong tidal current influences ice thickness along a narrow strip in solid ice. Changes of tidal phase and decrease in air temperature influence freezing of the strip in one-two days. While the tidal flow leaves the strait it overflows a shallow bar and generates internal lee waves propagating downslope and mixing the water. Tidal forcing of internal waves was measured using pressure gauges and by scanning of the ice surface during flood and ebb phases. Internal waves were measured using three types of CTD instruments and an ADCP current meter. The generation of wave packets occurs every tidal cycle when the current flows into the lake, but no generation occurs during the ebb phase of the tide because the currents over the bar slope are low. Parameters of internal waves are estimated. Model simulations confirm generation of internal wave train by the tidal current descending downslope.</t>
  </si>
  <si>
    <t>[Morozov, E. G.] Russian Acad Sci, Shirshov Inst Oceanol, Moscow, Russia; [Marchenko, A. V.; Marchenko, N. A.] Univ Ctr Svalbard, Longyearbyen, Norway; [Filchuk, K. V.; Ryzhov, I. V.] Arctic &amp; Antarctic Res Inst, St Petersburg, Russia; [Kowalik, Z.] Univ Alaska Fairbanks, Fairbanks, AK USA</t>
  </si>
  <si>
    <t>Russian Academy of Sciences; Shirshov Institute of Oceanology; University Centre Svalbard (UNIS); Arctic &amp; Antarctic Research Institute; University of Alaska System; University of Alaska Fairbanks</t>
  </si>
  <si>
    <t>Morozov, EG (corresponding author), Russian Acad Sci, Shirshov Inst Oceanol, Moscow, Russia.;Marchenko, AV (corresponding author), Univ Ctr Svalbard, Longyearbyen, Norway.</t>
  </si>
  <si>
    <t>egmorozov@mail.ru; aleksey.marchenko@unis.no</t>
  </si>
  <si>
    <t>Morozov, Eugene G/L-3023-2018; Ryzhov, Igor V/B-9259-2019; Marchenko, Aleksey/GSD-3516-2022</t>
  </si>
  <si>
    <t>Marchenko, Aleksey/0000-0003-4169-0063; Morozov, Eugene/0000-0002-0251-3454</t>
  </si>
  <si>
    <t>Research Council of Norway through the IntPart project Arctic Offshore and Coastal Engineering in Changing Climate; Research Council of Norway through the PETROMAKS2 project Dynamics of floating ice; Russian Foundation for Basic Research [17-08-00085]</t>
  </si>
  <si>
    <t>Research Council of Norway through the IntPart project Arctic Offshore and Coastal Engineering in Changing Climate(Research Council of Norway); Research Council of Norway through the PETROMAKS2 project Dynamics of floating ice; Russian Foundation for Basic Research(Russian Foundation for Basic Research (RFBR)Spanish Government)</t>
  </si>
  <si>
    <t>The authors wish to acknowledge the support of the Research Council of Norway through the IntPart project Arctic Offshore and Coastal Engineering in Changing Climate, and PETROMAKS2 project Dynamics of floating ice. The work of EGM was performed in the framework of the state assignment of Russia (theme No. 0149-2019-0004) and supported in part by the Russian Foundation for Basic Research, project no. 17-08-00085.</t>
  </si>
  <si>
    <t>0141-1187</t>
  </si>
  <si>
    <t>1879-1549</t>
  </si>
  <si>
    <t>APPL OCEAN RES</t>
  </si>
  <si>
    <t>Appl. Ocean Res.</t>
  </si>
  <si>
    <t>10.1016/j.apor.2019.03.024</t>
  </si>
  <si>
    <t>Engineering, Ocean; Oceanography</t>
  </si>
  <si>
    <t>HZ2XG</t>
  </si>
  <si>
    <t>WOS:000468711500015</t>
  </si>
  <si>
    <t>Nugraha, HD; Jackson, CAL; Johnson, HD; Hodgson, DM; Reeve, MT</t>
  </si>
  <si>
    <t>Nugraha, Harya D.; Jackson, Christopher A-L; Johnson, Howard D.; Hodgson, David M.; Reeve, Matthew T.</t>
  </si>
  <si>
    <t>Tectonic and oceanographic process interactions archived in Late Cretaceous to Present deep-marine stratigraphy on the Exmouth Plateau, offshore NW Australia</t>
  </si>
  <si>
    <t>BASIN RESEARCH</t>
  </si>
  <si>
    <t>bottom current; contourites; deep marine; Exmouth Plateau; MTCs; NW Australia; palaeo-oceanography; seismic reflection; tectonics and sedimentation</t>
  </si>
  <si>
    <t>MASS-TRANSPORT COMPLEXES; CURRENT-CONTROLLED SEDIMENTATION; CONTOURITE DEPOSITIONAL SYSTEM; GIANT SUBMARINE LANDSLIDE; SANTA-MONICA BASIN; NORTH-WEST SHELF; ANTARCTIC PENINSULA; CONTINENTAL-MARGIN; BOTTOM CURRENTS; LEEUWIN CURRENT</t>
  </si>
  <si>
    <t>Deep-marine deposits provide a valuable archive of process interactions between sediment gravity flows, pelagic sedimentation and thermohaline bottom-currents. Stratigraphic successions can also record plate-scale tectonic processes (e.g. continental breakup and shortening) that impact long-term ocean circulation patterns, including changes in climate and biodiversity. One such setting is the Exmouth Plateau, offshore NW Australia, which has been a relatively stable, fine-grained carbonate-dominated continental margin from the Late Cretaceous to Present. We combine extensive 2D (similar to 40,000 km) and 3D (3,627 km(2)) seismic reflection data with lithologic and biostratigraphic information from wells to reconstruct the tectonic and oceanographic evolution of this margin. We identified three large-scale seismic units (SUs): (a) SU-1 (Late Cretaceous)-500 m-thick, and characterised by NE-SW-trending, slope-normal elongate depocentres (c. 200 km long and 70 km wide), with erosional surfaces at their bases and tops, which are interpreted as the result of contour-parallel bottom-currents, coeval with the onset of opening of the Southern Ocean; (b) SU-2 (Palaeocene-Late Miocene)-800 m-thick and characterised by: (a) very large (amplitude, c. 40 m and wavelength, c. 3 km), SW-migrating, NW-SE-trending sediment waves, (b) large (4 km-wide, 100 m-deep), NE-trending scours that flank the sediment waves and (c) NW-trending, 4 km-wide and 80 m-deep turbidite channel, infilled by NE-dipping reflectors, which together may reflect an intensification of NE-flowing bottom currents during a relative sea-level fall following the establishment of circumpolar-ocean current around Antarctica; and (c) SU-3 (Late Miocene-Present)-1,000 m-thick and is dominated by large (up to 100 km(3)) mass-transport complexes (MTCs) derived from the continental margin (to the east) and the Exmouth Plateau Arch (to the west), and accumulated mainly in the adjacent Kangaroo Syncline. This change in depositional style may be linked to tectonically-induced seabed tilting and folding caused by collision and subduction along the northern margin of the Australian plate. Hence, the stratigraphic record of the Exmouth Plateau provides a rich archive of plate-scale regional geological events occurring along the distant southern (2,000 km away) and northern (1,500 km away) margins of the Australian plate.</t>
  </si>
  <si>
    <t>[Nugraha, Harya D.; Jackson, Christopher A-L; Johnson, Howard D.; Reeve, Matthew T.] Imperial Coll, Dept Earth Sci &amp; Engn, BRG, London, England; [Nugraha, Harya D.] Univ Pertamina, Dept Geol Engn, Jakarta, Indonesia; [Hodgson, David M.] Univ Leeds, Sch Earth &amp; Environm, Stratig Grp, Leeds, W Yorkshire, England</t>
  </si>
  <si>
    <t>Imperial College London; University of Leeds</t>
  </si>
  <si>
    <t>Nugraha, HD (corresponding author), Imperial Coll, Dept Earth Sci &amp; Engn, BRG, London, England.</t>
  </si>
  <si>
    <t>harya.nugraha14@imperial.ac.uk</t>
  </si>
  <si>
    <t>Nugraha, Harya Dwi/AAQ-4393-2020; Johnson, Howard/AAO-9512-2020; Hodgson, David/P-9100-2015</t>
  </si>
  <si>
    <t>Nugraha, Harya Dwi/0000-0001-6099-7947; Jackson, Christopher/0000-0002-8592-9032; Hodgson, David/0000-0003-3711-635X</t>
  </si>
  <si>
    <t>Indonesia Education Scholarship (BPI), Indonesia Endowment Fund for Education (LPDP) [20160822019161]</t>
  </si>
  <si>
    <t>Indonesia Education Scholarship (BPI), Indonesia Endowment Fund for Education (LPDP)</t>
  </si>
  <si>
    <t>Indonesia Education Scholarship (BPI), Indonesia Endowment Fund for Education (LPDP), Grant/Award Number: 20160822019161</t>
  </si>
  <si>
    <t>0950-091X</t>
  </si>
  <si>
    <t>1365-2117</t>
  </si>
  <si>
    <t>BASIN RES</t>
  </si>
  <si>
    <t>Basin Res.</t>
  </si>
  <si>
    <t>10.1111/bre.12328</t>
  </si>
  <si>
    <t>HX9SL</t>
  </si>
  <si>
    <t>WOS:000467748500001</t>
  </si>
  <si>
    <t>Koellner, S; Parizek, BR; Alley, RB; Muto, A; Holschuh, N</t>
  </si>
  <si>
    <t>Koellner, Stephen; Parizek, Byron R.; Alley, Richard B.; Muto, Atsuhiro; Holschuh, Nicholas</t>
  </si>
  <si>
    <t>The impact of spatially-variable basal properties on outlet glacier flow</t>
  </si>
  <si>
    <t>basal rheology; basal topography; outlet glacier; grounding line; ice-ocean interactions</t>
  </si>
  <si>
    <t>ANTARCTIC ICE-SHEET; FUTURE SEA-LEVEL; PINE ISLAND GLACIER; WEST ANTARCTICA; THWAITES GLACIER; COLLAPSE; RETREAT; DRIVEN; STREAM; RISE</t>
  </si>
  <si>
    <t>The spatially variable basal flow law suggested by geophysical data from Thwaites Glacier, West Antarctica produces modeled ice-flow response to warming that differs notably from the response of commonly assumed spatially uniform flow laws, with implications for future sea-level rise. Unlike many ice-sheet outlets, Thwaites flows across rather than along prominent topography, with hard stoss faces where form drag is understood to give a low-stress-exponent basal flow law and soft lee-side tills likely to give nearly-plastic behavior. Applying the PSU 2-D higher-order flowline model to a range of idealized Thwaites-like topographies, we test the impact of nearly plastic, nearly viscous, and spatially variable basal rheology on forced grounding-line evolution. In agreement with previous findings, for spatially uniform basal rheology, the timing and rate of grounding-line retreat depend strongly on the bed exponent, with plastic rheology promoting longer stability at the current grounding line but faster retreat once destabilized. Additionally, we find that retreat over mixed-rheology beds is sensitive to the wavelength of the basal topography. For outlet glacier flow across long-wavelength bumps (greater than or similar to 10 km), behavior falls between that for uniform viscous and plastic beds, yet closer to plastic. However, over shorter-wavelength topography, at times, grounding line retreat is slower than for either uniform-rheology end-member. Accurately accounting for variable basal conditions in ice-sheet models thus is critical for improving projections of both the timing and magnitude of retreat. (C) 2019 The Authors. Published by Elsevier B.V. This is an open access article under the CC BY-NC-ND license (http://creativecommons.org/licenses/by-nc-nd/4.0/).</t>
  </si>
  <si>
    <t>[Koellner, Stephen] Penn State Univ, Dept Math, University Pk, PA 16802 USA; [Parizek, Byron R.] Penn State Univ, Math &amp; Geosci, Du Bois, PA 15801 USA; [Parizek, Byron R.; Alley, Richard B.] Penn State Univ, Dept Geosci, University Pk, PA 16802 USA; [Parizek, Byron R.; Alley, Richard B.] Penn State Univ, Earth &amp; Environm Syst Inst, University Pk, PA 16802 USA; [Muto, Atsuhiro] Temple Univ, Dept Earth &amp; Environm Sci, Philadelphia, PA 19122 USA; [Holschuh, Nicholas] Univ Washington, Dept Earth &amp; Space Sci, Seattle, WA 98195 USA</t>
  </si>
  <si>
    <t>Pennsylvania Commonwealth System of Higher Education (PCSHE); Pennsylvania State University; Pennsylvania State University - University Park; Pennsylvania Commonwealth System of Higher Education (PCSHE); Pennsylvania State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Temple University; University of Washington; University of Washington Seattle</t>
  </si>
  <si>
    <t>Parizek, BR (corresponding author), Penn State Univ, Math &amp; Geosci, Du Bois, PA 15801 USA.</t>
  </si>
  <si>
    <t>parizek@psu.edu</t>
  </si>
  <si>
    <t>Muto, Atsuhiro/AAJ-9558-2020</t>
  </si>
  <si>
    <t>Muto, Atsuhiro/0000-0002-1722-2457</t>
  </si>
  <si>
    <t>U.S. National Science Foundation [ANT -0424589, AGS-1338832, PLR-1443190, NSF-NERC-OPP-1738934, DGHZ55832]; NASA [NNX15AH84G, NNX16AM01G]; Heising-Simons Foundation [2018-0769]; NASA [NNX15AH84G, 805513] Funding Source: Federal RePORTER</t>
  </si>
  <si>
    <t>U.S. National Science Foundation(National Science Foundation (NSF)); NASA(National Aeronautics &amp; Space Administration (NASA)); Heising-Simons Foundation; NASA(National Aeronautics &amp; Space Administration (NASA))</t>
  </si>
  <si>
    <t>This research was supported by the U.S. National Science Foundation under grants ANT -0424589 (B.R.P., R.B.A.), AGS-1338832 (B.R.P., R.B.A.), PLR-1443190 (S.J.K., B.R.P.), NSF-NERC-OPP-1738934 (B.R.P., R.B.A., A.M.), and DGHZ55832 (N.H.), by NASA under grants NNX15AH84G (S.J.K., B.R.P., A.M.) and NNX16AM01G (N.H.), and by the Heising-Simons Foundation under grant 2018-0769 (B.R.P., R.B.A.). The authors would like to recognize the efforts of the Scientific Editor, Miaki Ishii, and the three anonymous referees. Their critical reviews were invaluable. Metadata will be submitted to the Antarctic Master Directory at USAP. Model output files are also available through the corresponding author upon request.</t>
  </si>
  <si>
    <t>10.1016/j.epsl.2019.03.026</t>
  </si>
  <si>
    <t>HV8RQ</t>
  </si>
  <si>
    <t>WOS:000466251400019</t>
  </si>
  <si>
    <t>Lemos, A; Arigony-Neto, J; Mendes, CW; Costi, J</t>
  </si>
  <si>
    <t>Lemos, Adriano; Arigony-Neto, Jorge; Mendes-Junior, Claudio Wilson; Costi, Juliana</t>
  </si>
  <si>
    <t>A comparative analysis between variations in wet snow zone and the main break-up and disintegration events in WILKINS ice shelf, Antarctic peninsula</t>
  </si>
  <si>
    <t>Wet Snow Zone; SMMR; SSM/I; Subpixel analysis</t>
  </si>
  <si>
    <t>TEMPERATURES; VARIABILITY; MARGINS; TRENDS; MELT</t>
  </si>
  <si>
    <t>This study analyses areal extent variations in the Wet Snow Zone (sigma WSZ) on the Wilkins Ice Shelf (WIS), in the austral summers from of 1978 to 2009. We used data estimated by a linear mixture analysis of SMMR and SSM/I images, in order to calculate the total area of the sigma WSZ on the WIS. We found that the austral summers of 1982-1983, 1989-1990 and 1997-1998 had the largest sigma WSZ extents. During 1992-1993, the sigma WSZ extent was approximately 36,072 km(2) (about 45% of the study area), and coincided with a major break-up event along the northern ice shelf edge. A significant break-up in this region also occurred in summer 1998-1999, and was associated with the largest sigma WSZ extent in the previous summer (45,348 km(2)). In 2002-2003, the sigma WSZ extent reached 42,785 km(2). In contrast, the 2007-2008 summer did not show a large sigma WSZ extent (15,889 km(2)), despite the break-up event in the northern and north-western of WIS in that summer and in the following year. These break-ups have been attributed to basal melting of the WIS in some studies, rather than surface-based hydrofracture, although sub-surface water and hydrofracture was implicated in a study of the 2007-2008 event. The median austral summer sigma WSZ areal extent has a declining trend of 723 km(2) y(-1) (r = 0.49), over the period of our study (1978-2009).</t>
  </si>
  <si>
    <t>[Lemos, Adriano] Univ Leeds, Sch Earth &amp; Environm, Ctr Polar Observat &amp; Modelling, Leeds LS2 9JT, W Yorkshire, England; [Lemos, Adriano; Arigony-Neto, Jorge; Mendes-Junior, Claudio Wilson] Univ Fed Rio Grande FURG, Inst Oceanog, Av Italia,Km 8, BR-96203900 Rio Grande, RS, Brazil; [Lemos, Adriano; Arigony-Neto, Jorge; Mendes-Junior, Claudio Wilson] Inst Nacl Ciencia &amp; Tecnol Criosfera, BR-96203900 Rio Grande, RS, Brazil; [Costi, Juliana] Univ Fed Rio Grande FURG, Av Italia,Km 8, BR-96203900 Rio Grande, RS, Brazil</t>
  </si>
  <si>
    <t>University of Leeds; Universidade Federal do Rio Grande; Universidade Federal do Rio Grande</t>
  </si>
  <si>
    <t>Lemos, A (corresponding author), Univ Leeds, Sch Earth &amp; Environm, Ctr Polar Observat &amp; Modelling, Leeds LS2 9JT, W Yorkshire, England.</t>
  </si>
  <si>
    <t>A.G.Lemos14@leeds.ac.uk; jorgearigony@furg.br; claudio.mendes@ufrgs.br</t>
  </si>
  <si>
    <t>Costi, Juliana/AHI-7948-2022; Lemos, Adriano/ABC-8133-2020; Mendes, Claudio wilson/AAR-3664-2021; Mendes junior, Claudio wilson/ABB-9811-2021</t>
  </si>
  <si>
    <t>Costi, Juliana/0000-0001-6220-2343; Lemos, Adriano/0000-0001-9116-5019; Mendes, Claudio wilson/0000-0003-1745-348X; Arigony-Neto, Jorge/0000-0003-4848-2064</t>
  </si>
  <si>
    <t>Coordenacao de Aperfeicoamento de Pessoal de Nivel Superior (CAPES) [00.889.834/0001-08]; Fundacao de Amparo a Pesquisa do Estado do Rio Grande do Sul (FAPERGS) [17/2551-0000518-0]; NERC [cpom30001] Funding Source: UKRI</t>
  </si>
  <si>
    <t>Coordenacao de Aperfeicoamento de Pessoal de Nivel Superior (CAPES)(Coordenacao de Aperfeicoamento de Pessoal de Nivel Superior (CAPES)); Fundacao de Amparo a Pesquisa do Estado do Rio Grande do Sul (FAPERGS)(Fundacao de Amparo a Ciencia e Tecnologia do Estado do Rio Grande do Sul (FAPERGS)); NERC(UK Research &amp; Innovation (UKRI)Natural Environment Research Council (NERC))</t>
  </si>
  <si>
    <t>We thank to the data providers, the National Snow and Ice Data Center, which provides freely passive microwave images, and the European Space Agency by ASAR images provided through the project EO-derived products in support of climate change impact studies on the Antarctic Peninsula and Svalbard -interaction of glaciers, climate, terrestrial and marine ecosystems as well as the atmosphere (ESA IPY AO proposal Nr 4032). This study was funded by Coordenacao de Aperfeicoamento de Pessoal de Nivel Superior (CAPES) under the scholarship referenced as 00.889.834/0001-08, and Fundacao de Amparo a Pesquisa do Estado do Rio Grande do Sul (FAPERGS) under the project number 17/2551-0000518-0 (INCT da Criosfera). We thank the editor Dr. Marret-Davies and the two anonymous reviewers for their comments, which helped to improve the manuscript.</t>
  </si>
  <si>
    <t>10.1016/j.gloplacha.2019.03.009</t>
  </si>
  <si>
    <t>HZ2ZJ</t>
  </si>
  <si>
    <t>WOS:000468717000004</t>
  </si>
  <si>
    <t>Yu, LJ; Zhong, SY</t>
  </si>
  <si>
    <t>Yu, Lejiang; Zhong, Shiyuan</t>
  </si>
  <si>
    <t>Strong Wind Speed Events over Antarctica and Its Surrounding Oceans</t>
  </si>
  <si>
    <t>Antarctica; Boundary currents; Wind; Antarctic Oscillation; Interannual variability; Trends</t>
  </si>
  <si>
    <t>4-DIMENSIONAL VARIATIONAL ASSIMILATION; ROSS ICE SHELF; TROPICAL CONVECTION; GREENHOUSE-GAS; KOHNEN STATION; CASEY-STATION; AMUNDSEN SEA; ANNULAR MODE; CLIMATE; SURFACE</t>
  </si>
  <si>
    <t>Strong wind events (SWEs) over Antarctica and its surrounding oceans are investigated using gridded surface wind data from the ERA-Interim for the 1979-2017 period. Throughout the year, SWEs are more prevalent over the coastal region of East Antarctica where mean surface wind speeds are also higher. The occurrences of SWEs appear to be accompanied by positive anomalies in surface temperature and negative (positive) anomalies in mean sea level pressure related to cyclone (anticyclone) activity over the Ronne and Ross Ice Shelves and coastal regions (the inland areas of East Antarctica). The interannual variability of the SWE occurrences appears to be related to the southern annular mode (SAM) and, to a lesser degree, ENSO. The trends of SWE in the recent four decades exhibit considerable regional variations that are consistent with the trends in seasonal mean wind speed and surface air temperature, and can be largely explained by the variations in the sea level pressure trends across the region.</t>
  </si>
  <si>
    <t>[Yu, Lejiang] Polar Res Inst China, State Ocean Adm, Key Lab Polar Sci, Shanghai, Peoples R China; [Zhong, Shiyuan] Michigan State Univ, Dept Geog Environm &amp; Spatial Sci, E Lansing, MI 48824 USA</t>
  </si>
  <si>
    <t>Polar Research Institute of China; Michigan State University</t>
  </si>
  <si>
    <t>Zhong, SY (corresponding author), Michigan State Univ, Dept Geog Environm &amp; Spatial Sci, E Lansing, MI 48824 USA.</t>
  </si>
  <si>
    <t>zhongs@msu.edu</t>
  </si>
  <si>
    <t>National Key R&amp;D Program of China [2018YFA0605701]; Shanghai Pujiang Program [17PJ1409800]</t>
  </si>
  <si>
    <t>National Key R&amp;D Program of China; Shanghai Pujiang Program(Shanghai Pujiang Program)</t>
  </si>
  <si>
    <t>We thank the European Centre for Medium-Range Weather Forecasts (ECMWF) for the ERA-Interim data. This study is financially supported by the National Key R&amp;D Program of China (2018YFA0605701) and Shanghai Pujiang Program (17PJ1409800).</t>
  </si>
  <si>
    <t>10.1175/JCLI-D-18-0831.1</t>
  </si>
  <si>
    <t>HY9NF</t>
  </si>
  <si>
    <t>WOS:000468467200002</t>
  </si>
  <si>
    <t>Jiang, QF; Doyle, JD; Eckermann, SD; Williams, BP</t>
  </si>
  <si>
    <t>Jiang, Qingfang; Doyle, James D.; Eckermann, Stephen D.; Williams, Bifford P.</t>
  </si>
  <si>
    <t>Stratospheric Trailing Gravity Waves from New Zealand</t>
  </si>
  <si>
    <t>Inertia-gravity waves; Mountain waves; Stratosphere-troposphere coupling; Satellite observations; Numerical analysis; modeling</t>
  </si>
  <si>
    <t>MOUNTAIN WAVES; MIDDLE-ATMOSPHERE; AUCKLAND ISLANDS; SOUTHERN-OCEAN; FROUDE-NUMBER; LINEAR-THEORY; MESOSCALE; FLOW; PROPAGATION; FLUXES</t>
  </si>
  <si>
    <t>Gravity waves are frequently observed in the stratosphere, trailing long distances from mid- to high-latitude topography. Two such trailing-wave events documented over New Zealand are examined using observations, numerical simulations, and ray-tracing analysis to explore and document stratospheric trailing-wave characteristics and formation mechanisms. We find that the trailing waves over New Zealand are orographically generated and regulated by several processes, including interaction between terrain and mountaintop winds, critical-level absorption, and lateral wave refraction. Among these, the interaction between topography and low-level winds determines the perturbation energy distribution over horizontal scales and directions near the wave source, and accordingly, trailing waves are sensitive to terrain features and low-level winds. Terrain-forced wave modes are filtered by absorption associated with directional wind shear and Jones critical levels. The former plays a role in defining wave-beam orientation, and the latter sets an upper limit for the permissible horizontal wavelength of trailing waves. On propagating into the stratosphere, these orographic gravity waves are subject to horizontal refraction associated with the meridional shear in the stratospheric westerlies, which tends to elongate the wave beams pointing toward stronger westerlies and shorten the wave beams on the opposite side.</t>
  </si>
  <si>
    <t>[Jiang, Qingfang; Doyle, James D.] US Naval Res Lab, Marine Meteorol Div, Monterey, CA 93943 USA; [Eckermann, Stephen D.] US Naval Res Lab, Div Space Sci, Washington, DC USA; [Williams, Bifford P.] GATS, Boulder Div, Boulder, CO USA</t>
  </si>
  <si>
    <t>United States Department of Defense; United States Navy; Naval Research Laboratory</t>
  </si>
  <si>
    <t>Jiang, QF (corresponding author), US Naval Res Lab, Marine Meteorol Div, Monterey, CA 93943 USA.</t>
  </si>
  <si>
    <t>qingfang.jiang@nrlmry.navy.mil</t>
  </si>
  <si>
    <t>National Science Foundation; National Center for Atmospheric Research/Earth Observing Laboratory; Naval Research Laboratory; German Aerospace Center (DLR); National Institute of Water and Atmosphere Research (NIWA); Australian Antarctic Division (AAD); New Zealand MET Service; PAE Ltd.; ECMWF; NOAA-NCEP; NRL Base Program Element (PE) [0601153N, 0602435N]; National Science Foundation [AGS-1338646]</t>
  </si>
  <si>
    <t>National Science Foundation(National Science Foundation (NSF)); National Center for Atmospheric Research/Earth Observing Laboratory; Naval Research Laboratory(United States Department of Defense); German Aerospace Center (DLR)(Helmholtz AssociationGerman Aerospace Centre (DLR)); National Institute of Water and Atmosphere Research (NIWA); Australian Antarctic Division (AAD); New Zealand MET Service; PAE Ltd.; ECMWF; NOAA-NCEP; NRL Base Program Element (PE); National Science Foundation(National Science Foundation (NSF))</t>
  </si>
  <si>
    <t>The DEEPWAVE program was made possible through financial and/or in-kind support from many U.S. and international organizations, including the National Science Foundation, National Center for Atmospheric Research/Earth Observing Laboratory, Naval Research Laboratory, German Aerospace Center (DLR), National Institute of Water and Atmosphere Research (NIWA), Australian Antarctic Division (AAD), the New Zealand MET Service, PAE Ltd., ECMWF, and NOAA-NCEP. The authors acknowledge the support of the Chief of Naval Research through the NRL Base Program Element (PE) 0601153N and 0602435N, and the support of National Science Foundation through Grant AGS-1338646. Computational resources were supported by a grant of HPC time from the Department of Defense Major Shared Resource Centers.</t>
  </si>
  <si>
    <t>10.1175/JAS-D-18-0290.1</t>
  </si>
  <si>
    <t>HZ3RX</t>
  </si>
  <si>
    <t>WOS:000468767100001</t>
  </si>
  <si>
    <t>Wille, M; Aban, M; Wang, J; Moore, N; Shan, SH; Marshall, J; González-Acuña, D; Vijaykrishna, D; Butler, J; Wang, JN; Hall, RJ; Williams, DT; Hurt, AC</t>
  </si>
  <si>
    <t>Wille, Michelle; Aban, Malet; Wang, Jing; Moore, Nicole; Shan, Songhua; Marshall, John; Gonzalez-Acuna, Daniel; Vijaykrishna, Dhanasekaran; Butler, Jeff; Wang, Jianning; Hall, Richard J.; Williams, David T.; Hurt, Aeron C.</t>
  </si>
  <si>
    <t>Antarctic Penguins as Reservoirs of Diversity for Avian Avulaviruses</t>
  </si>
  <si>
    <t>JOURNAL OF VIROLOGY</t>
  </si>
  <si>
    <t>Adelie penguin; Antarctica; avian avulavirus; avian paramyxovirus; disease ecology; penguin; Sphenisciformes</t>
  </si>
  <si>
    <t>NEWCASTLE-DISEASE VIRUS; INFLUENZA-A; ROCKHOPPER PENGUINS; HEALTH EVALUATION; READ ALIGNMENT; WILD BIRDS; PARAMYXOVIRUSES; SEROTYPE; IDENTIFICATION; SEROLOGY</t>
  </si>
  <si>
    <t>Wild birds harbor a huge diversity of avian avulaviruses (formerly avian paramyxoviruses). Antarctic penguin species have been screened for avian avulaviruses since the 1980s and, as such, are known hosts of these viruses. In this study, we screened three penguin species from the South Shetland Islands and the Antarctic Peninsula for avian avulaviruses. We show that Adelie penguins (Pygoscelis adeliae) are hosts for four different avian avulavirus species, the recently described avian avulaviruses 17 to 19 and avian avulavirus 10-like, never before isolated in Antarctica. A total of 24 viruses were isolated and sequenced; avian avulavirus 17 was the most common, and phylogenetic analysis demonstrated patterns of occurrence, with different genetic clusters corresponding to penguin age and location. Following infection in specific-pathogen-free (SPF) chickens, all four avian avulavirus species were shed from the oral cavity for up to 7 days postinfection. There was limited shedding from the cloaca in a proportion of infected chickens, and all but one bird seroconverted by day 21. No clinical signs were observed. Taken together, we propose that penguin species, including Antarctic penguins, may be the central reservoir for a diversity of avian avulavirus species and that these viruses have the potential to infect other avian hosts. IMPORTANCE Approximately 99% of all viruses are still to be described, and in our changing world, any one of these unknown viruses could potentially expand their host range and cause epidemic disease in wildlife, agricultural animals, or humans. Avian avulavirus 1 causes outbreaks in wild birds and poultry and is thus well described. However, for many avulavirus species, only a single specimen has been described, and their viral ecology and epidemiology are unknown. Through the detection of avian avulaviruses in penguins from Antarctica, we have been able to expand upon our understanding of three avian avulavirus species (avian avulaviruses 17 to 19) and report a potentially novel avulavirus species. Importantly, we show that penguins appear to play a key role in the epidemiology of avian avulaviruses, and we encourage additional sampling of this avian group.</t>
  </si>
  <si>
    <t>[Wille, Michelle; Aban, Malet; Hurt, Aeron C.] Peter Doherty Inst Infect &amp; Immun, WHO Collaborating Ctr Reference &amp; Res Influenza, Melbourne, Vic, Australia; [Wang, Jing; Moore, Nicole; Hall, Richard J.] Inst Environm Sci &amp; Res Ltd, Natl Ctr Biosecur &amp; Infect Dis, Upper Hutt, New Zealand; [Shan, Songhua; Butler, Jeff; Wang, Jianning; Williams, David T.] CSIRO, Australian Anim Hlth Lab, Geelong, Vic, Australia; [Marshall, John] Peter Doherty Inst Infect &amp; Immun, Victorian Infect Dis Reference Lab, Melbourne, Vic, Australia; [Gonzalez-Acuna, Daniel] Univ Concepcion, Fac Ciencias Vet, Chillan, Chile; [Gonzalez-Acuna, Daniel] Univ Andres Bello, Fac Ecol &amp; Recursos Nat, Santiago, Chile; [Vijaykrishna, Dhanasekaran] Monash Univ, Biomed Discovery Inst, Melbourne, Vic, Australia; [Vijaykrishna, Dhanasekaran] Monash Univ, Dept Microbiol, Melbourne, Vic, Australia</t>
  </si>
  <si>
    <t>University of Melbourne; Peter Doherty Institute; Melbourne Genomics Health Alliance; World Health Organization; Institute of Environmental Science &amp; Research (ESR) - New Zealand; Commonwealth Scientific &amp; Industrial Research Organisation (CSIRO); Melbourne Genomics Health Alliance; Victorian Infectious Diseases Reference Laboratory; University of Melbourne; Peter Doherty Institute; Universidad de Concepcion; Universidad Andres Bello; Monash University; Melbourne Genomics Health Alliance; Monash University</t>
  </si>
  <si>
    <t>Wille, M; Hurt, AC (corresponding author), Peter Doherty Inst Infect &amp; Immun, WHO Collaborating Ctr Reference &amp; Res Influenza, Melbourne, Vic, Australia.</t>
  </si>
  <si>
    <t>michelle.wille@influenzacentre.org; aeron.hurt@influenzacentre.org</t>
  </si>
  <si>
    <t>Moore, Nicole/HSG-3461-2023; Dhanasekaran, Vijaykrishna/HKO-1036-2023; Wille, Michelle/F-4819-2013; Vijaykrishna, Dhanasekaran/AAG-2077-2020; Williams, David T/H-6750-2013; shan, songhua/H-8650-2013</t>
  </si>
  <si>
    <t>Dhanasekaran, Vijaykrishna/0000-0003-3293-6279; Wille, Michelle/0000-0002-5629-0196; Vijaykrishna, Dhanasekaran/0000-0003-3293-6279; Williams, David T/0000-0002-7169-149X; Wang, Jing/0000-0002-7002-2374; Moore, Nicole/0000-0001-9826-7392</t>
  </si>
  <si>
    <t>Instituto Antartico Chileno [INACH T-27-10]; Australian Department of Agriculture and Water Resources; Australian Government Department of Health</t>
  </si>
  <si>
    <t>Instituto Antartico Chileno; Australian Department of Agriculture and Water Resources(Australian Government); Australian Government Department of Health(Australian GovernmentDepartment of Health &amp; Ageing)</t>
  </si>
  <si>
    <t>The fieldwork was funded by the Instituto Antartico Chileno as part of the project INACH T-27-10 The common seabird tick Ixodes uriae (White, 1852) as vector of pathogenic virus, bacteria and protozoa to penguins of the Antarctic environment. The work performed at AAHL was supported by the Australian Department of Agriculture and Water Resources.; The Melbourne WHO Collaborating Centre for Reference and Research on Influenza is supported by the Australian Government Department of Health.</t>
  </si>
  <si>
    <t>AMER SOC MICROBIOLOGY</t>
  </si>
  <si>
    <t>1752 N ST NW, WASHINGTON, DC 20036-2904 USA</t>
  </si>
  <si>
    <t>0022-538X</t>
  </si>
  <si>
    <t>1098-5514</t>
  </si>
  <si>
    <t>J VIROL</t>
  </si>
  <si>
    <t>J. Virol.</t>
  </si>
  <si>
    <t>e00271-19</t>
  </si>
  <si>
    <t>10.1128/JVI.00271-19</t>
  </si>
  <si>
    <t>Virology</t>
  </si>
  <si>
    <t>HY2CZ</t>
  </si>
  <si>
    <t>WOS:000467925600018</t>
  </si>
  <si>
    <t>Nelson, DA; Cottle, JM</t>
  </si>
  <si>
    <t>Nelson, D. A.; Cottle, J. M.</t>
  </si>
  <si>
    <t>Tracking voluminous Permian volcanism of the Choiyoi Province into central Antarctica</t>
  </si>
  <si>
    <t>MARIE BYRD LAND; ZIRCON U-PB; EASTERN AUSTRALIA EVIDENCE; PLASMA-MASS SPECTROMETRY; LARGE IGNEOUS PROVINCES; NEW-ENGLAND BATHOLITH; HF ISOTOPE EVIDENCE; WEST-ANTARCTICA; LU-HF; TRACE-ELEMENT</t>
  </si>
  <si>
    <t>Permian volcanic deposits are widespread throughout southwestern Gondwana and record voluminous silicic continental arc volcanism (e.g., Choiyoi Province) that may have contributed to Permian global warming and environmental degradation. Many Permian volcanic deposits of southwestern Gondwana (southern South America, southern Africa,WestAntarctica and eastern Australia), however, remain to be accurately correlated to magmatic source regions along the active paleo-Pacific margin of Gondwana, and this lack of correlation limits our understanding of the timing and distribution of voluminous volcanism. Here we present detrital zircon U-Pb and Hf isotope data for Permian volcaniclastic sedimentary rocks from the Ellsworth Mountains, Pensacola Mountains, and the Ohio Range of central Antarctica in southwestern Gondwana used to determine their volcanic source along the paleo-Pacific margin of Gondwana. Rocks in central Antarctica record Permian (ca. 268 Ma) volcanism with a mean zircon epsilon Hf-i of -0.04 +/- 4.8 (2 standard deviation). Comparison of these zircon age and Hf data with compilations for adjacent regions along the Gondwana margin suggest derivation of the Antarctic zircons from a major episode of Permian explosive arc volcanism that is broadly synchronous with, and geochemically similar to, the voluminous Choiyoi Province in South America.This correlation also relates the source of synchronous volcaniclastic deposits in the Karoo Basin, South Africa, to the same major Permian volcanic episode associated with the Choiyoi Province. In aggregate, geochemical data from Permian zircon in central Antarctica support an along-arc variation in geochemistry, with isotopically enriched high-flux magmatism associated with thicker crust and lithospheric mantle in South America, and isotopically depleted magmatism and thinner crust and lithospheric mantle in Australia. The timing of inferred Choiyoi-related explosive arc volcanism recorded in the Antarctic sector, South African sector, and South American sector is contemporaneous with a documented increase in global arc flux, an increase in atmospheric CO2, a decrease in delta C-13 of benthic marine fossils, and mass extinction events. We suggest that the Choiyoi Province and correlated arc volcanism along the Gondwana margin contributed to increased global arc flux in the Permian leading to elevated background levels of atmospheric CO2 conducive to producing an environmental crisis during mafic large igneous province emplacement, and may serve as an example of continental arc outgassing exerting a first order control on climate.</t>
  </si>
  <si>
    <t>[Nelson, D. A.; Cottle, J. M.] Univ Calif Santa Barbara, Dept Earth Sci, Santa Barbara, CA 93106 USA</t>
  </si>
  <si>
    <t>University of California System; University of California Santa Barbara</t>
  </si>
  <si>
    <t>Nelson, DA (corresponding author), Univ Calif Santa Barbara, Dept Earth Sci, Santa Barbara, CA 93106 USA.</t>
  </si>
  <si>
    <t>demian@umail.ucsb.edu</t>
  </si>
  <si>
    <t>Cottle, John M/F-2799-2011</t>
  </si>
  <si>
    <t>National Science Foundation Graduate Research Fellowship [1650114]; National Science Foundation Office of Polar Programs; [NSF-ANT-1443296]; [NSF-ANT-1043152]</t>
  </si>
  <si>
    <t>National Science Foundation Graduate Research Fellowship(National Science Foundation (NSF)); National Science Foundation Office of Polar Programs(National Science Foundation (NSF)NSF - Directorate for Geosciences (GEO)); ;</t>
  </si>
  <si>
    <t>This material is based upon work supported by the National Science Foundation Graduate Research Fellowship under Grant No. 1650114 and support from NSF-ANT-1443296, NSF-ANT-1043152. This research used samples and/or data provided by the Polar Rock Repository (PRR). The PRR is sponsored by the National Science Foundation Office of Polar Programs. We are grateful to Anne Grunow and the PRR for providing samples and assisting with sample selection. We also acknowledge the original sample collectors: C. Craddock, I. Dalziel, and W. Long.</t>
  </si>
  <si>
    <t>10.1130/L1015.1</t>
  </si>
  <si>
    <t>HY5XK</t>
  </si>
  <si>
    <t>WOS:000468202100006</t>
  </si>
  <si>
    <t>Kohlbach, D; Langel, BA; Graeve, M; Vortkamp, M; Flores, H</t>
  </si>
  <si>
    <t>Kohlbach, Doreen; Langel, Benjamin Allen; Graeve, Martin; Vortkamp, Martina; Flores, Hauke</t>
  </si>
  <si>
    <t>Varying dependency of Antarctic euphausiids on ice algae- and phytoplankton-derived carbon sources during summer</t>
  </si>
  <si>
    <t>FATTY-ACID-COMPOSITION; SEA-ICE; WEDDELL SEA; FOOD-WEB; PACK-ICE; THYSANOESSA-MACRURA; SUPERBA DANA; TROPHIC RELATIONSHIPS; LIPID-METABOLISM; STABLE-ISOTOPES</t>
  </si>
  <si>
    <t>Sea ice algae can constitute an important carbon source for high-Antarctic euphausiids during winter. To quantify the importance of this sympagic carbon' during summer, the three most abundant Antarctic euphausiids, Euphausia superba, E. crystallorophias, and Thysanoessa macrura, collected off the Filchner Ice Shelf, were analyzed regarding their fatty acid (FA) and stable isotope compositions. Fingerprints of diatom- and dinoflagellate-associated FAs in the euphausiids indicated a mixed carbon source composition for all three species. Bulk and FA-specific carbon stable isotope compositions (C-13) were used to quantify the contribution of sympagic carbon versus phytoplankton-produced carbon to the euphausiids' carbon budget, suggesting a lower proportional contribution of sympagic carbon in E. superba (5-18%) compared to E. crystallorophias (16-36%) and T. macrura (15-36%). The latter two species probably received sympagic carbon through heterotrophic prey, a hitherto overlooked source of sympagic carbon for pelagic species. Euphausiids collected close to the surface indicated a higher importance of sympagic carbon to their carbon budget compared to individuals caught at greater depths. Our results imply that, in the southern Weddell Sea, ice algae play a significant, but possibly not critical role as a carbon source for the three euphausiids during summer. Their ability to utilize carbon of different origins implies a certain resilience to environmental change during summer. The winter period, however, remains the critical bottle neck of survival when Antarctic sea ice declines, because during this season of minimal pelagic productivity, ice algae standing stocks constitute the only dependable carbon source.</t>
  </si>
  <si>
    <t>[Kohlbach, Doreen; Langel, Benjamin Allen; Graeve, Martin; Vortkamp, Martina; Flores, Hauke] Alfred Wegener Inst, Helmholtz Ctr Polar &amp; Marine, Handelshafen 12, D-27570 Bremerhaven, Germany; [Kohlbach, Doreen; Langel, Benjamin Allen; Flores, Hauke] Univ Hamburg, Ctr Nat Hist CeNak, Zool Museum, Martin Luther King Pl 3, D-20146 Hamburg, Germany; [Kohlbach, Doreen; Langel, Benjamin Allen] Fisheries &amp; Oceans Canada, Freshwater Inst, 501 Univ Crescent, Winnipeg, MB R3T 2N6, Canada</t>
  </si>
  <si>
    <t>Helmholtz Association; Alfred Wegener Institute, Helmholtz Centre for Polar &amp; Marine Research; University of Hamburg; Fisheries &amp; Oceans Canada</t>
  </si>
  <si>
    <t>Kohlbach, D (corresponding author), Alfred Wegener Inst, Helmholtz Ctr Polar &amp; Marine, Handelshafen 12, D-27570 Bremerhaven, Germany.;Kohlbach, D (corresponding author), Univ Hamburg, Ctr Nat Hist CeNak, Zool Museum, Martin Luther King Pl 3, D-20146 Hamburg, Germany.;Kohlbach, D (corresponding author), Fisheries &amp; Oceans Canada, Freshwater Inst, 501 Univ Crescent, Winnipeg, MB R3T 2N6, Canada.</t>
  </si>
  <si>
    <t>doreen.kohlbach@awi.de; benjamin.lange@awi.de; martin.graeve@awi.de; martina.vortkamp@awi.de; hauke.flores@awi.de</t>
  </si>
  <si>
    <t>Flores, Hauke/ABD-1888-2020; Lange, Benjamin/H-4733-2017; Graeve, Martin/B-5751-2017</t>
  </si>
  <si>
    <t>Flores, Hauke/0000-0003-1617-5449; Graeve, Martin/0000-0002-2294-1915; Kohlbach, Doreen/0000-0002-9245-2500</t>
  </si>
  <si>
    <t>Natural Sciences and Engineering Research Council of Canada (NSERC); NSERC Visiting Fellowship in Canadian Laboratories; Helmholtz Association Young Investigators Group Iceflux: Ice-ecosystem carbon flux in polar oceans [VH-NG-800]</t>
  </si>
  <si>
    <t>Natural Sciences and Engineering Research Council of Canada (NSERC)(Natural Sciences and Engineering Research Council of Canada (NSERC)); NSERC Visiting Fellowship in Canadian Laboratories; Helmholtz Association Young Investigators Group Iceflux: Ice-ecosystem carbon flux in polar oceans</t>
  </si>
  <si>
    <t>We thank the captain Stefan Schwarze and the crew of the RV 'Polarstern' expedition PS82 for their excellent support with work at sea. We thank Theresa Geissler, Julia Durschlag and Dieter Janssen for their help with the laboratory analyses at the Alfred Wegener Institute, Germany. Furthermore, we acknowledge the support of the Natural Sciences and Engineering Research Council of Canada (NSERC); Benjamin A. Lange: D. Kohlbach and B. A. Lange received a NSERC Visiting Fellowship in Canadian Laboratories. Comments and suggestions by two anonymous reviewers helped to improve the original version of the manuscript. This study is part of the Helmholtz Association Young Investigators Group Iceflux: Ice-ecosystem carbon flux in polar oceans (VH-NG-800).</t>
  </si>
  <si>
    <t>10.1007/s00227-019-3527-z</t>
  </si>
  <si>
    <t>HY5TX</t>
  </si>
  <si>
    <t>WOS:000468192200002</t>
  </si>
  <si>
    <t>Silva, TR; Tavares, RSN; Canela-Garayoa, R; Eras, J; Rodrigues, MVN; Neri-Numa, IA; Pastore, GM; Rosa, LH; Schultz, JAA; Debonsi, HM; Cordeiro, LRG; Oliveira, VM</t>
  </si>
  <si>
    <t>Silva, Tiago R.; Tavares, Renata S. N.; Canela-Garayoa, Ramon; Eras, Jordi; Rodrigues, Marili V. N.; Neri-Numa, Iramaia A.; Pastore, Glaucia M.; Rosa, Luiz H.; Schultz, Jose A. A.; Debonsi, Hosana M.; Cordeiro, Lorena R. G.; Oliveira, Valeria M.</t>
  </si>
  <si>
    <t>Chemical Characterization and Biotechnological Applicability of Pigments Isolated from Antarctic Bacteria</t>
  </si>
  <si>
    <t>MARINE BIOTECHNOLOGY</t>
  </si>
  <si>
    <t>Antarctic pigments; Psychrophilic bacteria; Arthrobacter; Zobellia; Antioxidant; Carotenoids</t>
  </si>
  <si>
    <t>BETA-CAROTENE; HALOBACTERIUM-SALINARIUM; ANTIOXIDANT CAPACITY; UV-FILTERS; PHOTOTOXICITY; IDENTIFICATION; METABOLITES; DIVERSITY; DNA; PHOTODEGRADATION</t>
  </si>
  <si>
    <t>Considering the global trend in the search for alternative natural compounds with antioxidant and sun protection factor (SPF) boosting properties, bacterial carotenoids represent an opportunity for exploring pigments of natural origin which possess high antioxidant activity, lower toxicity, no residues, and no environmental risk and are readily decomposable. In this work, three pigmented bacteria from the Antarctic continent, named Arthrobacter agilis 50cyt, Zobellia laminarie 465, and Arthrobacter psychrochitiniphilus 366, were able to withstand UV-B and UV-C radiation. The pigments were extracted and tested for UV absorption, antioxidant capacity, photostability, and phototoxicity profile in murine fibroblasts (3T3 NRU PT-OECD TG 432) to evaluate their further potential use as UV filters. Furthermore, the pigments were identified by ultra-high-performance liquid chromatography-photodiode array detector-mass spectrometry (UPLC-PDA-MS/MS). The results showed that all pigments presented a very high antioxidant activity and good stability under exposure to UV light. However, except for a fraction of the A. agilis 50cyt pigment, they were shown to be phototoxic. A total of 18 different carotenoids were identified from 23 that were separated on a C18 column. The C50 carotenes bacterioruberin and decaprenoxanthin (including its variations) were confirmed for A. agilis 50cyt and A. psychrochitiniphilus 366, respectively. All-trans-bacterioruberin was identified as the pigment that did not express phototoxic activity in the 3T3 NRU PT assay (MPE &lt;0.1). Zeaxanthin, -cryptoxanthin, -carotene, and phytoene were detected in Z. laminarie 465. In conclusion, carotenoids identified in this work from Antarctic bacteria open perspectives for their further biotechnological application towards a more sustainable and environmentally friendly way of pigment exploitation.</t>
  </si>
  <si>
    <t>[Silva, Tiago R.] Campinas State Univ UNICAMP, Inst Biol, POB 6109, Campinas, SP, Brazil; [Silva, Tiago R.; Oliveira, Valeria M.] Univ Estadual Campinas, Chem Biol &amp; Agr Pluridisciplinary Res Ctr CPQBA, Div Microbial Resources, Campinas, SP, Brazil; [Tavares, Renata S. N.; Debonsi, Hosana M.; Cordeiro, Lorena R. G.] Univ Sao Paulo, Sch Pharmaceut Sci Ribeirao Preto, Sao Paulo, SP, Brazil; [Canela-Garayoa, Ramon; Eras, Jordi] Univ Lleida, Dept Chem, ETSEA, Agrotecnio Ctr, Lleicla, Spain; [Rodrigues, Marili V. N.] Univ Estadual Campinas, Dept Organ Chem, Campinas, SP, Brazil; [Rodrigues, Marili V. N.] Univ Estadual Campinas, Chem Biol &amp; Agr Pluridisciplinary Res Ctr CPQBA, Campinas, SP, Brazil; [Neri-Numa, Iramaia A.; Pastore, Glaucia M.] Univ Estadual Campinas, Sch Food Engn, Dept Food Sci, UNICAMP, Campinas, SP, Brazil; [Rosa, Luiz H.] Univ Fed Minas Gerais, Inst Biol Sci, Dept Microbiol, Belo Horizonte, MG, Brazil; [Schultz, Jose A. A.] Telcel, Dept Data Sci, Mexico City, DF, Mexico</t>
  </si>
  <si>
    <t>Universidade Estadual de Campinas; Universidade de Sao Paulo; Universidade Estadual de Campinas; Universidade de Sao Paulo; Universitat de Lleida; Universidade Estadual de Campinas; Universidade Estadual de Campinas; Universidade Estadual de Campinas; Universidade Federal de Minas Gerais</t>
  </si>
  <si>
    <t>Silva, TR (corresponding author), Campinas State Univ UNICAMP, Inst Biol, POB 6109, Campinas, SP, Brazil.;Silva, TR (corresponding author), Univ Estadual Campinas, Chem Biol &amp; Agr Pluridisciplinary Res Ctr CPQBA, Div Microbial Resources, Campinas, SP, Brazil.</t>
  </si>
  <si>
    <t>tiago04@gmail.com</t>
  </si>
  <si>
    <t>Rodrigues, Marili V N/G-7593-2012; Debonsi, Hosana M/C-6120-2012; Cordeiro, Lorena Gaspar/AAR-1504-2020; Oliveira, Valéria Maia/L-2422-2014; Canela-Garayoa, Ramon/T-9811-2019; Silva, Tiago R/I-1326-2017; Fapesp, Biota/F-8655-2017; Numa, Iramaia Angelica Neri/T-7472-2019; Spagolla Napoleão Tavares, Renata/GWZ-4955-2022; Eras, Jordi/C-4841-2011</t>
  </si>
  <si>
    <t>Cordeiro, Lorena Gaspar/0000-0002-1550-3036; Oliveira, Valéria Maia/0000-0001-8817-4758; Silva, Tiago R/0000-0002-2269-9321; Fapesp, Biota/0000-0002-9887-8449; Numa, Iramaia Angelica Neri/0000-0002-2151-417X; Spagolla Napoleao Tavares, Renata/0000-0002-8491-2319; Rodrigues, Marili Villa Nova/0000-0002-9152-172X; Eras, Jordi/0000-0001-8022-2540</t>
  </si>
  <si>
    <t>Sao Paulo Research Foundation-FAPESP [2014/17936-1, 2016/05640-6, 2017/21790-0]</t>
  </si>
  <si>
    <t>Sao Paulo Research Foundation-FAPESP(Fundacao de Amparo a Pesquisa do Estado de Sao Paulo (FAPESP))</t>
  </si>
  <si>
    <t>This study was funded by the Sao Paulo Research Foundation-FAPESP (grant numbers 2014/17936-1, 2016/05640-6, and 2017/21790-0).</t>
  </si>
  <si>
    <t>1436-2228</t>
  </si>
  <si>
    <t>1436-2236</t>
  </si>
  <si>
    <t>MAR BIOTECHNOL</t>
  </si>
  <si>
    <t>Mar. Biotechnol.</t>
  </si>
  <si>
    <t>10.1007/s10126-019-09892-z</t>
  </si>
  <si>
    <t>HY6KQ</t>
  </si>
  <si>
    <t>WOS:000468239600011</t>
  </si>
  <si>
    <t>Benda, D; Nakase, Y; Straka, J</t>
  </si>
  <si>
    <t>Benda, Daniel; Nakase, Yuta; Straka, Jakub</t>
  </si>
  <si>
    <t>Frozen Antarctic path for dispersal initiated parallel host-parasite evolution on different continents</t>
  </si>
  <si>
    <t>Historical biogeography; Host specialization; Palaeoclimatology; Parasites; Xenidae; Antarctica</t>
  </si>
  <si>
    <t>EXONEURINE ALLODAPINE BEES; GEOGRAPHIC RANGE; SEX-PHEROMONE; STREPSIPTERA; BIOGEOGRAPHY; HYMENOPTERA; DIVERSIFICATION; GONDWANA; SEQUENCE; PLANT</t>
  </si>
  <si>
    <t>After the break-up of Gondwana dispersal of organisms between America, Australia and Africa became more complicated. One of the possible remaining paths led through Antarctica, that was not yet glaciated and it remained habitable for many organisms. This favourable climate made Antarctica an important migration corridor for organisms with good dispersal ability, such as Aculeata (Hymenoptera), fill the Oligocene cooling. Here we tested how cooling of Antarctica impacted global dispersal of Aculeata parasites (Strepsiptera: Xenidae). Our data set comprising six nuclear genes from a broad sample of Xenidae. Bayesian dating was used to estimate divergence times in phylogenetic reconstruction. Biogeography was investigated using event-based analytical methods: likelihood-based dispersal-extinction-cladogenesis and Bayesian models. The Bayesian model was used for reconstruction of ancestral host groups. Biogeographical methods indicate that multiple lineages were exchanged between the New World and the Old World + Australia until the Antarctica became completely frozen over. During the late Paleogene and Neogene periods, several lineages spread from the Afrotropics to other Old World regions and Australia. The original hosts of Xenidae were most likely social wasps. Within one lineage of solitary wasp parasites, parallel switch to digger wasps (Sphecidae) occurred independently in the New World and Old World regions. The biogeography and macroevolutionary history of Xenidae can be explained by the combination of dispersal, lineage extinction and climatic changes during the Cenozoic era. A habitable Antarctica and the presence of now-submerged islands and plateaus that acted as a connection between the New World and Old World + Australia provided the possibility for biotic exchanges of parasites along with their hymenopteran hosts. Although Xenidae are generally host specialists, there were significant host switches to unrelated but ecologically similar hosts during their evolution. There is little or no evidence for cophylogeny between strepsipteran parasites and hymenopteran lineages.</t>
  </si>
  <si>
    <t>[Benda, Daniel; Straka, Jakub] Charles Univ Prague, Dept Zool, Fac Sci, Prague, Czech Republic; [Nakase, Yuta] Shinshu Univ, Dept Biol, Fac Sci, Matsumoto, Nagano, Japan</t>
  </si>
  <si>
    <t>Charles University Prague; Shinshu University</t>
  </si>
  <si>
    <t>Straka, J (corresponding author), Charles Univ Prague, Dept Zool, Fac Sci, Prague, Czech Republic.</t>
  </si>
  <si>
    <t>jakub.straka@aculeataresearch.com</t>
  </si>
  <si>
    <t>Straka, Jakub/A-7215-2012; Benda, Daniel/KFS-4609-2024; Benda, Daniel/R-9076-2017</t>
  </si>
  <si>
    <t>Benda, Daniel/0000-0002-5729-0411</t>
  </si>
  <si>
    <t>Grant Agency of Charles University [392115]; SVV (Specific University Research) [260434/2018]</t>
  </si>
  <si>
    <t>Grant Agency of Charles University; SVV (Specific University Research)</t>
  </si>
  <si>
    <t>We thank all of the people who helped with material acquisition, namely Jiri Halada, Marek Halada, Pavel Tyrner, Marie Kadlecova, Jan Batelka, Lubomir Masner, Sam Droege, Kei Matsubayasi, and Naoki Ogawa. We also thank Rachel Kolisko for language proofreeding of the text and the anonymous referees for their comments on the work. This project was supported by the Grant Agency of Charles University, project no. 392115 and the SVV (Specific University Research) project no. 260434/2018.</t>
  </si>
  <si>
    <t>10.1016/j.ympev.2019.02.023</t>
  </si>
  <si>
    <t>HV4VM</t>
  </si>
  <si>
    <t>WOS:000465983800007</t>
  </si>
  <si>
    <t>Cabrera, AA; Hoekendijk, JPA; Aguilar, A; Barco, SG; Berrow, S; Bloch, D; Borrell, A; Cunha, HA; Dalla Rosa, L; Dias, CP; Gauffier, P; Hao, WS; Landry, S; Larsen, F; Martín, V; Mizroch, S; Oosting, T; Oien, N; Pampoulie, C; Panigada, S; Prieto, R; Ramp, C; Rivera-Léon, V; Robbins, J; Ryan, C; Schall, E; Sears, R; Silva, MA; Urbán, J; Wenzel, FW; Palsboll, PJ; Bérubé, M</t>
  </si>
  <si>
    <t>Cabrera, Andrea A.; Hoekendijk, Jeroen P. A.; Aguilar, Alex; Barco, Susan G.; Berrow, Simon; Bloch, Dorete; Borrell, Asuncion; Cunha, Haydee A.; Dalla Rosa, Luciano; Dias, Carolina P.; Gauffier, Pauline; Hao, Wensi; Landry, Scott; Larsen, Finn; Martin, Vidal; Mizroch, Sally; Oosting, Tom; Oien, Nils; Pampoulie, Christophe; Panigada, Simone; Prieto, Rui; Ramp, Christian; Rivera-Leon, Vania; Robbins, Jooke; Ryan, Conor; Schall, Elena; Sears, Richard; Silva, Monica A.; Urban, Jorge; Wenzel, Frederick W.; Palsboll, Per J.; Berube, Martine</t>
  </si>
  <si>
    <t>Fin whale (Balaenoptera physalus) mitogenomics: A cautionary tale of defining sub-species from mitochondrial sequence monophyly</t>
  </si>
  <si>
    <t>Fin whale; Balaenoptera physalus; North Atlantic Ocean; Subspecies; Mitochondrial genome</t>
  </si>
  <si>
    <t>MAXIMUM-LIKELIHOOD-ESTIMATION; MICROSATELLITE LOCI; HUMPBACK WHALE; NORTH-ATLANTIC; SPECIES DELIMITATION; MEDITERRANEAN SEA; POPULATION SIZES; MIGRATION RATES; GENE TREES; DNA</t>
  </si>
  <si>
    <t>The advent of massive parallel sequencing technologies has resulted in an increase of studies based upon complete mitochondrial genome DNA sequences that revisit the taxonomic status within and among species. Spatially distinct monophyly in such mitogenomic genealogies, i.e., the sharing of a recent common ancestor among con-specific samples collected in the same region has been viewed as evidence for subspecies. Several recent studies in cetaceans have employed this criterion to suggest subsequent intraspecific taxonomic revisions. We reason that employing intra-specific, spatially distinct monophyly at non-recombining, clonally inherited genomes is an unsatisfactory criterion for defining subspecies based upon theoretical (genetic drift) and practical (sampling effort) arguments. This point was illustrated by a re-analysis of a global mitogenomic assessment of fin whales, Balaenoptera physalus spp., published by Archer a al. (2013), which proposed to further subdivide the Northern Hemisphere fin whale subspecies, B. p. physalus. The proposed revision was based upon the detection of spatially distinct monophyly among North Atlantic and North Pacific fin whales in a genealogy based upon complete mitochondrial genome DNA sequences. The extended analysis conducted in this study (1676 mitochondrial control region, 162 complete mitochondrial genome DNA sequences and 20 microsatellite loci genotyped in 380 samples) revealed that the apparent monophyly among North Atlantic fin whales reported by Archer a al. (2013) to be due to low sample sizes. In conclusion, defining sub-species from monophyly (i.e., the absence of para- or polyphyly) can lead to erroneous conclusions due to relatively trivial aspects, such as sampling. Basic population genetic processes (i.e., genetic drift and migration) also affect the time to the most recent common ancestor and hence the probability that individuals in a sample are monophyletic.</t>
  </si>
  <si>
    <t>[Cabrera, Andrea A.; Hoekendijk, Jeroen P. A.; Hao, Wensi; Oosting, Tom; Rivera-Leon, Vania; Schall, Elena; Palsboll, Per J.; Berube, Martine] Univ Groningen, Groningen Inst Evolutionary Life Sci, Marine Evolut &amp; Conservat, Nijenborgh 7, NL-9747 AG Groningen, Netherlands; [Aguilar, Alex; Borrell, Asuncion] Univ Barcelona, Fac Biol, Dept Evolutionary Biol Ecol &amp; Environm Sci, Diagonal 643, E-08028 Barcelona, Spain; [Aguilar, Alex; Borrell, Asuncion] Univ Barcelona, Fac Biol, Inst Biodivers Res IRbio, Diagonal 643, E-08028 Barcelona, Spain; [Barco, Susan G.] Virginia Aquarium &amp; Marine Sci Ctr Fdn, 717 Gen Booth Blvd, Virginia Beach, VA 23451 USA; [Berrow, Simon; Ryan, Conor] Galway Mayo Inst Technol, Marine &amp; Freshwater Res Ctr, Galway, Ireland; [Berrow, Simon; Ryan, Conor] Merchants Quay, Irish Whale &amp; Dolphin Grp, Kilrush V15 E762, County Clare, Ireland; [Bloch, Dorete; Ryan, Conor] Museum Natl Hist, FO-100 Torshavn, Denmark; [Cunha, Haydee A.] Univ Estado Rio de Janeiro, Fac Oceanog, Lab Mamiferos Aquat &amp; Bioindicadores, Rua Sao Francisco Xavier 524, BR-20550013 Rio De Janeiro, RJ, Brazil; [Dalla Rosa, Luciano; Dias, Carolina P.] Univ Fed Rio Grande, Inst Oceanog, Lab Ecol &amp; Conservacao Megafauna Marinha, Ave Italia Km 8,Campus Carreiros, BR-96203000 Rio Grande, RS, Brazil; [Gauffier, Pauline] Conservat Informat &amp; Res Cetaceans, Cabeza Manzaneda 3, Cadiz 11390, Spain; [Landry, Scott; Robbins, Jooke; Palsboll, Per J.; Berube, Martine] Ctr Coastal Studies, 5 Holway Ave, Provincetown, MA 02657 USA; [Larsen, Finn] Greenland Inst Nat Resources, Box 570, Nuuk 3900, Greenland; [Larsen, Finn] Tech Univ Denmark, Inst Aquat Resources, DK-2800 Lyngby, Denmark; [Martin, Vidal] Soc Study Cetaceans Canary Archipelago, Ave Coll 6, Arrecife De 35500, Lanzarote Islas, Spain; [Mizroch, Sally] NOAA, Natl Marine Mammal Lab, Alaska Fisheries Sci Ctr, 7600 Sand Point Way NE, Seattle, WA 98115 USA; [Oien, Nils] Inst Marine Res, Marine Mammals Res Grp, C Sundtsgate 64,POB 1870 Nordnes, N-5817 Bergen, Norway; [Pampoulie, Christophe] Marine &amp; Freshwater Res Inst, Skulagata 4, IS-121 Reykjavik, Iceland; [Panigada, Simone] Acquario Civ, Tethys Res Inst, Viale GB Gadio 2, I-20121 Milan, Italy; [Prieto, Rui; Silva, Monica A.] Marine &amp; Environm Sci Ctr, R Frederico Machado 4, P-9901862 Horta, Portugal; [Prieto, Rui; Silva, Monica A.] Univ Azores, Ctr Inst Marine Res, R Frederico Machado 4, P-9901862 Horta, Portugal; [Ramp, Christian; Sears, Richard] Mingan Isl Cetacean Study Inc, 285 Green St, St Lambert, PQ J4P 1T3, Canada; Marine Conservat Res Int, Song Whale Res Team, 94 High St, Kelvedon CO5 9AA, Essex, England; [Silva, Monica A.] Woods Hole Oceanog Inst, Dept Biol, Woods Hole, MA 02543 USA; [Urban, Jorge] Univ Autonoma Baja California Sur, Dept Ciencias Marinas &amp; Costeras, La Paz 23080, Bcs, Mexico; [Wenzel, Frederick W.] NOAA, Woods Hole MA Lab, Northeast Fisheries Sci Ctr, NMFS, 166 Water St, Woods Hole, MA 02543 USA; [Hoekendijk, Jeroen P. A.] NIOZ Royal Netherlands Inst Sea Res, Dept Coastal Syst COS, POB 59, NL-1790 AB Den Burg, Netherlands; [Hoekendijk, Jeroen P. A.] Univ Utrecht, POB 59, NL-1790 AB Den Burg, Netherlands; [Mizroch, Sally] Blue Sea Res, POB 15805, Seattle, WA 98115 USA</t>
  </si>
  <si>
    <t>University of Groningen; University of Barcelona; University of Barcelona; Atlantic Technological University (ATU); Universidade do Estado do Rio de Janeiro; Universidade Federal do Rio Grande; Greenland Institute of Natural Resources; Technical University of Denmark; National Oceanic Atmospheric Admin (NOAA) - USA; Institute of Marine Research - Norway; Marine &amp; Freshwater Research Institute (MFRI); Universidade dos Acores; Woods Hole Oceanographic Institution; Universidad Autonoma de Baja California; National Oceanic Atmospheric Admin (NOAA) - USA; Utrecht University; Royal Netherlands Institute for Sea Research (NIOZ); Utrecht University</t>
  </si>
  <si>
    <t>Cabrera, AA (corresponding author), Univ Groningen, Groningen Inst Evolutionary Life Sci, Marine Evolut &amp; Conservat, Nijenborgh 7, NL-9747 AG Groningen, Netherlands.</t>
  </si>
  <si>
    <t>andrea_ca_gt@yahoo.com; palsboll@gmail.com; m.berube@rug.nl</t>
  </si>
  <si>
    <t>Martin, Vidal/GLR-0396-2022; Berube, Martine/IWU-4585-2023; Gauffier, Pauline/W-8148-2019; Vivia, Ariel/JAO-4693-2023; Gauffier, Pauline/M-3952-2014; Borrell, Asunción/B-8257-2009; Cunha, Haydee A/O-1940-2017; Palsboll, Per J/G-6988-2011; Cabrera, Andrea A./E-8130-2013; Silva, Mónica/D-1893-2012; R., Jorge Urbán/J-8126-2019; Aguilar, Alex/L-1283-2014; Rosa, Luciano Dalla/D-5660-2012; Prieto, Rui/G-8286-2011</t>
  </si>
  <si>
    <t>Gauffier, Pauline/0000-0003-2984-6993; Gauffier, Pauline/0000-0003-2984-6993; Borrell, Asunción/0000-0002-6714-0724; Cunha, Haydee A/0000-0002-8554-0238; Cabrera, Andrea A./0000-0001-5385-1114; Silva, Mónica/0000-0002-2683-309X; R., Jorge Urbán/0000-0003-1423-8573; Aguilar, Alex/0000-0002-5751-2512; Rosa, Luciano Dalla/0000-0002-1583-6471; Prieto, Rui/0000-0002-0354-2572; Larsen, Finn/0000-0001-6498-9012; Berube, Martine/0000-0002-1831-2657; Oosting, Tom/0000-0002-7031-0747; Robbins, Jooke/0000-0002-6382-722X; Ryan, Conor/0000-0002-3654-7345; Ramp, Christian/0000-0001-5528-1733</t>
  </si>
  <si>
    <t>Brazilian Antarctic Program [557064/2009-0, 408096/2013-6, 407889/2013-2, 574018/2008-5]; FCT - POPH; QREN European Social Fund; Portuguese Ministry for Science and Education [IF/00943/2013]; FCT [SFRH/BPD/108007/2015, UID/MAR/04292/2019]; FEDER [TRACE-PTDC/MAR/74071/2006, MAPCET-M2.1.2/F/012/2011]; COMPETE; Proconvergencia Acores/EU Program; University of Groningen; Consejo Nacional de Ciencia y Tecnologia (CONACYT); Fundação para a Ciência e a Tecnologia [SFRH/BPD/108007/2015] Funding Source: FCT</t>
  </si>
  <si>
    <t>Brazilian Antarctic Program; FCT - POPH(Fundacao para a Ciencia e a Tecnologia (FCT)); QREN European Social Fund; Portuguese Ministry for Science and Education(Fundacao para a Ciencia e a Tecnologia (FCT)); FCT(Fundacao para a Ciencia e a Tecnologia (FCT)); FEDER(European Union (EU)Spanish Government); COMPETE; Proconvergencia Acores/EU Program; University of Groningen; Consejo Nacional de Ciencia y Tecnologia (CONACYT)(Consejo Nacional de Ciencia y Tecnologia (CONACyT)); Fundação para a Ciência e a Tecnologia(Fundacao para a Ciencia e a Tecnologia (FCT))</t>
  </si>
  <si>
    <t>We are grateful to Hanne Jorgensen, Anna Sellas, Mary Beth Rew and Christina Faerch-Jensen for technical assistance. We thank Drs. P. E. Rosel and K. D. Mullin (U.S. National Marine Fisheries Service Southeast Fisheries Science Center) and members of the U.S. Northeast and Southeast Region Marine Mammal Stranding Network and its response teams, including the International Fund for Animal Welfare, the Marine Mammal Stranding Center, Mystic Aquarium, the Riverhead Foundation for Marine Research and Preservation (K. Durham) and the Marine Mammal Stranding Program of the University of North Carolina Wilmington for access to fin whale samples from the western North Atlantic. We thank Gisli Vikingsson for providing samples. We are indebted to Dr. Eduardo Secchi for facilitating data sharing. Data collection in the Southern Ocean was conducted under research projects Baleias (CNPq grants 557064/2009-0 and 408096/2013-6), INTERBIOTA (CNPq 407889/2013-2) and INCT-APA (CNPq 574018/2008-5), of the Brazilian Antarctic Program and a contribution by the research consortium 'Ecology and Conservation of Marine Megafauna - EcoMega-CNPq'. MAS was supported through a FCT Investigator contract funded by POPH, QREN European Social Fund, and Portuguese Ministry for Science and Education (IF/00943/2013). RP was supported by an FCT postdoctoral grant (SFRH/BPD/108007/2015). We acknowledge funds provided by FCT to MARE, through the strategic project UID/MAR/04292/2019. Data collection in the Azores was funded by TRACE-PTDC/MAR/74071/2006 and MAPCET-M2.1.2/F/012/2011 [FEDER, COMPETE, QREN European Social Fund, and Proconvergencia Acores/EU Program]. AAC was supported by University of Groningen. VR-L was funded by Consejo Nacional de Ciencia y Tecnologia (CONACYT). Fin whale illustration herein is used with the permission of Frederique Lucas. We acknowledge the Center for Information Technology of the University of Groningen for IT support and access to the Peregrine high performance-computing cluster.</t>
  </si>
  <si>
    <t>10.1016/j.ympev.2019.02.003</t>
  </si>
  <si>
    <t>Green Accepted, Green Submitted, Green Published, hybrid</t>
  </si>
  <si>
    <t>WOS:000465983800009</t>
  </si>
  <si>
    <t>Koschny, D; Soja, RH; Engrand, C; Flynn, GJ; Lasue, J; Levasseur-Regourd, AC; Malaspina, D; Nakamura, T; Poppe, AR; Sterken, VJ; Trigo-Rodríguez, JM</t>
  </si>
  <si>
    <t>Koschny, Detlef; Soja, Rachel H.; Engrand, Cecile; Flynn, George J.; Lasue, Jeremie; Levasseur-Regourd, Anny-Chantal; Malaspina, David; Nakamura, Tomoki; Poppe, Andrew R.; Sterken, Veerle J.; Trigo-Rodriguez, Josep M.</t>
  </si>
  <si>
    <t>Interplanetary Dust, Meteoroids, Meteors and Meteorites</t>
  </si>
  <si>
    <t>SPACE SCIENCE REVIEWS</t>
  </si>
  <si>
    <t>Interplanetary dust; Meteors; Meteorites; Zodiacal light; Dynamics; Formation; Evolution</t>
  </si>
  <si>
    <t>KUIPER-BELT DUST; ZODIACAL LIGHT PHOTOPOLARIMETRY; SOLAR-SYSTEM DUST; COMET 81P/WILD 2; ULTRACARBONACEOUS ANTARCTIC MICROMETEORITES; OXYGEN ISOTOPIC COMPOSITIONS; ORBITING ARGOS SPACECRAFT; MASS-DISTRIBUTION INDEXES; SPADUS INSTRUMENT ABOARD; MOLECULAR-CLOUD MATERIAL</t>
  </si>
  <si>
    <t>Interplanetary dust particles and meteoroids mostly originate from comets and asteroids. Understanding their distribution in the Solar system, their dynamical behavior and their properties, sheds light on the current state and the dynamical behavior of the Solar system. Dust particles can endanger Earth-orbiting satellites and deep-space probes, and a good understanding of the spatial density and velocity distribution of dust and meteoroids in the Solar system is important for designing proper spacecraft shielding. The study of interplanetary dust and meteoroids provides clues to the formation of the Solar system. Particles having formed 4.5 billion years ago can survive planetary accretion and those that survived until now did not evolve significantly since then. Meteoroids and interplanetary dust can be observed by measuring the intensity and polarization of the zodiacal light, by observing meteors entering the Earth's atmosphere, by collecting them in the upper atmosphere, polar ices and snow, and by detecting them with in-situ detectors on space probes.</t>
  </si>
  <si>
    <t>[Koschny, Detlef] European Space Agcy, SCI S, Keplerlaan 1, NL-2200 AZ Noordwijk, Netherlands; [Koschny, Detlef] Tech Univ Munich, Lehrstuhl Raumfahrttech, Boltzmannstr 15, D-85748 Garching, Germany; [Soja, Rachel H.] Univ Stuttgart, Inst Raumfahrtsyst, Pfaffenwaldring 29, D-70049 Stuttgart, Germany; [Engrand, Cecile] Univ Paris Saclay, Univ Paris Sud, CSNSM CNRS, Batiment 104,Orsay Campus, F-91405 Orsay, France; [Flynn, George J.] SUNY Coll Plattsburgh, Dept Phys, 101 Broad St, Plattsburgh, NY 12901 USA; [Lasue, Jeremie] Univ Toulouse, CNRS, UPS, IRAP, 9 Ave Colonel Roche, F-31400 Toulouse, France; [Levasseur-Regourd, Anny-Chantal] Sorbonne Univ, CNRS, UVSQ, LATMOS, Campus Pierre &amp; Marie Curie,4 Pl Jussieu, F-75005 Paris, France; [Malaspina, David] Univ Colorado, Lab Atmospher &amp; Space Phys, 1234 Innovat Dr, Boulder, CO 80303 USA; [Nakamura, Tomoki] Tohoku Univ, Aoba Ku, Sendai, Miyagi 9808578, Japan; [Poppe, Andrew R.] Univ Calif Berkeley, Space Sci Lab, 7 Gauss Way, Berkeley, CA 94720 USA; [Sterken, Veerle J.] Univ Bern, Inst Appl Phys, Hochschulstr 4, CH-3012 Bern, Switzerland; [Sterken, Veerle J.] Univ Bern, Astron Inst, Hochschulstr 4, CH-3012 Bern, Switzerland; [Trigo-Rodriguez, Josep M.] Inst Space Sci CSIC IEEC, Campus UAB,C Can Magrans S-N, Catalonia 08193, Barcelona, Spain</t>
  </si>
  <si>
    <t>European Space Agency; Technical University of Munich; University of Stuttgart; Universite Paris Cite; Universite Paris Saclay; State University of New York (SUNY) System; SUNY Plattsburgh; Universite de Toulouse; Universite Toulouse III - Paul Sabatier; Centre National de la Recherche Scientifique (CNRS); Sorbonne Universite; Universite Paris Cite; Universite Paris Saclay; Centre National de la Recherche Scientifique (CNRS); University of Colorado System; University of Colorado Boulder; Tohoku University; University of California System; University of California Berkeley; University of Bern; University of Bern; Institut d'Estudis Espacials de Catalunya (IEEC); Autonomous University of Barcelona; Consejo Superior de Investigaciones Cientificas (CSIC); CSIC - Instituto de Ciencias del Espacio (ICE)</t>
  </si>
  <si>
    <t>Koschny, D (corresponding author), European Space Agcy, SCI S, Keplerlaan 1, NL-2200 AZ Noordwijk, Netherlands.;Koschny, D (corresponding author), Tech Univ Munich, Lehrstuhl Raumfahrttech, Boltzmannstr 15, D-85748 Garching, Germany.</t>
  </si>
  <si>
    <t>detlef.koschny@esa.int</t>
  </si>
  <si>
    <t>Trigo-Rodriguez, Josep M./ABF-5444-2020; Trigo-Rodríguez, Josep M./L-3870-2014; Nakamura, Tomoki/Y-8551-2018; Lasue, Jeremie/IZP-9673-2023; Sterken, Veerle/F-3371-2013</t>
  </si>
  <si>
    <t>Trigo-Rodríguez, Josep M./0000-0001-8417-702X; Lasue, Jeremie/0000-0001-9082-4457; Sterken, Veerle/0000-0003-0843-7912</t>
  </si>
  <si>
    <t>Spanish Ministry of Science and Innovation [AYA2015-67175-P]</t>
  </si>
  <si>
    <t>Spanish Ministry of Science and Innovation(Spanish Government)</t>
  </si>
  <si>
    <t>This paper was made possible by the International Space Science Institute, Bern, who brought the authors together for a whole week in 2016 and supported the meeting location and stay of the participants. All of the authors acknowledge their respective institutes and funding agencies for their support. In particular, JMTR thanks Spanish Ministry of Science and Innovation under research project AYA2015-67175-P. We acknowledge the hard work done by two referees whose comments were extremely valuable to improve this review.</t>
  </si>
  <si>
    <t>0038-6308</t>
  </si>
  <si>
    <t>1572-9672</t>
  </si>
  <si>
    <t>SPACE SCI REV</t>
  </si>
  <si>
    <t>Space Sci. Rev.</t>
  </si>
  <si>
    <t>10.1007/s11214-019-0597-7</t>
  </si>
  <si>
    <t>HZ1QQ</t>
  </si>
  <si>
    <t>WOS:000468623100002</t>
  </si>
  <si>
    <t>Li, X; Zattin, M; Olivetti, V</t>
  </si>
  <si>
    <t>Li, Xia; Zattin, Massimiliano; Olivetti, Valerio</t>
  </si>
  <si>
    <t>A detrital apatite fission-track study of the CIROS-2 sedimentary record: Tracing ice pathways in the Ross Sea area over the last 5 Ma</t>
  </si>
  <si>
    <t>TERRA NOVA</t>
  </si>
  <si>
    <t>16th International Conference on Thermochronology</t>
  </si>
  <si>
    <t>SEP, 2018</t>
  </si>
  <si>
    <t>Quedlinburg, GERMANY</t>
  </si>
  <si>
    <t>SOUTHERN VICTORIA LAND; DRY VALLEYS AREA; TRANSANTARCTIC MOUNTAINS; MCMURDO SOUND; LATE OLIGOCENE; DRILL CORE; ANTARCTICA; SHEET; UPLIFT; THERMOCHRONOLOGY</t>
  </si>
  <si>
    <t>The Ross Sea is a crucial area to investigate pathways of ice during the Cenozoic as it records the evolution of both the East and West Antarctic Ice Sheets. This work is based on detrital apatite fission track (AFT) data extracted from the sedimentary record of well CIROS-2, which spans the last 5 Ma. The AFT data show a large range of ages, and most of the grains fit well with two main components that fall between 24 and 42 Ma and between 43 and 70 Ma, whereas the other components are not regularly distributed through the well, thus indicating a mixture of provenance from different areas along the Transantarctic Mountains. As a whole, our work suggests glacial expansion over the McMurdo Sound during the Pliocene, and ice periodically invading and retreating in Pleistocene.</t>
  </si>
  <si>
    <t>[Li, Xia; Zattin, Massimiliano; Olivetti, Valerio] Univ Padua, Dept Geosci, Padua, Italy</t>
  </si>
  <si>
    <t>University of Padua</t>
  </si>
  <si>
    <t>Li, X (corresponding author), Univ Padua, Dept Geosci, Padua, Italy.</t>
  </si>
  <si>
    <t>xia.li@studenti.unipd.it</t>
  </si>
  <si>
    <t>olivetti, valerio/IAQ-1471-2023</t>
  </si>
  <si>
    <t>olivetti, valerio/0000-0001-8173-3860</t>
  </si>
  <si>
    <t>PNRA [PNRA16_00263]; China Scholarship Council (CSC) [201606410071]</t>
  </si>
  <si>
    <t>PNRA; China Scholarship Council (CSC)(China Scholarship Council)</t>
  </si>
  <si>
    <t>We thank M. Perotti for providing samples from CIROS-2 and S. Boesso for assistance in sample processing. We also thank A. Carter and an anonymous referee for careful reviews of the manuscript. This work was supported by PNRA (PNRA16_00263 coordinated by V. Olivetti) and China Scholarship Council (CSC) (no. 201606410071).</t>
  </si>
  <si>
    <t>0954-4879</t>
  </si>
  <si>
    <t>1365-3121</t>
  </si>
  <si>
    <t>Terr. Nova</t>
  </si>
  <si>
    <t>10.1111/ter.12396</t>
  </si>
  <si>
    <t>HY9OY</t>
  </si>
  <si>
    <t>WOS:000468472100012</t>
  </si>
  <si>
    <t>Bentley, MJ</t>
  </si>
  <si>
    <t>Bentley, Michael J.</t>
  </si>
  <si>
    <t>Moving to the bed</t>
  </si>
  <si>
    <t>ICE</t>
  </si>
  <si>
    <t>[Bentley, Michael J.] Univ Durham, Dept Geog, Durham, England</t>
  </si>
  <si>
    <t>Durham University</t>
  </si>
  <si>
    <t>Bentley, MJ (corresponding author), Univ Durham, Dept Geog, Durham, England.</t>
  </si>
  <si>
    <t>Bentley, Michael J/F-7386-2011</t>
  </si>
  <si>
    <t>Bentley, Michael J/0000-0002-2048-0019</t>
  </si>
  <si>
    <t>10.1017/S0954102019000233</t>
  </si>
  <si>
    <t>WOS:000471672400001</t>
  </si>
  <si>
    <t>Roohani, AM; Kenari, AA; Kapoorchali, MF; Borani, MS; Zorriehzahra, MJ; Smiley, AH; Esmaeili, M; Rombenso, AN</t>
  </si>
  <si>
    <t>Roohani, Arezoo Meshkat; Kenari, Abdolmohammad Abedian; Kapoorchali, Maryam Fallahi; Borani, Mohammad Sayad; Zorriehzahra, Mohammad Jalil; Smiley, Amir Hossein; Esmaeili, Mohammad; Rombenso, Artur Nishioka</t>
  </si>
  <si>
    <t>Effect of spirulina Spirulina platensis as a complementary ingredient to reduce dietary fish meal on the growth performance, whole-body composition, fatty acid and amino acid profiles, and pigmentation of Caspian brown trout (Salmo trutta caspius) juveniles</t>
  </si>
  <si>
    <t>amino acid; body pigmentation; Caspian brown trout; fish meal sparing; n-3 fatty acids; spirulina</t>
  </si>
  <si>
    <t>PROXIMATE COMPOSITION; CAROTENOID SOURCE; FEED SUPPLEMENT; LIPID-CONTENT; COMMON CARP; REPLACEMENT; TILAPIA; ASTAXANTHIN; MICROALGAE; KESSLER</t>
  </si>
  <si>
    <t>Spirulina has been highlighted as a valuable complementary ingredient in aquafeeds due to its high protein and vitamin content, in addition to other nutritional benefits. To evaluate the effect of dietary spirulina inclusion in fish meal sparing (FMS) on juvenile Caspian brown trout as a slow-growth fish, a complete randomized experimental design was developed with five treatments: 0% (control), 2% FMS (13.2 g/kg spirulina in diet), 4% FMS (26.4 g/kg spirulina in diet), 6% FMS (39.6 g/kg spirulina in diet) and 8% FMS (52.8 g/kg spirulina in diet). Six hundred juveniles (11.0 +/- 1.0 g) were assigned to 15 experimental tanks. Although this fish is sensitive to diet composition, fish fed the 6% FMS and 8% FMS diets had a significantly higher weight gain rate (239.51% and 231.27%) and specific growth rate (1.74% bw per day and 1.71% bw per day) compared with those fed the control diet. Furthermore, 6% FMS and 8% FMS treatments had statistically higher protein efficiency (0.76 and 0.78), lipid efficiency (1.89 and 1.94) and statistically lower feed conversion ratio (2.47 and 2.41) compared with other treatments, respectively (p &lt; 0.05). In terms of whole-body composition, the higher amount of protein and lower content of lipid were observed in fish fed the 8% FMS diets as compared to control. Although no significant differences in ash and moisture content were observed, the highest protein deposition (157.3 g/kg) and the lowest lipid content (77 g/kg) in whole body were reported in fish fed 8% FMS diet. Based on the fillet fatty acid outcome, fish fed the 8% FMS diet had significantly higher saturated fatty acids (SFAs), C20:3n-6, C18:3n-3, polyunsaturated fatty acids (PUFAs) and total n-3 fatty acids as compared to those fed the control diet (p &lt; 0.05). Accordingly, increasing dietary spirulina content significantly enhanced the amount of these fatty acids in fish fillet. As regards of whole-body amino acid profile, arginine and lysine in fish fed 6% FMS and 8% FMS diets were higher and lower than in those fed the control diet, respectively (p &lt; 0.05). Fillet and skin colour parameters, such as luminosity, redness and yellowness, significantly increased with spirulina supplementation with the 8% FMS treatment displaying higher values than the control. In summary, according to our results, 8% FMS (52.8 g/kg spirulina in diet) treatment improved juvenile Caspian brown trout growth, carcass composition and pigmentation.</t>
  </si>
  <si>
    <t>[Roohani, Arezoo Meshkat; Kapoorchali, Maryam Fallahi; Borani, Mohammad Sayad] AREEO, Iranian Fisheries Sci Res Inst, Inland Water Aquaculture Ctr, Bandar Anzali, Iran; [Kenari, Abdolmohammad Abedian; Smiley, Amir Hossein; Esmaeili, Mohammad] Tarbiat Modares Univ, Dept Aquaculture, Fac Nat Resources &amp; Marine Sci, Noor, Iran; [Zorriehzahra, Mohammad Jalil] AREEO, IFSRI, Dept Aquat Anim Hlth &amp; Dis, Tehran, Iran; [Esmaeili, Mohammad] Univ Tasmania, Inst Marine &amp; Antarctic Studies, Hobart, Tas, Australia; [Rombenso, Artur Nishioka] Univ Autonoma Baja California, Inst Invest Oceanol, Ensenada, Baja California, Mexico; [Rombenso, Artur Nishioka] Bribie Isl Res Ctr, CSIRO, Aquaculture Program, Agr &amp; Food, Bribie Isl, Qld, Australia</t>
  </si>
  <si>
    <t>Tarbiat Modares University; University of Tasmania; Universidad Autonoma de Baja California; Commonwealth Scientific &amp; Industrial Research Organisation (CSIRO)</t>
  </si>
  <si>
    <t>Kenari, AA (corresponding author), Tarbiat Modares Univ, Dept Aquaculture, Fac Nat Resources &amp; Marine Sci, Noor, Iran.</t>
  </si>
  <si>
    <t>aabedian@modares.ac.ir</t>
  </si>
  <si>
    <t>Abedian Kenari, Abdolmohammad/JWP-0761-2024; Zorriehzahra, Mohammad Jalil/S-2823-2016; Esmaeili, Noah/Q-4536-2019; Smiley, Amir Hossein/AAA-2935-2020; Rombenso, Artur/B-6978-2019</t>
  </si>
  <si>
    <t>Zorriehzahra, Mohammad Jalil/0000-0002-3223-0009; Esmaeili, Noah/0000-0001-8704-939X; Rombenso, Artur/0000-0002-4723-0888; Abedian Kenari, Abdolmohammad/0000-0003-3410-3908</t>
  </si>
  <si>
    <t>Iranian Fisheries Sciences Research Institute (Tehran, Iran)</t>
  </si>
  <si>
    <t>The authors wish to thank the Iranian Fisheries Sciences Research Institute (Tehran, Iran) for their financial support. Also, the authors would like to thank Aras Bazar Poultry Pharmaceutical Company and NIAC Multi-purpose Cooperative Company, for providing the authors with raw materials required and providing project location in this research.</t>
  </si>
  <si>
    <t>10.1111/anu.12885</t>
  </si>
  <si>
    <t>HV7UE</t>
  </si>
  <si>
    <t>WOS:000466185300009</t>
  </si>
  <si>
    <t>Milanese, FN; Olivero, EB; Raffi, ME; Franceschinis, PR; Gallo, LC; Skinner, SM; Mitchell, RN; Kirschvink, JL; Rapalini, AE</t>
  </si>
  <si>
    <t>Milanese, Florencia N.; Olivero, Eduardo B.; Raffi, Maria E.; Franceschinis, Pablo R.; Gallo, Leandro C.; Skinner, Steven M.; Mitchell, Ross N.; Kirschvink, Joseph L.; Rapalini, Augusto E.</t>
  </si>
  <si>
    <t>Mid Campanian-Lower Maastrichtian magnetostratigraphy of the James Ross Basin, Antarctica: Chronostratigraphical implications</t>
  </si>
  <si>
    <t>Antarctic Peninsula; Marambio group; palaeomagnetism; upper cretaceous</t>
  </si>
  <si>
    <t>CRETACEOUS STRATIGRAPHY; EXTINCTION PATTERNS; MARAMBIO GROUP; GUSTAV-GROUP; ISLAND; MAGNETIZATION; CONIACIAN; EVOLUTION; AMMONITES; MARINE</t>
  </si>
  <si>
    <t>The James Ross Basin, in the northern Antarctic Peninsula, exposes which is probably the world thickest and most complete Late Cretaceous sedimentary succession of southern high latitudes. Despite its very good exposures and varied and abundant fossil fauna, precise chronological determination of its infill is still lacking. We report results from a magnetostratigraphic study on shelfal sedimentary rocks of the Marambio Group, southeastern James Ross Basin, Antarctica. The succession studied covers a similar to 1,200 m-thick stratigraphic interval within the Hamilton Point, Sanctuary Cliffs and Karlsen Cliffs Members of the Snow Hill Island Formation, the Haslum Crag Formation, and the lower Lopez de Bertodano Formation. The basic chronological reference framework is given by ammonite assemblages, which indicate a Late Campanian - Early Maastrichtian age for the studied units. Magnetostratigraphic samples were obtained from five partial sections located on James Ross and Snow Hill islands, the results from which agree partially with this previous biostratigraphical framework. Seven geomagnetic polarity reversals are identified in this work, allowing to identify the Chron C32/C33 boundary in Ammonite Assemblage 8-1, confirming the Late Campanian age of the Hamilton Point Member. However, the identification of the Chron C32/C31 boundary in Ammonite Assemblage 8-2 assigns the base of the Sanctuary Cliffs Member to the early Maastrichtian, which differs from the Late Campanian age previously assigned by ammonite biostratigraphy. This magnetostratigraphy spans similar to 14 Ma of sedimentary succession and together with previous partial magnetostratigraphies on Early-Mid Campanian and Middle Maastrichtian to Danian columns permits a complete and continuous record of the Late Cretaceous distal deposits of the James Ross Basin. This provides the required chronological resolution to solve the intra-basin and global correlation problems of the Late Cretaceous in the Southern Hemisphere in general and in the Weddellian province in particular, given by endemism and diachronic extinctions on invertebrate fossils, including ammonites. The new chronostratigraphic scheme allowed us to calculate sediment accumulation rates for almost the entire Late Cretaceous infill of the distal James Ross Basin (the Marambio Group), showing a monotonous accumulation for more than 8 Myr during the upper Campanian and a dramatic increase during the early Maastrichtian, controlled by tectonic and/or eustatic causes.</t>
  </si>
  <si>
    <t>[Milanese, Florencia N.; Franceschinis, Pablo R.; Gallo, Leandro C.; Rapalini, Augusto E.] Univ Buenos Aires, IGEBA CONICET, Inst Geociencias Basicas Aplicadas &amp; Ambientales, Fac Ciencias Exactas &amp; Nat,Dept Cs Geol, Buenos Aires, DF, Argentina; [Olivero, Eduardo B.; Raffi, Maria E.] Consejo Nacl Invest Cient &amp; Tecn, CADIC, Ushuaia, Argentina; [Olivero, Eduardo B.; Raffi, Maria E.] Univ Nacl Tierra del Fuego, Inst Ciencias Polares Ambiente &amp; Recursos Nat, Ushuaia, Argentina; [Skinner, Steven M.] Calif State Univ Sacramento, Dept Geol, Sacramento, CA 95819 USA; [Mitchell, Ross N.; Kirschvink, Joseph L.] CALTECH, Div Geol &amp; Planetary Sci, Pasadena, CA 91125 USA; [Kirschvink, Joseph L.] Tokyo Inst Technol, Earth Life Sci Inst, Meguro Ku, Tokyo, Japan</t>
  </si>
  <si>
    <t>University of Buenos Aires; Consejo Nacional de Investigaciones Cientificas y Tecnicas (CONICET); California State University System; California State University Sacramento; California Institute of Technology; Tokyo Institute of Technology</t>
  </si>
  <si>
    <t>Milanese, FN (corresponding author), Univ Buenos Aires, IGEBA CONICET, Inst Geociencias Basicas Aplicadas &amp; Ambientales, Fac Ciencias Exactas &amp; Nat,Dept Cs Geol, Buenos Aires, DF, Argentina.</t>
  </si>
  <si>
    <t>fnmilanese@gl.fcen.uba.ar</t>
  </si>
  <si>
    <t>Kirschvink, Joseph L/U-5844-2017; Gallo, Leandro Cesar/ITU-9575-2023; Raffi, Eugenia/HTP-1654-2023</t>
  </si>
  <si>
    <t>Gallo, Leandro/0000-0002-8124-7536</t>
  </si>
  <si>
    <t>National Science Foundation, Office of Polar Programs [1341729]; UBACyT [20020130100465BA]; Agencia Nacional de Promocion Cientifica y Tecnologica [PICTO 2010-0114]; NSF Office of Polar Programs [1341729]; ANPCyT [PICTO 2010-0114]; Universidad de Buenos Aires [UBACyT 20020130100465BA]; Office of Polar Programs (OPP); Directorate For Geosciences [1341729] Funding Source: National Science Foundation</t>
  </si>
  <si>
    <t>National Science Foundation, Office of Polar Programs(National Science Foundation (NSF)NSF - Directorate for Geosciences (GEO)); UBACyT; Agencia Nacional de Promocion Cientifica y Tecnologica(ANPCyTSpanish Government); NSF Office of Polar Programs(National Science Foundation (NSF)); ANPCyT(ANPCyT); Universidad de Buenos Aires(University of Buenos Aires); Office of Polar Programs (OPP); Directorate For Geosciences(National Science Foundation (NSF)NSF - Directorate for Geosciences (GEO))</t>
  </si>
  <si>
    <t>National Science Foundation, Office of Polar Programs, Grant/Award Number: 1341729; UBACyT, Grant/Award Number: 20020130100465BA; Agencia Nacional de Promocion Cientifica y Tecnologica, Grant/Award Number: PICTO 2010-0114; NSF Office of Polar Programs, Grant/Award Number: 1341729; ANPCyT, Grant/Award Number: PICTO 2010-0114; Universidad de Buenos Aires, Grant/Award Number: UBACyT 20020130100465BA</t>
  </si>
  <si>
    <t>10.1111/bre.12334</t>
  </si>
  <si>
    <t>WOS:000467748500007</t>
  </si>
  <si>
    <t>Krause, DJ; Rogers, TL</t>
  </si>
  <si>
    <t>Krause, Douglas J.; Rogers, Tracey L.</t>
  </si>
  <si>
    <t>Food caching by a marine apex predator, the leopard seal (Hydrurga leptonyx)</t>
  </si>
  <si>
    <t>food hoarding; food storage; intraspecific competition; foraging behavior; pilferage; carnivore; leopard seal; Hydrurga leptonyx</t>
  </si>
  <si>
    <t>PRYDZ BAY; EVOLUTION; BEHAVIOR; ABUNDANCE; ISLAND; BIRDS; DIET; PREY</t>
  </si>
  <si>
    <t>The foraging behaviors of apex predators can fundamentally alter ecosystems through cascading predator-prey interactions. Food caching is a widely studied, taxonomically diverse behavior that can modify competitive relationships and affect population viability. We address predictions that food caching would not be observed in the marine environment by summarizing recent caching reports from two marine mammal and one marine reptile species. We also provide multiple caching observations from disparate locations for a fourth marine predator, the leopard seal (Hydrurga leptonyx (de Blainville, 1820)). Drawing from consistent patterns in the terrestrial literature, we suggest the unusual diversity of caching strategies observed in leopard seals is due to high variability in their polar marine habitat. We hypothesize that caching is present across the spectrum of leopard seal social dominance; however, prevalence is likely to increase in smaller, less-dominant animals that hoard to gain competitive advantage. Given the importance of this behavior, we draw attention to the high probability of observing food caching behavior in other marine species.</t>
  </si>
  <si>
    <t>[Krause, Douglas J.] NOAA Fisheries, Antarctic Ecosyst Res Div, Southwest Fisheries Sci Ctr, 8901 La Jolla Shores Dr, La Jolla, CA 92037 USA; [Rogers, Tracey L.] Univ New South Wales, Sch Biol Earth &amp; Environm Sci, Evolut &amp; Ecol Res Ctr, Sydney, NSW 2052, Australia</t>
  </si>
  <si>
    <t>National Oceanic Atmospheric Admin (NOAA) - USA; University of New South Wales Sydney</t>
  </si>
  <si>
    <t>Krause, DJ (corresponding author), NOAA Fisheries, Antarctic Ecosyst Res Div, Southwest Fisheries Sci Ctr, 8901 La Jolla Shores Dr, La Jolla, CA 92037 USA.</t>
  </si>
  <si>
    <t>douglas.krause@noaa.gov</t>
  </si>
  <si>
    <t>Krause, Douglas J./0000-0002-2517-3106; Rogers, Tracey/0000-0002-7141-4177</t>
  </si>
  <si>
    <t>US-AMLR Program</t>
  </si>
  <si>
    <t>This note was greatly improved by suggestions and comments from P.K. Dayton, R.L. Pitman, J. Forcada, and two anonymous reviewers. We are grateful to K.W. Pietrzak, M.L. Mudge, J.R. Wright, A.N. Cook, M.L. Zimmerman, M. Goh, T.W. Joyce, N. Pussini, D.O. Vejar, J.T. Hinke, K.J. Abernathy, G.J. Marshall, A.J. Kroeger, N. de Gracia, M. R. Klostermann, W.H. Archibald, W.M. Taylor, S.M. Woodman, J. Senzer, and the National Oceanic and Atmospheric Administration Antarctic Marine Living Resources (NOAA AMLR) Pinniped Program leader M.E. Goebel for their assistance in the field. The financial, infrastructure, and logistical support of the US-AMLR Program made this work possible. B. Cook, S. Farry, and C. McAtee made observations while supported by C-013 Palmer Long-Term Ecological Research (LTER) program, apex predator component, lead by W.R. Fraser. Leopard seal interactions and observations at Cape Shirreff were conducted in accordance with Marine Mammal Protection Act Permit No. 16472 granted by the Office of Protected Resources, National Marine Fisheries Service, the Antarctic Conservation Act Permit No. 2012-005, and the NOAA National Marine and Fisheries Service -Southwest Fisheries Science Center (NOAA NMFS-SWFSC) Institutional Animal Care and Use Committee Permit No. SWPI2011-02.</t>
  </si>
  <si>
    <t>10.1139/cjz-2018-0203</t>
  </si>
  <si>
    <t>IC7FC</t>
  </si>
  <si>
    <t>WOS:000471137500011</t>
  </si>
  <si>
    <t>Wauchope, HS; Fuller, RA; Shanahan, DF; Shaw, JD</t>
  </si>
  <si>
    <t>Wauchope, Hannah S.; Fuller, Richard A.; Shanahan, Danielle F.; Shaw, Justine D.</t>
  </si>
  <si>
    <t>Restoring islands and identifying source populations for introductions</t>
  </si>
  <si>
    <t>ERADICATION</t>
  </si>
  <si>
    <t>[Wauchope, Hannah S.; Fuller, Richard A.; Shanahan, Danielle F.; Shaw, Justine D.] Univ Queensland, Sch Biol Sci, St Lucia, Qld 4072, Australia; [Shanahan, Danielle F.] Zealandia Sanctuary, 31 Waiapu Rd, Karori 6012, New Zealand</t>
  </si>
  <si>
    <t>University of Queensland</t>
  </si>
  <si>
    <t>Shaw, JD (corresponding author), Univ Queensland, Sch Biol Sci, St Lucia, Qld 4072, Australia.</t>
  </si>
  <si>
    <t>j.shaw6@uq.edu.au</t>
  </si>
  <si>
    <t>Shanahan, Danielle F/F-8437-2013; Fuller, Richard/B-7971-2008</t>
  </si>
  <si>
    <t>Fuller, Richard/0000-0001-9468-9678; Shaw, Justine/0000-0002-9603-2271; Wauchope, Hannah/0000-0001-5370-4616</t>
  </si>
  <si>
    <t>Australian Government's National Environmental Science Program through the Threatened Species Recovery Hub; Australian Antarctic Science program [AAS 4305]</t>
  </si>
  <si>
    <t>Australian Government's National Environmental Science Program through the Threatened Species Recovery Hub(Australian Government); Australian Antarctic Science program</t>
  </si>
  <si>
    <t>We thank K. Helmstedt, A. Terauds, G. Taylor, G. Chambers, P. Seddon, L. Ortiz-Catedral, and B. I. Simmons for helpful discussion and M. Wauchope for analytical help. This study was supported by funding from the Australian Government's National Environmental Science Program through the Threatened Species Recovery Hub and the Australian Antarctic Science program (AAS 4305).</t>
  </si>
  <si>
    <t>10.1111/cobi.13224</t>
  </si>
  <si>
    <t>HX3XJ</t>
  </si>
  <si>
    <t>WOS:000467327300025</t>
  </si>
  <si>
    <t>Pfeifer, C; Barbosa, A; Mustafa, O; Peter, HU; Rümmler, MC; Brenning, A</t>
  </si>
  <si>
    <t>Pfeifer, Christian; Barbosa, Andres; Mustafa, Osama; Peter, Hans-Ulrich; Ruemmler, Marie-Charlott; Brenning, Alexander</t>
  </si>
  <si>
    <t>Using Fixed-Wing UAV for Detecting and Mapping the Distribution and Abundance of Penguins on the South Shetlands Islands, Antarctica</t>
  </si>
  <si>
    <t>DRONES</t>
  </si>
  <si>
    <t>Antarctica; birds; BVLOS; penguin; drone; fixed-wing UAV; monitoring; population change; Pygoscelis antarcticus; South Shetland Islands</t>
  </si>
  <si>
    <t>KING-GEORGE-ISLAND; PYGOSCELIS-ANTARCTICA; CHINSTRAP PENGUINS; BREEDING SITES; POPULATION; PENINSULA; COUNT; PHENOLOGY; COLONIES; SEABIRDS</t>
  </si>
  <si>
    <t>Antarctic marine ecosystems undergo enormous changes, presumably due to climate change and fishery. Unmanned aerial vehicles (UAVs) have an unprecedented potential for measuring these changes by mapping indicator species such as penguins even in remote areas. We used a battery-powered fixed-wing UAV to survey colonies along a 30-km stretch of the remote coast of southwest King George Island and northwest Nelson Island (South Shetland Islands, Antarctica) during the austral summer 2016/17. With multiple flights, we covered a total distance of 317 km. We determined the exact position of 14 chinstrap penguin colonies, including two small unknown colonies, with a total abundance of 35,604 adults. To model the number of occupied nests based on the number of adults counted in the UAV imagery we used data derived from terrestrial time-lapse imagery. The comparison with previous studies revealed a decline in the total abundance of occupied nests. However, we also found four chinstrap penguin colonies that have grown since the 1980s against the general trend on the South Shetland Islands. The results proved the suitability of the use of small and lightweight fixed-wing UAVs with electric engines for mapping penguin colonies in remote areas in the Antarctic.</t>
  </si>
  <si>
    <t>[Pfeifer, Christian; Mustafa, Osama; Ruemmler, Marie-Charlott] Thuringian Inst Sustainabil &amp; Climate Protect ThI, Leutragraben 1, D-07743 Jena, Germany; [Barbosa, Andres] CSIC, Nat Hist Museum, Dept Evolutionary Ecol, Jose Gutierrez Abascal 2, Madrid 28006, Spain; [Peter, Hans-Ulrich] Friedrich Schiller Univ Jena, Inst Ecol &amp; Evolut, Dornburger Str 159, D-07743 Jena, Germany; [Brenning, Alexander] Friedrich Schiller Univ Jena, Dept Geog, Lobdergraben 32, D-07743 Jena, Germany</t>
  </si>
  <si>
    <t>Consejo Superior de Investigaciones Cientificas (CSIC); Friedrich Schiller University of Jena; Friedrich Schiller University of Jena</t>
  </si>
  <si>
    <t>Pfeifer, C (corresponding author), Thuringian Inst Sustainabil &amp; Climate Protect ThI, Leutragraben 1, D-07743 Jena, Germany.</t>
  </si>
  <si>
    <t>christian.pfeifer@think-jena.de; barbosa@mncn.csic.es; osama.mustafa@think-jena.de; hans-ulrich.peter@uni-jena.de; marie-charlott.ruemmler@think-jena.de; alexander.brenning@uni-jena.de</t>
  </si>
  <si>
    <t>Brenning, Alexander/E-6022-2011</t>
  </si>
  <si>
    <t>Brenning, Alexander/0000-0001-6640-679X; Pfeifer, Christian/0000-0002-9003-5519; Mustafa, Osama/0000-0002-1548-0647</t>
  </si>
  <si>
    <t>German Federal Ministry for the Environment, Nature Conservation and Nuclear Safety [UFOPLAN 3716 18 201 0]; Spanish Research Agency [CTM2015-64720-R]; CCAMLR (Commission for the Conservation of Antarctic Marine Living Resources) Ecosystem Monitoring Program Special Fund</t>
  </si>
  <si>
    <t>German Federal Ministry for the Environment, Nature Conservation and Nuclear Safety; Spanish Research Agency(Spanish Government); CCAMLR (Commission for the Conservation of Antarctic Marine Living Resources) Ecosystem Monitoring Program Special Fund</t>
  </si>
  <si>
    <t>This research was commissioned by the German Federal Environment Agency and funded by the German Federal Ministry for the Environment, Nature Conservation and Nuclear Safety (UFOPLAN 3716 18 201 0). Data from Deception Island were obtained under the project CTM2015-64720-R funded by the Spanish Research Agency. The cameras at Deception Island were funded by the support of the CCAMLR (Commission for the Conservation of Antarctic Marine Living Resources) Ecosystem Monitoring Program Special Fund.</t>
  </si>
  <si>
    <t>2504-446X</t>
  </si>
  <si>
    <t>DRONES-BASEL</t>
  </si>
  <si>
    <t>Drones-Basel</t>
  </si>
  <si>
    <t>10.3390/drones3020039</t>
  </si>
  <si>
    <t>VK3PG</t>
  </si>
  <si>
    <t>WOS:000682821900009</t>
  </si>
  <si>
    <t>Carpenter-Kling, T; Handley, JM; Connan, M; Crawford, RJM; Makhado, AB; Dyer, BM; Froneman, W; Lamont, T; Wolfaardt, AC; Landman, M; Sigqala, M; Pistorius, PA</t>
  </si>
  <si>
    <t>Carpenter-Kling, T.; Handley, J. M.; Connan, M.; Crawford, R. J. M.; Makhado, A. B.; Dyer, B. M.; Froneman, W.; Lamont, T.; Wolfaardt, A. C.; Landman, M.; Sigqala, M.; Pistorius, P. A.</t>
  </si>
  <si>
    <t>Gentoo penguins as sentinels of climate change at the sub-Antarctic Prince Edward Archipelago, Southern Ocean</t>
  </si>
  <si>
    <t>Pygoscelis papua; Long term diet; Stomach content analysis; Western Indian ocean; Oceanography variability</t>
  </si>
  <si>
    <t>SHRIMP NAUTICARIS-MARIONIS; PYGOSCELIS-PAPUA; PHALACROCORAX-ATRICEPS; TEMPORAL VARIATION; FORAGING ECOLOGY; BREEDING GENTOO; DIET; ISLAND; POPULATION; DYNAMICS</t>
  </si>
  <si>
    <t>Some upper trophic level predators, such as marine mammals, seabirds and large predatory fish have been shown to be useful sentinels for marine ecosystems. Through their demography, diet and foraging behaviour, ecosystem changes associated with climate change can be monitored. The local marine ecosystem at the Prince Edward Archipelago in the Southern Indian Ocean is heavily influenced by the position of the dynamic sub-Antarctic front (SAF) that varies inter-annually in terms of its influence on the local environment. If the SAF migrates southwards, as climate change models have predicted, the abundance of autochthonous and allochthonous prey found within the vicinity of the archipelago will decrease and increase, respectively. We investigated the diet of an inshore forager at the archipelago, the gentoo penguin Pygoscelis papua, as a possible sentinel to the expected changes in the prey assemblages in local waters, due to the southward migration of the SAF. We collected stomach content samples from gentoo penguins, using the water off-loading technique, monthly over three years (1994-1996) and then annually during 2012, 2014 and 2015. Prey assemblages within the diet was found to coincide with the proximity of the SAF to the Prince Edward Archipelago as well as the annual life cycles of prey. Due to the plasticity these penguins exhibit in their diet and foraging behaviour, we suggest that they are important sentinel species for the local marine ecosystem of the Prince Edward Archipelago. Regular sample collection from these birds, albeit stomach content samples and/or tissues for stable isotope analysis, should be collected so that variability in the ecosystem can be easily monitored.</t>
  </si>
  <si>
    <t>[Carpenter-Kling, T.; Handley, J. M.; Connan, M.; Sigqala, M.; Pistorius, P. A.] Nelson Mandela Univ, Inst Coastal &amp; Marine Res, Marine Apex Predator Res Unit, ZA-6031 Port Elizabeth, South Africa; [Carpenter-Kling, T.; Connan, M.; Sigqala, M.; Pistorius, P. A.] Nelson Mandela Univ, Dept Zool, FitzPatrick Inst African Ornithol, DST NRF Ctr Excellence, ZA-6031 Port Elizabeth, South Africa; [Crawford, R. J. M.; Makhado, A. B.; Dyer, B. M.; Lamont, T.] Dept Environm Affairs, Oceans &amp; Coasts Res, Cape Town, South Africa; [Crawford, R. J. M.; Wolfaardt, A. C.] Univ Cape Town, Dept Biol Sci, Anim Demog Unit, Rondebosch, South Africa; [Landman, M.] Nelson Mandela Univ, Dept Zool, Ctr African Conservat Ecol, Port Elizabeth, South Africa; [Froneman, W.] Rhodes Univ, Dept Zool &amp; Entomol, Grahamstown, South Africa; [Lamont, T.] Univ Cape Town, Marine Res Inst, Rondebosch, South Africa; [Lamont, T.] Univ Cape Town, Dept Oceanog, Rondebosch, South Africa</t>
  </si>
  <si>
    <t>Nelson Mandela University; National Research Foundation - South Africa; Nelson Mandela University; Department of Environment, Forestry &amp; Fisheries; University of Cape Town; Nelson Mandela University; Rhodes University; University of Cape Town; University of Cape Town</t>
  </si>
  <si>
    <t>Carpenter-Kling, T (corresponding author), Nelson Mandela Univ, Dept Zool, POB 77000, ZA-6001 Port Elizabeth, South Africa.</t>
  </si>
  <si>
    <t>tegan.carpenterkling@gmail.com</t>
  </si>
  <si>
    <t>Connan, Maelle/A-8468-2008</t>
  </si>
  <si>
    <t>Connan, Maelle/0000-0002-1308-9118; Pistorius, Pierre/0000-0001-6561-7069; Handley, Jonathan/0000-0001-6468-338X; Lamont, Tarron/0000-0001-8464-891X; Carpenter-Kling, Tegan/0000-0001-8449-2409</t>
  </si>
  <si>
    <t>South Africa's National Research Foundation [SNA093071, SNA103359, SNA103388]</t>
  </si>
  <si>
    <t>South Africa's National Research Foundation(National Research Foundation - South Africa)</t>
  </si>
  <si>
    <t>Funding support for this project was provided by South Africa's National Research Foundation, grants were awarded to PAP, RJMC and ABM (grant numbers SNA093071, SNA103359 and SNA103388, respectively). The funding source had no involvement in this study.</t>
  </si>
  <si>
    <t>10.1016/j.ecolind.2019.01.008</t>
  </si>
  <si>
    <t>IC4UX</t>
  </si>
  <si>
    <t>WOS:000470963300018</t>
  </si>
  <si>
    <t>Yang, YY; Li, Z; Song, WJ; Du, LN; Ye, C; Zhao, B; Liu, WZ; Deng, DL; Pan, YT; Lin, H; Cao, XH</t>
  </si>
  <si>
    <t>Yang, Yuyi; Li, Zan; Song, Wenjuan; Du, Linna; Ye, Chen; Zhao, Bo; Liu, Wenzhi; Deng, Danli; Pan, Yongtai; Lin, Hui; Cao, Xinhua</t>
  </si>
  <si>
    <t>Metagenomic insights into the abundance and composition of resistance genes in aquatic environments: Influence of stratification and geography</t>
  </si>
  <si>
    <t>ENVIRONMENT INTERNATIONAL</t>
  </si>
  <si>
    <t>Metagenomic analysis; Bacitracin resistance genes; Mercury resistance genes; Stratification; Principal coordinates analysis</t>
  </si>
  <si>
    <t>ANTIBIOTIC-RESISTANCE; WASTE-WATER; BACTERIAL COMMUNITY; HEAVY-METALS; BOHAI BAY; CHINA; LAKES; COSELECTION; RESISTOME; RESERVOIR</t>
  </si>
  <si>
    <t>A global survey was performed with 122 aquatic metagenomic DNA datasets (92 lake water and 30 seawater) obtained from the Sequence Read Archive (SRA). Antibiotic resistance genes (ARGs) and metal resistance genes (MRGs) were derived from the dataset sequences via bioinformatic analysis. The relative abundances of ARGs and MRGs in lake samples were in the ranges ND (not detected)-1.34x10(0) and 1.22x10(-3) -1.98x10(-1) copies per 16S rRNA, which were higher than those in seawater samples. Among ARGs, multidrug resistance genes and bacitracin resistance genes had high relative abundances in both lake and sea water samples. Multimetal resistance genes, mercury resistance genes and copper resistance genes had the greatest relative abundance for MRGs. No significant difference was found between epilimnion and hypolimnion in abundance or the Shannon diversity index for ARGs and MRGs. Principal coordinates analysis and permutational multivariate analysis of variance (PERMANOVA) test showed that stratification and geography had significant influence on the composition of ARGs and MRGs in lakes (p &lt; 0.05, PERMANOVA). Coastal seawater samples had significantly greater relative abundance and a higher Shannon index for both ARGs and MRGs than deep ocean and Antarctic seawater samples (p &lt; 0.05, Kruskal-Wallis one-way ANOVA), suggesting that human activity may exert more selective pressure on ARGs and MRGs in coastal areas than those in deep ocean and Antarctic seawater.</t>
  </si>
  <si>
    <t>[Yang, Yuyi; Ye, Chen; Liu, Wenzhi; Deng, Danli; Pan, Yongtai] Chinese Acad Sci, Wuhan Bot Garden, Key Lab Aquat Bot &amp; Watershed Ecol, Wuhan 430074, Hubei, Peoples R China; [Yang, Yuyi] Univ Dundee, Sch Life Sci, Dundee DD1 5EH, Scotland; [Li, Zan] Ludong Univ, Sch Agr, Yantai 264025, Peoples R China; [Song, Wenjuan] Chinese Acad Sci, Xinjiang Inst Ecol &amp; Geog, Urumqi 830011, Peoples R China; [Du, Linna] Wenzhou Vocat Coll Sci &amp; Technol, Dept Agr &amp; Biotechnol, Wenzhou 325006, Peoples R China; [Zhao, Bo] Northeast Elect Power Univ, Sch Automat Engn, Jilin 132012, Jilin, Peoples R China; [Deng, Danli; Pan, Yongtai] Univ Chinese Acad Sci, Coll Life Sci, Beijing 100049, Peoples R China; [Lin, Hui] Zhejiang Acad Agr Sci, Inst Environm Resources &amp; Soil Fertilizers, Hangzhou 310021, Zhejiang, Peoples R China; [Cao, Xinhua] Jianghan Univ, Sch Life Sci, Wuhan 430056, Hubei, Peoples R China</t>
  </si>
  <si>
    <t>Chinese Academy of Sciences; Wuhan Botanical Garden, CAS; University of Dundee; Ludong University; Chinese Academy of Sciences; Xinjiang Institute of Ecology &amp; Geography, CAS; Northeast Electric Power University; Chinese Academy of Sciences; University of Chinese Academy of Sciences, CAS; Zhejiang Academy of Agricultural Sciences; Jianghan University</t>
  </si>
  <si>
    <t>Liu, WZ (corresponding author), Chinese Acad Sci, Wuhan Bot Garden, Lumo Rd 1, Wuhan, Hubei, Peoples R China.</t>
  </si>
  <si>
    <t>liuwz@wbgcas.cn</t>
  </si>
  <si>
    <t>LIN, HUI/AEA-6702-2022; Li, Zan/S-2888-2018; Yang, Yuyi/N-5428-2015</t>
  </si>
  <si>
    <t>LIN, HUI/0000-0002-5446-8069; Li, Zan/0000-0002-9478-6918; Yang, Yuyi/0000-0001-9807-6844; Liu, Wenzhi/0000-0002-7149-9529</t>
  </si>
  <si>
    <t>National Natural Science Foundation of China [41673127]; Youth Innovation Promotion Association of the Chinese Academy of Sciences [2015282, 2017388]; Wenzhou Science and Technology Major Project [ZS2017001]; Basic Public Welfare Research Projects in Zhejiang Province [LGF18E090007]</t>
  </si>
  <si>
    <t>National Natural Science Foundation of China(National Natural Science Foundation of China (NSFC)); Youth Innovation Promotion Association of the Chinese Academy of Sciences; Wenzhou Science and Technology Major Project; Basic Public Welfare Research Projects in Zhejiang Province</t>
  </si>
  <si>
    <t>This work was supported by the National Natural Science Foundation of China [grant number 41673127], the Youth Innovation Promotion Association of the Chinese Academy of Sciences [grant numbers 2015282 and 2017388], the Wenzhou Science and Technology Major Project [ZS2017001], and Basic Public Welfare Research Projects in Zhejiang Province [LGF18E090007].</t>
  </si>
  <si>
    <t>0160-4120</t>
  </si>
  <si>
    <t>1873-6750</t>
  </si>
  <si>
    <t>ENVIRON INT</t>
  </si>
  <si>
    <t>Environ. Int.</t>
  </si>
  <si>
    <t>10.1016/j.envint.2019.03.062</t>
  </si>
  <si>
    <t>HX4PZ</t>
  </si>
  <si>
    <t>WOS:000467383500036</t>
  </si>
  <si>
    <t>Duret, MT; Lampitt, RS; Lam, P</t>
  </si>
  <si>
    <t>Duret, Manon T.; Lampitt, Richard S.; Lam, Phyllis</t>
  </si>
  <si>
    <t>Prokaryotic niche partitioning between suspended and sinking marine particles</t>
  </si>
  <si>
    <t>ZOOPLANKTON FECAL PELLETS; BACTERIAL COMMUNITY COMPOSITION; ORGANIC-MATTER; MICROBIAL COMMUNITIES; PARTICULATE MATTER; ATTACHED BACTERIA; MEDITERRANEAN SEA; SNOW; DIVERSITY; OCEAN</t>
  </si>
  <si>
    <t>Suspended particles are major organic carbon substrates for heterotrophic microorganisms in the mesopelagic ocean (100-1000 m). Nonetheless, communities associated with these particles have been overlooked compared with sinking particles, the latter generally considered as main carbon transporters to the deep ocean. This study is the first to differentiate prokaryotic communities associated with suspended and sinking particles, collected with a marine snow catcher at four environmentally distinct stations in the Scotia Sea. Amplicon sequencing of 16S rRNA gene revealed distinct prokaryotic communities associated with the two particle-types in the mixed-layer (0-100 m) and upper-mesopelagic zone (mean dissimilarity 42.5% +/- 15.2%). Although common remineralising taxa were present within both particle-types, gammaproteobacterial Pseudomonadales and Vibrionales, and alphaproteobacterial Rhodobacterales were found enriched in sinking particles up to 32-fold, while Flavobacteriales (Bacteroidetes) favoured suspended particles. We propose that this niche-partitioning may be driven by organic matter properties found within both particle-types: K-strategists, specialised in the degradation of complex organic compounds, thrived on semi-labile suspended particles, while generalists r-strategists were adapted to the transient labile organic contents of sinking particles. Differences between the two particle-associated communities were more pronounced in the mesopelagic than in the surface ocean, likely resulting from exchanges between particle-pools enabled by the stronger turbulence.</t>
  </si>
  <si>
    <t>[Duret, Manon T.; Lam, Phyllis] Univ Southampton, Ocean &amp; Earth Sci, Southampton, Hants, England; [Lampitt, Richard S.] Natl Oceanog Ctr Southampton, Southampton, Hants, England</t>
  </si>
  <si>
    <t>University of Southampton; University of Southampton; NERC National Oceanography Centre</t>
  </si>
  <si>
    <t>Duret, MT (corresponding author), Univ Southampton, Ocean &amp; Earth Sci, Southampton, Hants, England.</t>
  </si>
  <si>
    <t>m.t.duret@soton.ac.uk</t>
  </si>
  <si>
    <t>Duret, Manon/ABD-8179-2020; Lam, Phyllis/D-9574-2011</t>
  </si>
  <si>
    <t>Lam, Phyllis/0000-0003-2067-171X; Duret, Manon/0000-0002-0922-4372</t>
  </si>
  <si>
    <t>University of Southampton; Natural Environment Research Council</t>
  </si>
  <si>
    <t>University of Southampton; Natural Environment Research Council(UK Research &amp; Innovation (UKRI)Natural Environment Research Council (NERC))</t>
  </si>
  <si>
    <t>We sincerely thank the officers and crew of the RRS James Clark Ross for their logistical and technical support during the JR304 cruise, Anna Belcher (British Antarctic Survey) for sharing particulate organic carbon data, and Dr Alison Baylay at the Environmental Genomics Facility (University of Southampton) for her assistance on next-generation sequencing. Funding support came from University of Southampton (Start-up grant from PL) and the Natural Environment Research Council. We thank the reviewers for contributing to enhance the quality of this manuscript.</t>
  </si>
  <si>
    <t>10.1111/1758-2229.12692</t>
  </si>
  <si>
    <t>HY3CM</t>
  </si>
  <si>
    <t>WOS:000468000600010</t>
  </si>
  <si>
    <t>Hock, R; Bliss, A; Marzeion, B; Giesen, RH; Hirabayashi, Y; Huss, M; Radic, V; Slangen, ABA</t>
  </si>
  <si>
    <t>Hock, Regine; Bliss, Andrew; Marzeion, Ben; Giesen, Rianne H.; Hirabayashi, Yukiko; Huss, Matthias; Radic, Valentina; Slangen, Aimee B. A.</t>
  </si>
  <si>
    <t>GlacierMIP - A model intercomparison of global-scale glacier mass-balance models and projections</t>
  </si>
  <si>
    <t>glacier modeling; glacier mass balance; ice and climate; mountain glaciers</t>
  </si>
  <si>
    <t>SEA-LEVEL RISE; 20-1ST CENTURY; CLIMATE-CHANGE; SPATIAL SENSITIVITIES; ENVIRONMENTAL-CHANGE; RECONCILED ESTIMATE; MOUNTAIN GLACIERS; INSIGHTS; RUNOFF; MELT</t>
  </si>
  <si>
    <t>Global-scale 21st-century glacier mass change projections from six published global glacier models are systematically compared as part of the Glacier Model Intercomparison Project. In total 214 projections of annual glacier mass and area forced by 25 General Circulation Models (GCMs) and four Representative Concentration Pathways (RCP) emission scenarios and aggregated into 19 glacier regions are considered. Global mass loss of all glaciers (outside the Antarctic and Greenland ice sheets) by 2100 relative to 2015 averaged over all model runs varies from 18 +/- 7% (RCP2.6) to 36 +/- 11% (RCP8.5) corresponding to 94 +/- 25 and 200 +/- 44 mm sea-level equivalent (SLE), respectively. Regional relative mass changes by 2100 correlate linearly with relative area changes. For RCP8.5 three models project global rates of mass loss (multi-GCM means) of &gt;3 mm SLE per year towards the end of the century. Projections vary considerably between regions, and also among the glacier models. Global glacier mass changes per degree global air temperature rise tend to increase with more pronounced warming indicating that mass-balance sensitivities to temperature change are not constant. Differences in glacier mass projections among the models are attributed to differences in model physics, calibration and downscaling procedures, initial ice volumes and varying ensembles of forcing GCMs.</t>
  </si>
  <si>
    <t>[Hock, Regine] Univ Alaska Fairbanks, Inst Geophys, Fairbanks, AK 99775 USA; [Hock, Regine] Uppsala Univ, Dept Earth Sci, Uppsala, Sweden; [Bliss, Andrew] Colorado State Univ, Dept Anthropol &amp; Geog, Ft Collins, CO 80523 USA; [Marzeion, Ben] Univ Bremen, Inst Geog, Bremen, Germany; [Marzeion, Ben] Univ Bremen, MARUM Ctr Marine Environm Sci, Bremen, Germany; [Giesen, Rianne H.] Univ Utrecht, Inst Marine &amp; Atmospher Res, Utrecht, Netherlands; [Hirabayashi, Yukiko] Shibaura Inst Technol, Dept Civil Engn, Tokyo, Japan; [Huss, Matthias] Swiss Fed Inst Technol, Lab Hydraul Hydrol &amp; Glaciol VAW, Zurich, Switzerland; [Huss, Matthias] Univ Fribourg, Dept Geosci, Fribourg, Switzerland; [Radic, Valentina] Univ British Columbia, Earth Ocean &amp; Atmospher Sci Dept, Vancouver, BC, Canada; [Slangen, Aimee B. A.] NIOZ Royal Netherlands Inst Sea Res, Dept Estuarine &amp; Delta Syst, Yerseke, Netherlands; [Slangen, Aimee B. A.] Univ Utrecht, Yerseke, Netherlands</t>
  </si>
  <si>
    <t>University of Alaska System; University of Alaska Fairbanks; Uppsala University; Colorado State University; University of Bremen; University of Bremen; Utrecht University; Shibaura Institute of Technology; Swiss Federal Institutes of Technology Domain; ETH Zurich; University of Fribourg; University of British Columbia; Utrecht University; Royal Netherlands Institute for Sea Research (NIOZ); Utrecht University</t>
  </si>
  <si>
    <t>Hock, R (corresponding author), Univ Alaska Fairbanks, Inst Geophys, Fairbanks, AK 99775 USA.;Hock, R (corresponding author), Uppsala Univ, Dept Earth Sci, Uppsala, Sweden.</t>
  </si>
  <si>
    <t>rehock@alaska.edu</t>
  </si>
  <si>
    <t>Giesen, Rianne H/E-7597-2011; Hock, Regine/C-6179-2013; Hirabayashi, Yukiko/E-5628-2010; Huss, Matthias/JLL-6340-2023; Hock, Regine/JTT-4089-2023; Slangen, Aimee/H-5839-2015; Marzeion, Ben/G-6514-2013</t>
  </si>
  <si>
    <t>Giesen, Rianne H/0000-0001-8270-6338; Hirabayashi, Yukiko/0000-0001-5693-197X; Huss, Matthias/0000-0002-2377-6923; Hock, Regine/0000-0001-8336-9441; Slangen, Aimee/0000-0001-6268-6683; Marzeion, Ben/0000-0002-6185-3539; Bliss, Andrew/0000-0002-8637-1923</t>
  </si>
  <si>
    <t>'Climate and Cryosphere' (CliC) program; NASA [NNX17AB27, 80NSSC17K0566, NNX11AO23G]; NSF [1543432]; NWO-Netherlands Polar Programme; CSIRO Office of the Chief Executive Postdoctoral Fellowship; ice2sea project - European Commission's 7th Framework Programme [226375]; German Federal Ministry of Education and Research [01LS1602A]; Office of Polar Programs (OPP); Directorate For Geosciences [1543432] Funding Source: National Science Foundation; NASA [140151, NNX11AO23G] Funding Source: Federal RePORTER</t>
  </si>
  <si>
    <t>'Climate and Cryosphere' (CliC) program; NASA(National Aeronautics &amp; Space Administration (NASA)); NSF(National Science Foundation (NSF)); NWO-Netherlands Polar Programme; CSIRO Office of the Chief Executive Postdoctoral Fellowship; ice2sea project - European Commission's 7th Framework Programme(European Union (EU)); German Federal Ministry of Education and Research(Federal Ministry of Education &amp; Research (BMBF)); Office of Polar Programs (OPP); Directorate For Geosciences(National Science Foundation (NSF)NSF - Directorate for Geosciences (GEO)); NASA(National Aeronautics &amp; Space Administration (NASA))</t>
  </si>
  <si>
    <t>GlacierMIP is sponsored by the 'Climate and Cryosphere' (CliC) program, and we thank in particular Gwenaelle Hamon, for providing administrative support for GlacierMIP. RH was supported by NASA grants NNX17AB27 G and 80NSSC17K0566 and NSF award # 1543432, and AB by NASA grant NNX11AO23G. AS was supported by the NWO-Netherlands Polar Programme and a CSIRO Office of the Chief Executive Postdoctoral Fellowship, RG by the ice2sea project, funded by the European Commission's 7th Framework Programme through grant # 226375, and BM by the German Federal Ministry of Education and Research (grant 01LS1602A). Matvey Debolskiy provided invaluable help with coding the figures. Orie Sasaki made Figure 1. Haireti Alifu calculated the global mean GCM time series. David Rounce checked the language.</t>
  </si>
  <si>
    <t>10.1017/jog.2019.22</t>
  </si>
  <si>
    <t>WOS:000470734900008</t>
  </si>
  <si>
    <t>Selbmann, L</t>
  </si>
  <si>
    <t>Selbmann, Laura</t>
  </si>
  <si>
    <t>Extreme-Fungi and the Benefits of A Stressing Life</t>
  </si>
  <si>
    <t>LIFE-BASEL</t>
  </si>
  <si>
    <t>EVOLUTION; ADAPTATION</t>
  </si>
  <si>
    <t>[Selbmann, Laura] Univ Tuscia, Dept Ecol &amp; Biol Sci, I-01100 Viterbo, Italy; [Selbmann, Laura] Italian Natl Antarctic Museum MNA, Mycol Sect, I-16166 Genoa, Italy</t>
  </si>
  <si>
    <t>Tuscia University</t>
  </si>
  <si>
    <t>Selbmann, L (corresponding author), Univ Tuscia, Dept Ecol &amp; Biol Sci, I-01100 Viterbo, Italy.;Selbmann, L (corresponding author), Italian Natl Antarctic Museum MNA, Mycol Sect, I-16166 Genoa, Italy.</t>
  </si>
  <si>
    <t>selbmann@unitus.it</t>
  </si>
  <si>
    <t>Selbmann, Laura/L-3056-2013</t>
  </si>
  <si>
    <t>Selbmann, Laura/0000-0002-8967-3329</t>
  </si>
  <si>
    <t>2075-1729</t>
  </si>
  <si>
    <t>Life-Basel</t>
  </si>
  <si>
    <t>10.3390/life9020031</t>
  </si>
  <si>
    <t>Biology; Microbiology</t>
  </si>
  <si>
    <t>Life Sciences &amp; Biomedicine - Other Topics; Microbiology</t>
  </si>
  <si>
    <t>II6SU</t>
  </si>
  <si>
    <t>WOS:000475324400001</t>
  </si>
  <si>
    <t>Archer, SDJ; Lee, KC; Caruso, T; Maki, T; Lee, CK; Carys, SC; Cowan, DA; Maestre, FT; Pointing, SB</t>
  </si>
  <si>
    <t>Archer, Stephen D. J.; Lee, Kevin C.; Caruso, Tancredi; Maki, Teruya; Lee, Charles K.; Carys, S. Craig; Cowan, Don A.; Maestre, Fernando T.; Pointing, Stephen B.</t>
  </si>
  <si>
    <t>Airborne microbial transport limitation to isolated Antarctic soil habitats</t>
  </si>
  <si>
    <t>NATURE MICROBIOLOGY</t>
  </si>
  <si>
    <t>INTERNAL TRANSCRIBED SPACER; BACTERIAL COMMUNITIES; GLOBAL ATMOSPHERE; FUNGAL; DIVERSITY; NESTEDNESS; DISPERSAL; LIFE; TREE</t>
  </si>
  <si>
    <t>Dispersal is a critical yet poorly understood factor underlying macroecological patterns in microbial communities(1). Airborne microbial transport is assumed to occupy a central role in determining dispersal outcomes(2,3), and extra-range dispersal has important implications for predicting ecosystem resilience and response to environmental changes. One of the most pertinent biomes in this regard is Antarctica, given its geographic isolation and vulnerability to climate change and human disturbances. Here, we report microbial diversity in near-ground and high-altitude air above the largest ice-free Antarctic habitat, as well as that of underlying soil microbial communities. We found that persistent local airborne inputs were unable to fully explain Antarctic soil community assembly. Comparison with airborne microbial diversity from high-altitude and non-polar sources suggests that strong selection occurs during long-range atmospheric transport. The influence of selection during airborne transit and at sink locations varied between microbial phyla. Overall, the communities from this isolated Antarctic ecosystem displayed limited connectivity to the non-polar microbial pool, and alternative sources of recruitment are necessary to fully explain extant soil diversity. Our findings provide critical insights into the role of airborne transport limitation in determining microbial biogeographic patterns.</t>
  </si>
  <si>
    <t>[Archer, Stephen D. J.; Pointing, Stephen B.] Natl Univ Singapore, Yale NUS Coll, Singapore, Singapore; [Archer, Stephen D. J.; Lee, Kevin C.] Auckland Univ Technol, Inst Appl Ecol New Zealand, Auckland, New Zealand; [Caruso, Tancredi] Queens Univ Belfast, Sch Biol Sci, Inst Global Food Secur, Belfast, Antrim, North Ireland; [Maki, Teruya] Kanazawa Univ, Dept Chem Engn, Kanazawa, Ishikawa, Japan; [Lee, Charles K.; Carys, S. Craig] Univ Waikato, Int Ctr Terr Antarctic Res, Hamilton, New Zealand; [Cowan, Don A.] Univ Pretoria, Ctr Microbial Ecol &amp; Genom, Pretoria, South Africa; [Maestre, Fernando T.] Univ Rey Juan Carlos, Escuela Super Ciencias Expt &amp; Tecnol, Dept Biol &amp; Geol, Fis &amp; Quim Inorgan, Mostoles, Spain; [Pointing, Stephen B.] Natl Univ Singapore, Dept Biol Sci, Singapore, Singapore; [Pointing, Stephen B.] Kanazawa Univ, Inst Nat &amp; Environm Technol, Kanazawa, Ishikawa, Japan</t>
  </si>
  <si>
    <t>National University of Singapore; Yale NUS College; Auckland University of Technology; Queens University Belfast; Kanazawa University; University of Waikato; University of Pretoria; Universidad Rey Juan Carlos; National University of Singapore; Kanazawa University</t>
  </si>
  <si>
    <t>Pointing, SB (corresponding author), Natl Univ Singapore, Yale NUS Coll, Singapore, Singapore.;Pointing, SB (corresponding author), Natl Univ Singapore, Dept Biol Sci, Singapore, Singapore.;Pointing, SB (corresponding author), Kanazawa Univ, Inst Nat &amp; Environm Technol, Kanazawa, Ishikawa, Japan.</t>
  </si>
  <si>
    <t>stephen.pointing@yale-nus.edu.sg</t>
  </si>
  <si>
    <t>Maestre, Fernando T./A-6825-2008; Pointing, Stephen/JHT-2500-2023; Cowan, Donald A/E-3991-2012; Lee, Kevin/Z-5368-2019; Caruso, Tancredi/H-1103-2012; Lee, Charles/AAC-9417-2019; lee, charles/AAW-6627-2021</t>
  </si>
  <si>
    <t>Maestre, Fernando T./0000-0002-7434-4856; Cowan, Donald A/0000-0001-8059-861X; Lee, Kevin/0000-0003-0210-2628; Lee, Charles/0000-0002-6562-4733; lee, charles/0000-0001-6906-4895; Cary, Stephen/0000-0002-2876-2387; Pointing, Stephen/0000-0002-7547-7714; Caruso, Tancredi/0000-0002-3607-9609</t>
  </si>
  <si>
    <t>New Zealand Ministry of Business, Innovation and Employment [UOWX1401]; Yale-NUS College Start-Up Fund; European Research Council (BIODESERT project; ERC) [647038]; Antarctica New Zealand; European Research Council (ERC) [647038] Funding Source: European Research Council (ERC); New Zealand Ministry of Business, Innovation &amp; Employment (MBIE) [UOWX1401] Funding Source: New Zealand Ministry of Business, Innovation &amp; Employment (MBIE)</t>
  </si>
  <si>
    <t>New Zealand Ministry of Business, Innovation and Employment(New Zealand Ministry of Business, Innovation and Employment (MBIE)); Yale-NUS College Start-Up Fund; European Research Council (BIODESERT project; ERC); Antarctica New Zealand; European Research Council (ERC)(European Research Council (ERC)Spanish Government); New Zealand Ministry of Business, Innovation &amp; Employment (MBIE)(New Zealand Ministry of Business, Innovation and Employment (MBIE))</t>
  </si>
  <si>
    <t>Field and logistical support was provided by Antarctica New Zealand. The research was funded by a grant from the New Zealand Ministry of Business, Innovation and Employment (UOWX1401) and Yale-NUS College Start-Up Fund. F.T.M. is supported by the European Research Council (BIODESERT project; ERC grant agreement number 647038).</t>
  </si>
  <si>
    <t>2058-5276</t>
  </si>
  <si>
    <t>NAT MICROBIOL</t>
  </si>
  <si>
    <t>NAT. MICROBIOL</t>
  </si>
  <si>
    <t>10.1038/s41564-019-0370-4</t>
  </si>
  <si>
    <t>HZ1RK</t>
  </si>
  <si>
    <t>WOS:000468625400007</t>
  </si>
  <si>
    <t>Thomas, S; Babanin, AV; Walsh, KJE; Stoney, L; Heil, P</t>
  </si>
  <si>
    <t>Thomas, Steven; Babanin, Alexander V.; Walsh, Kevin J. E.; Stoney, Lachlan; Heil, Petra</t>
  </si>
  <si>
    <t>Effect of wave-induced mixing on Antarctic sea ice in a high-resolution ocean model</t>
  </si>
  <si>
    <t>OCEAN DYNAMICS</t>
  </si>
  <si>
    <t>10th International Workshop on Modeling the Ocean (IWMO)</t>
  </si>
  <si>
    <t>JUN 25-28, 2018</t>
  </si>
  <si>
    <t>Santos, BRAZIL</t>
  </si>
  <si>
    <t>Surface wave mixing; Antarctic Sea ice</t>
  </si>
  <si>
    <t>TROPICAL CYCLONES; TURBULENCE; CLIMATE; PARAMETERIZATION; SIMULATIONS; CMIP5</t>
  </si>
  <si>
    <t>In this study, we investigate how sea ice extent and thickness are affected by additional turbulent mixing from unbroken surface waves. This surface wave mixing' (SWM) is parameterized by the inclusion of an extra mixing term in the k-epsilon turbulence scheme implemented in a global-scale ocean model (MOM5). Relative to simulations without SWM, we observe a reduction of seasonal extremes of sea ice extent in the Antarctic of about 9%. This reduction brings the seasonal amplitude of sea ice extent significantly closer to observations, as well as causing an increase in sea ice thickness of up to 15cm leading up to and during the Antarctic summer.</t>
  </si>
  <si>
    <t>[Thomas, Steven; Babanin, Alexander V.; Stoney, Lachlan] Univ Melbourne, Dept Infrastruct Engn, Melbourne, Vic, Australia; [Babanin, Alexander V.] Natl Lab Marine Sci &amp; Technol, Qingdao, Shandong, Peoples R China; [Walsh, Kevin J. E.] Univ Melbourne, Sch Earth Sci, Melbourne, Vic, Australia; [Stoney, Lachlan] Australian Bur Meteorol, Brisbane, Qld, Australia; [Heil, Petra] Australian Antarctic Div, Hobart, Tas, Australia; [Heil, Petra] Antarctic Climate &amp; Ecosyst Cooperat Res Ctr, Hobart, Tas, Australia</t>
  </si>
  <si>
    <t>University of Melbourne; Melbourne Genomics Health Alliance; Laoshan Laboratory; University of Melbourne; Melbourne Bioinformatics; Bureau of Meteorology - Australia; Australian Antarctic Division; Antarctic Climate &amp; Ecosystems Cooperative Research Centre (ACE CRC)</t>
  </si>
  <si>
    <t>Babanin, AV (corresponding author), Univ Melbourne, Dept Infrastruct Engn, Melbourne, Vic, Australia.;Babanin, AV (corresponding author), Natl Lab Marine Sci &amp; Technol, Qingdao, Shandong, Peoples R China.</t>
  </si>
  <si>
    <t>Heil, Petra/0000-0003-2078-0342</t>
  </si>
  <si>
    <t>DISI Australia-China Centre [ACSRF48199]; US ONR [N00014-17-1-3021]; Australian Government; Australian Government through Australian Antarctic Science projects [4301, 4390]; Cooperative Research Centre Programme through the Antarctic Climate and Ecosystems Cooperative Research Centre (ACE CRC); International Space Science Institute [406]</t>
  </si>
  <si>
    <t>DISI Australia-China Centre; US ONR(Office of Naval Research); Australian Government(Australian Government); Australian Government through Australian Antarctic Science projects; Cooperative Research Centre Programme through the Antarctic Climate and Ecosystems Cooperative Research Centre (ACE CRC)(Australian GovernmentDepartment of Industry, Innovation and ScienceCooperative Research Centres (CRC) Programme); International Space Science Institute</t>
  </si>
  <si>
    <t>S. Thomas and A. V. Babanin acknowledge DISI Australia-China Centre through grant no. ACSRF48199 and the US ONR support through grant no. N00014-17-1-3021. This research was undertaken with the assistance of resources from the National Computational Infrastructure (NCI), which is supported by the Australian Government. P. Heil was supported by the Australian Government through Australian Antarctic Science projects 4301 and 4390, the Cooperative Research Centre Programme through the Antarctic Climate and Ecosystems Cooperative Research Centre (ACE CRC) and the International Space Science Institute grant no. 406.</t>
  </si>
  <si>
    <t>1616-7341</t>
  </si>
  <si>
    <t>1616-7228</t>
  </si>
  <si>
    <t>OCEAN DYNAM</t>
  </si>
  <si>
    <t>Ocean Dyn.</t>
  </si>
  <si>
    <t>10.1007/s10236-019-01268-0</t>
  </si>
  <si>
    <t>HZ4UJ</t>
  </si>
  <si>
    <t>WOS:000468846600006</t>
  </si>
  <si>
    <t>Moraweck, K; Grein, M; Konrad, W; Kovar-Eder, J; Kvacek, J; Neinhuis, C; Roth-Nebelsick, A; Traiser, C; Kunzmann, L</t>
  </si>
  <si>
    <t>Moraweck, Karolin; Grein, Michaela; Konrad, Wilfried; Kovar-Eder, Johanna; Kvacek, Jiri; Neinhuis, Christoph; Roth-Nebelsick, Anita; Traiser, Christopher; Kunzmann, Lutz</t>
  </si>
  <si>
    <t>Leaf traits of long-ranging Paleogene species and their relationship with depositional facies, climate and atmospheric CO2 level</t>
  </si>
  <si>
    <t>PALAEONTOGRAPHICA ABTEILUNG B-PALAEOPHYTOLOGIE PALAEOBOTANY-PALAEOPHYTOLOGY</t>
  </si>
  <si>
    <t>Fossil leaves; Platanus neptuni; Rhodomyrtophyllum reticulosum; stomatal density; trichome density; morphometric traits; leaf mass per area; gas exchange modelling</t>
  </si>
  <si>
    <t>CARBON-ISOTOPE DISCRIMINATION; MIDDLE EOCENE CLIMATE; STOMATAL DENSITY; MARGIN ANALYSIS; ANTARCTIC GLACIATION; COEXISTENCE APPROACH; SOUTHERN-HEMISPHERE; LATE OLIGOCENE; FOSSIL PLANTS; EARLY MIOCENE</t>
  </si>
  <si>
    <t>Leaves are the most appropriate plant organs for studying adaptations to environmental changes as they are the locations of photosynthetic metabolism and thus directly exposed to habitat conditions. Besides investigations on complete assemblages, individual long-ranging species could directly mirror adaptations and changes of leaf traits on environmental, climate and atmospheric CO2 level evolution over a considerable time span. Central European leaf assemblages from the middle and late Paleogene reveal plenty of properly preserved fossils that are quire suitable and promising for investigating functional leaf traits of woody dicots. Herein, morphological, morphometric and micromorphological (cuticular) functional leaf traits, both quantitative and qualitative parameters, of Rhodomyrtophyllum reticulosum (Myrtaceae) and Platanus neptuni (Platanaceae) are analysed. The aim is to evaluate whether leaf traits of both taxa reflect environmental conditions including climate and if leaf traits track local, regional and / or global trends of palaeoclimate and palaeo-atmospheric CO2 evolution. Both species cover a time span from the early-middle Eocene boundary to the earliest Miocene, appr. 26 Ma, with an overlap in their occurrences in the late Eocene. Altogether material of 23 sites from 3 distinct depositional palaeoenvironments, i.e. marine, coastal lowland/alluvial plain and volcanic settings, is considered. Basic information on regional palaeoclimate parameters were calculated from the fossil plant assemblages using the Coexistence Approach and the Climate Leaf Analysis Multivariate Program (CLAMP). The results indicate high variability of morphological and morphometric leaf traits within the sites for Rhodomyrtophyllum reticulosum but almost no substantial changes between sites of the middle-late Eocene stratigraphic sequence. Platanus neptuni leaf trait changes, macromorphological as well as micromorphological data, correspond to differences in depositional settings and habitat. Stomatal density, trichome density and stomata size of Platanus neptuni vary in time and depend on the respective depositional setting. Palaco-atmospheric CO2 levels are reconstructed for seven Eocene and seven Oligocene sites by gas exchange modelling using several leaf traits of the fossil-species as well as of their extant relatives. Results reveal similar mean CO2 concentrations of 397 to 656 ppm for the Eocene using Rhodomyrtophyllum reticulosum data; extant input data are based on Syzygium samarangense. Data provided by Platanus neptuni, based on extant Platanus kerrii, indicate quite stable CO2 values during the Oligocene with mean concentrations of 393 to 565 ppm. Results are comprehensively discussed with respect to various influences of methodological constrains, taphonomic filters, and depositional settings. The interpretation of the data leads to the conclusion that leaf traits of both long-ranging fossil-species are valuable proxies for tracing environmental evolution but their ecophysiological signals in response to global changes are less pronounced and affected by habitat characteristics.</t>
  </si>
  <si>
    <t>[Moraweck, Karolin; Kunzmann, Lutz] Senckenberg Nat Hist Collect Dresden, Konigsbrucker Landstr 159, D-01109 Dresden, Germany; [Grein, Michaela; Kovar-Eder, Johanna; Roth-Nebelsick, Anita; Traiser, Christopher] State Museum Nat Hist, Rosenstein 1, D-70191 Stuttgart, Germany; [Grein, Michaela] Ubersee Museum Bremen, Bahnhofspl 13, D-28195 Bremen, Germany; [Konrad, Wilfried; Neinhuis, Christoph] Tech Univ Dresden, Zellescher Weg 20B, D-01069 Dresden, Germany; [Konrad, Wilfried] Univ Tubingen, Dept Geosci, Holderlinstr 12, D-72074 Tubingen, Germany; [Kvacek, Jiri] Natl Museum Prague, Cirkusova 1740, Prague 19300, Horni Pocernice, Czech Republic</t>
  </si>
  <si>
    <t>Senckenberg Gesellschaft fur Naturforschung (SGN); Technische Universitat Dresden; Eberhard Karls University of Tubingen; National Museum</t>
  </si>
  <si>
    <t>Kunzmann, L (corresponding author), Senckenberg Nat Hist Collect Dresden, Konigsbrucker Landstr 159, D-01109 Dresden, Germany.</t>
  </si>
  <si>
    <t>wilfried.konrad@uni-tuebingen.de; m.grein@uebersee-museum.de; wilfried.konrad@tu-dresden.de; johanna.eder@smns-bw.de; jiri_kvacek@nm.cz; christoph.neinhuis@tu-dresden.de; anita.rothnebelsick@smns-bw.de; traiser@smns-bw.de; lutz.kunzmann@senckenberg.de</t>
  </si>
  <si>
    <t>Kunzmann, Lutz/AAA-5030-2021</t>
  </si>
  <si>
    <t>Kunzmann, Lutz/0000-0001-6445-3920; Eder, Johanna/0000-0001-8039-5441</t>
  </si>
  <si>
    <t>VolkswagenFoundation; Yunnan, China; VOLKER WILDE (Senckenberg Forschungsinstitut und Naturmuseum Frankfurt/M); MATHIAS HARZHAUSER (Naturhistorisches Museum Wien, Austria); Material of the Naturmuseum Augsburg, Germany; ROBERT (BOB); Milton Keynes, UK; Xishuangbanna Tropical Botanical Garden, Chinese Academy of Science Yunnan, China</t>
  </si>
  <si>
    <t>VolkswagenFoundation(Volkswagen); Yunnan, China; VOLKER WILDE (Senckenberg Forschungsinstitut und Naturmuseum Frankfurt/M); MATHIAS HARZHAUSER (Naturhistorisches Museum Wien, Austria); Material of the Naturmuseum Augsburg, Germany; ROBERT (BOB); Milton Keynes, UK; Xishuangbanna Tropical Botanical Garden, Chinese Academy of Science Yunnan, China</t>
  </si>
  <si>
    <t>This study was conducted within the research project Ecophysiological signals of plant fossils as indicators of climatic and atmospheric change during the Palaeogene funded by the VolkswagenFoundation (2013-2016); KM was supported as scientific employee (PhD student). The authors were variously supported by members of their research groups: Marit Kamenz (Staatliches Museum fur Naturkunde Stuttgart, Germany), DENISE HENNIG and CAROLA KUNZMANN (Senckenberg Naturhistorische Sammlungen Dresden, Germany) are cordially acknowledged for their work. Many thanks go to BSc and MSc students, who contributed to the scientific results with their BSc and MSc theses: JANA BOTTGER and SUSANN STILLER (Technische Universitat Dresden, Germany), BABETTE JURKE and CHRISTIAN MULLER (Technische Universitat Bergakademie Freiberg/Sa., Germany). MADELEINE STREUBIG (Dresden), former scientific trainee in SNSD, contributed by digitalization and replenishing of leaves for the MORPHYLL database. We especially thank TORSTEN UTESCHER (Universitat Bonn and Senckenberg) for free access to the Palaeoflora database for conducting the Coexistence Approach calculations and various discussions on palaeoclimate reconstructions. Measurements on extant plants were made in the Xishuangbanna Tropical Botanical Garden, Chinese Academy of Science, Menglun, Yunnan, China. by KM and LK. who were visiting scientists of the palaeoecology group; many thanks to PIs ZHE-KUN ZHOU and TAO SU as well as to the other group members, especially to JIAN HUANG, for their kindly support and hospitality during the visit. The following curators gave kindly access to collection material: STEPHAN SCHULTKA and BARBARA MOHR (Museum fur Naturkunde Berlin, Leibniz-Institut fur Biodiversitatsforschung, Germany), VOLKER WILDE (Senckenberg Forschungsinstitut und Naturmuseum Frankfurt/M., Germany), and MATHIAS HARZHAUSER (Naturhistorisches Museum Wien, Austria). Material of the Naturmuseum Augsburg, Germany, and the Staatliches Museum fur Naturkunde Karlsruhe, Germany, studied and published by JKE, was re-figured herein. ROBERT (BOB) A. SPICER (Open University, Milton Keynes, UK and Xishuangbanna Tropical Botanical Garden, Chinese Academy of Science, Menglun, Yunnan, China), ZLATKO KVACEK (Charles University, Prague, Czechia) and VASILIS TEODORIDIS (Charles University, Prague, Czechia) are cordially acknowledged for fruitful scientific discussions. Two anonymous reviewers gave valuable and helpful comments to improve the first manuscript version.</t>
  </si>
  <si>
    <t>E SCHWEIZERBARTSCHE VERLAGSBUCHHANDLUNG</t>
  </si>
  <si>
    <t>NAEGELE U OBERMILLER, SCIENCE PUBLISHERS, JOHANNESSTRASSE 3A, D 70176 STUTTGART, GERMANY</t>
  </si>
  <si>
    <t>2194-900X</t>
  </si>
  <si>
    <t>2509-839X</t>
  </si>
  <si>
    <t>PALAEONTOGR ABT B</t>
  </si>
  <si>
    <t>Palaeontogr. Abt. B-Palaophytol.</t>
  </si>
  <si>
    <t>4-6</t>
  </si>
  <si>
    <t>10.1127/palb/2019/0062</t>
  </si>
  <si>
    <t>VL2BV</t>
  </si>
  <si>
    <t>WOS:000806926500001</t>
  </si>
  <si>
    <t>Piazza, P; Cummings, V; Guzzi, A; Hawes, I; Lohrer, A; Marini, S; Marriott, P; Menna, F; Nocerino, E; Peirano, A; Kim, S; Schiaparelli, S</t>
  </si>
  <si>
    <t>Piazza, Paola; Cummings, Vonda; Guzzi, Alice; Hawes, Ian; Lohrer, Andrew; Marini, Simone; Marriott, Peter; Menna, Fabio; Nocerino, Erica; Peirano, Andrea; Kim, Sanghee; Schiaparelli, Stefano</t>
  </si>
  <si>
    <t>Underwater photogrammetry in Antarctica: long-term observations in benthic ecosystems and legacy data rescue</t>
  </si>
  <si>
    <t>Antarctica; Photogrammetry; SCUBA-recorded videos; Long-term monitoring; Image-based analysis</t>
  </si>
  <si>
    <t>IN-SITU; SEA-ICE; SCALE; BIODIVERSITY; COMMUNITY; ABUNDANCE; SOFTWARE; GROWTH; MACROZOOBENTHOS; INVERTEBRATES</t>
  </si>
  <si>
    <t>The need for sound baseline information about community structure and composition against which changes can be detected and quantified is a well-recognised priority in Antarctica. Here, the collection of such data is challenging, especially at sea, where long-term monitoring is usually logistically feasible only in the proximity of permanent research stations. In recent years, underwater photogrammetry has emerged as a non-destructive and low-cost method for high-resolution topographic reconstruction. We decided to apply this technique to videos, recorded during standard SCUBA surveys of Antarctic benthos in Tethys Bay (Ross Sea, Antarctica) in 2006 and 2015 and originally not meant for photogrammetry. Our aim was to assess the validity and utility of the photogrammetric method to describe benthic communities from the perspective of long-term monitoring. For this purpose, two of the transects surveyed in 2015 were revisited in 2017. Videos were processed with photogrammetric procedures to obtain 3D models of the seafloor and inhabiting organisms. Overall, a total of six 20m-long transects, corresponding to a total area of200m(2) of seafloor were analysed. Accuracy of the resulting models, expressed in terms of Length Measurement Error (LME), was 1.9mm on average. The 2017 transects showed marked differences in some species, such as a 25-49% increase in the number of sea urchins Sterechinus neumayeri (Meissner, 1900) and the complete disappearance of some sponges Mycale (Oxymycale) acerata Kirkpatrick, 1907. Our analyses confirm the efficacy of photogrammetry for monitoring programmes, including their value for the re-analysis of legacy video footage.</t>
  </si>
  <si>
    <t>[Piazza, Paola; Guzzi, Alice; Schiaparelli, Stefano] Univ Genoa, Sect Genoa, Italian Natl Antarctic Museum, MNA, POB 16132, Genoa, Italy; [Piazza, Paola] Univ Siena, Dept Phys Sci Earth &amp; Environm, DSFTA, POB 53100, Siena, Italy; [Cummings, Vonda; Marriott, Peter] Natl Inst Water &amp; Atmospher Res, NIWA, POB 14901, Wellington, New Zealand; [Guzzi, Alice; Schiaparelli, Stefano] Univ Genoa, Dept Earth Environm &amp; Life Sci, DISTAV, POB 16132, Genoa, Italy; [Hawes, Ian] Univ Waikato, 58 Cross Rd, Tauranga 3110, New Zealand; [Lohrer, Andrew] Natl Inst Water &amp; Atmospher Res, NIWA, POB 11115, Hamilton, New Zealand; [Marini, Simone] Inst Marine Sci UOS La Spezia, Res Natl Council, CNR ISMAR SP, POB 19032, Lerici, La Spezia, Italy; [Menna, Fabio] Bruno Kessler Fdn, 3D Opt Metrol Unit, FBK 3DOM, POB 38122, Trento, Italy; [Nocerino, Erica] Univ Toulon &amp; Var, Images &amp; Models Aix Marseille Univ, LIS Lab Lab Informat &amp; Syst, I&amp;m Team,CNRS, Campus Luminy,Bat A,163 Ave Luminy Case 925, F-13288 Marseille, France; [Nocerino, Erica] Swiss Fed Inst Technol, Theoret Phys, CH-8093 Zurich, Switzerland; [Peirano, Andrea] ENEA, Marine Environm Res Ctr, POB 19032, Lerici, La Spezia, Italy; [Kim, Sanghee] KOPRI, Songdo Miraero 26, Incheon 21990, South Korea</t>
  </si>
  <si>
    <t>University of Genoa; University of Siena; National Institute of Water &amp; Atmospheric Research (NIWA) - New Zealand; University of Genoa; University of Waikato; National Institute of Water &amp; Atmospheric Research (NIWA) - New Zealand; Fondazione Bruno Kessler; Aix-Marseille Universite; Centre National de la Recherche Scientifique (CNRS); Universite de Toulon; Swiss Federal Institutes of Technology Domain; ETH Zurich; Italian National Agency New Technical Energy &amp; Sustainable Economics Development; Korea Polar Research Institute (KOPRI)</t>
  </si>
  <si>
    <t>Schiaparelli, S (corresponding author), Univ Genoa, Sect Genoa, Italian Natl Antarctic Museum, MNA, POB 16132, Genoa, Italy.;Schiaparelli, S (corresponding author), Univ Genoa, Dept Earth Environm &amp; Life Sci, DISTAV, POB 16132, Genoa, Italy.</t>
  </si>
  <si>
    <t>Stefano.Schiaparelli@unige.it</t>
  </si>
  <si>
    <t>Marini, Simone/C-3872-2012; Nocerino, Erica/KEE-6544-2024</t>
  </si>
  <si>
    <t>Marini, Simone/0000-0003-0665-7815; Nocerino, Erica/0000-0003-3511-4967; menna, fabio/0000-0002-5365-8813; Guzzi, Alice/0000-0001-8066-9158; Cummings, Vonda/0000-0003-1076-3995</t>
  </si>
  <si>
    <t>Italian National Antarctic Program [PNRA 2013/AZ1.16]; NZ Ministry of Primary Industries; Ministry of Business, Innovation and Employment; Antarctica New Zealand</t>
  </si>
  <si>
    <t>Italian National Antarctic Program; NZ Ministry of Primary Industries; Ministry of Business, Innovation and Employment(New Zealand Ministry of Business, Innovation and Employment (MBIE)); Antarctica New Zealand</t>
  </si>
  <si>
    <t>The Project ICE-LAPSE (PNRA 2013/AZ1.16: Analysis of Antarctic benthos dynamics by using non-destructive monitoring devices and permanent stations) was funded by the Italian National Antarctic Program. We are indebted to the Comando Subacquei ed Incursori (COMSUBIN) of the Italian Navy for help and assistance during the dives. This paper is a contribution to the SCAR-ANTOS Expert Group (https ://www.scar.org/scien ce/antos/home/). Some of geospatial procedures carried out during this study were performed at the Geo-technology Centre of University of Siena (www.geote cnolo gie. unisi. it) in the lab of Prof. R. Salvini. The collection of the 2006 and 2017 video recordings was funded by the NZ Ministry of Primary Industries and Ministry of Business, Innovation and Employment, respectively, and supported by Antarctica New Zealand and the excellent NIWA dive teams.</t>
  </si>
  <si>
    <t>10.1007/s00300-019-02480-w</t>
  </si>
  <si>
    <t>WOS:000470694200001</t>
  </si>
  <si>
    <t>Abu Samah, A; Alias, SA; Eem, LP; Ponting, SB; Chenoli, SN; Chaturvedi, S</t>
  </si>
  <si>
    <t>Abu Samah, Azizan; Alias, Siti Aisah; Eem, Lim Phaik; Ponting, Stephen Brian; Chenoli, Sheeba Nettukandy; Chaturvedi, Sanjay</t>
  </si>
  <si>
    <t>Special issue on 7th Malaysian international seminar on Antarctica (MISA7): Connectivity between Polar and Equatorial Climate and Biosphere: From the poles to the tropics</t>
  </si>
  <si>
    <t>MISA; Tropical-polar; Connectivity</t>
  </si>
  <si>
    <t>The Malaysian International Seminar on Antarctica (MISA) is a series of the biennial event, which gathers researchers from various countries across the globe to share findings and experiences in polar research and also provides a platform for our scientists to strengthen existing and forge new collaborations. MISA also provides opportunities for local researchers and students who are interested in pursuing their career in polar sciences especially global sciences. The theme of MISA7 is Connectivity between Polar and Equatorial Climate and Biosphere: from the Poles to the Tropics. The theme is in line with the rationale that the Poles are an integral part of the global Earth system and as the origin of important climatic, biological, and physical processes that can influence the tropics. Conversely, processes in the tropics could also influence the polar region. This connectivity issue becomes critical in the Anthropocene Era where climate change and anthropogenic activities have significant impacts on the environment. This crucial topic requires attention and collaboration between various disciplines and field of research. The link between polar process and tropics may reveal results that may provide an early warning precursor of important global changes that may affect both regions. This Special Issue of Polar Science is a collection of selected papers delivered at this seminar.</t>
  </si>
  <si>
    <t>[Abu Samah, Azizan; Alias, Siti Aisah; Eem, Lim Phaik; Chenoli, Sheeba Nettukandy] Univ Malaya, Kuala Lumpur, Malaysia; [Ponting, Stephen Brian] Yale NUS Coll, Singapore, Singapore; [Chaturvedi, Sanjay] Panjab Univ, Chandigarh, India</t>
  </si>
  <si>
    <t>Universiti Malaya; Yale NUS College; Panjab University</t>
  </si>
  <si>
    <t>Abu Samah, A (corresponding author), Univ Malaya, Kuala Lumpur, Malaysia.</t>
  </si>
  <si>
    <t>azizans@um.edu.my</t>
  </si>
  <si>
    <t>ABU SAMAH, AZIZAN HJ/B-8295-2010; LIM, Phaik Eem/B-5331-2010; Chenoli, Sheeba Nettukandy/G-6726-2012; FASc, SITI AISYAH A. HJ ALIAS/B-9785-2010</t>
  </si>
  <si>
    <t>LIM, Phaik Eem/0000-0001-9186-1487; FASc, SITI AISYAH A. HJ ALIAS/0000-0002-6759-5745</t>
  </si>
  <si>
    <t>Universiti Malaysia Terengganu; MOSTI/MESTECC; National Antarctic Research Centre; Sultan Mizan Antarctic Research Foundation</t>
  </si>
  <si>
    <t>As guest editors of this special issue, we would like to thank all the contributors and reviewers of the articles submitted for this issue, as well as the Editorial Office of Polar Science, in particular, Takashi Yamanouchi, Editor-in-Chief, Mayumi Asano and Kana Tadaki for their kind help. We would also like to thank Universiti Malaysia Terengganu, MOSTI/MESTECC, National Antarctic Research Centre and Sultan Mizan Antarctic Research Foundation for all the support given to this seminar.</t>
  </si>
  <si>
    <t>10.1016/j.polar.2019.07.001</t>
  </si>
  <si>
    <t>WOS:000483368600001</t>
  </si>
  <si>
    <t>Hamilton, S; Baker, GB</t>
  </si>
  <si>
    <t>Hamilton, Sheryl; Baker, G. Barry</t>
  </si>
  <si>
    <t>Technical mitigation to reduce marine mammal bycatch and entanglement in commercial fishing gear: lessons learnt and future directions</t>
  </si>
  <si>
    <t>By-catch; Cetacean; Gillnet; Longline; Pinniped; Trawl</t>
  </si>
  <si>
    <t>PORPOISE PHOCOENA-PHOCOENA; LIONS PHOCARCTOS-HOOKERI; BOTTLE-NOSED DOLPHINS; ACOUSTIC DETERRENT DEVICES; EASTERN TROPICAL PACIFIC; LONG-TERM EFFECTIVENESS; ATLANTIC RIGHT WHALES; SEA-TURTLE BYCATCH; BY-CATCH; OPERATIONAL INTERACTIONS</t>
  </si>
  <si>
    <t>Fisheries bycatch is one of the biggest threats to marine mammal populations. A literature review was undertaken to provide a comprehensive assessment and synopsis of gear modifications and technical devices to reduce marine mammal bycatch in commercial trawl, purseseine, longline, gillnet and pot/trap fisheries. Successfully implemented mitigation measures include acoustic deterrent devices (pingers) which reduced the bycatch of some small cetacean species in gillnets, appropriately designed exclusion devices which reduced pinniped bycatch in some trawl fisheries, and various pot/trap guard designs that reduced marine mammal entrapment. However, substantial development and research of mitigation options is required to address the bycatch of a range of species in many fisheries. No reliably effective technical solutions to reduce small cetacean bycatch in trawl nets are available, although loud pingers have shown potential. There are currently no technical options that effectively reduce marine mammal interactions in longline fisheries, although development of catch and hook protection devices is promising. Solutions are also needed for species, particularly pinnipeds and small cetaceans, that are not deterred by pingers and continue to be caught in static gillnets. Large whale entanglements in static gear, particularly buoy lines for pots/traps, needs urgent attention although there is encouraging research on rope-less pot/trap systems and identification of rope colours that are more detectable to whale species. Future mitigation development and deployment requires rigorous scientific testing to determine if significant bycatch reduction has been achieved, as well as consideration of potentially conflicting mitigation outcomes if multiple species are impacted by a fishery.</t>
  </si>
  <si>
    <t>[Hamilton, Sheryl; Baker, G. Barry] Univ Tasmania, Inst Marine &amp; Antarctic Studies, Hobart, Tas 7001, Australia; [Hamilton, Sheryl] Univ Tasmania, Ctr Marine Socioecol, Hobart, Tas 7001, Australia; [Hamilton, Sheryl; Baker, G. Barry] Latitude 42 Environm Consultants Pty Ltd, 114 Watsons Rd, Kettering, Tas 7155, Australia</t>
  </si>
  <si>
    <t>Hamilton, S (corresponding author), Univ Tasmania, Inst Marine &amp; Antarctic Studies, Hobart, Tas 7001, Australia.</t>
  </si>
  <si>
    <t>sheryl.hamilton@latitude42.com.au</t>
  </si>
  <si>
    <t>Baker, G. Barry/0000-0003-4766-8182</t>
  </si>
  <si>
    <t>We thank Mary-Anne Lea and two anonymous reviewers for their helpful comments on earlier drafts of this manuscript. We thank the University of Tasmania for support for S.H.</t>
  </si>
  <si>
    <t>10.1007/s11160-019-09550-6</t>
  </si>
  <si>
    <t>HY0LE</t>
  </si>
  <si>
    <t>WOS:000467802500002</t>
  </si>
  <si>
    <t>McCormack, SA; Trebilco, R; Melbourne-Thomas, J; Blanchard, JL; Fulton, EA; Constable, A</t>
  </si>
  <si>
    <t>McCormack, Stacey A.; Trebilco, Rowan; Melbourne-Thomas, Jessica; Blanchard, Julia L.; Fulton, Elizabeth A.; Constable, Andrew</t>
  </si>
  <si>
    <t>Using stable isotope data to advance marine food web modelling</t>
  </si>
  <si>
    <t>Ecopath; Ecosystem model; Management strategy evaluation; Size spectrum; Stable isotopes</t>
  </si>
  <si>
    <t>ECOSYSTEM MODELS; TROPHIC STRUCTURE; CLIMATE-CHANGE; BODY-SIZE; COMMUNITY; ECOPATH; RATIOS; DELTA-N-15; UNCERTAINTY; DYNAMICS</t>
  </si>
  <si>
    <t>Marine ecosystem models that incorporate fisheries and climate change are essential for forecasting and guiding sustainable ecosystem management decisions. A key challenge in developing and applying ecosystem models that are able to provide robust predictions for management is to accurately represent the structure and dynamics of food webs. Ecosystem models vary in complexity and formulation and there is no set method routinely used to evaluate the skill of a model to correctly represent food web characteristics. One approach for evaluation is the comparison of modelled food web attributes with measures of stable isotope composition of taxa. While this approach has been used in some studies, its full potential has not been realised. Critically, directly modelling the assumed underlying processes that give rise to stable isotope signatures in ecosystem models has only just begun to be explored. Here, we examine the process of building ecosystem models and assess the potential for incorporating stable isotope results into this process, including the evaluation of model skill. We consider both size- and species- based ecosystem modelling approaches for their potential in this regard. We discuss that whilst conceptually achievable, in practice this is highly challenging through highlighting the advances and challenges in using stable isotope data, including the implications of precision associated with isotope-based measurements. We conclude with a proposed framework for explicitly integrating stable isotope data into both size- and species- based ecosystem models as an example of how signatures may be more powerfully used in the modelling process, and highlight key needs for future work.</t>
  </si>
  <si>
    <t>[McCormack, Stacey A.; Blanchard, Julia L.] Univ Tasmania, Inst Marine &amp; Antarctic Studies, Private Bag 129,20 Castray Esplanade, Hobart, Tas 7001, Australia; [McCormack, Stacey A.; Trebilco, Rowan; Melbourne-Thomas, Jessica; Constable, Andrew] Univ Tasmania, Antarctic Climate &amp; Ecosyst Cooperat Res Ctr, Hobart, Tas 7001, Australia; [Melbourne-Thomas, Jessica; Constable, Andrew] Dept Environm &amp; Energy, Australian Antarctic Div, 203 Channel Highway, Kingston, Tas 7050, Australia; [Fulton, Elizabeth A.] CSIRO, Oceans &amp; Atmosphere Flagship, GPO Box 1538, Hobart, Tas 7001, Australia</t>
  </si>
  <si>
    <t>University of Tasmania; Antarctic Climate &amp; Ecosystems Cooperative Research Centre (ACE CRC); University of Tasmania; Australian Antarctic Division; Commonwealth Scientific &amp; Industrial Research Organisation (CSIRO)</t>
  </si>
  <si>
    <t>McCormack, SA (corresponding author), Univ Tasmania, Inst Marine &amp; Antarctic Studies, Private Bag 129,20 Castray Esplanade, Hobart, Tas 7001, Australia.</t>
  </si>
  <si>
    <t>stacey.mccormack@utas.edu.au</t>
  </si>
  <si>
    <t>Melbourne-Thomas, Jess/N-2437-2019; Blanchard, Julia L/E-4919-2010; Trebilco, Rowan/I-5311-2012; Fulton, Beth/A-2871-2008</t>
  </si>
  <si>
    <t>Melbourne-Thomas, Jess/0000-0001-6585-876X; Trebilco, Rowan/0000-0001-9712-8016; McCormack, Stacey/0000-0002-8949-4793; Blanchard, Julia/0000-0003-0532-4824</t>
  </si>
  <si>
    <t>Australian government's Cooperative Research Centre Program through the Antarctic Climate and Ecosystems Cooperative Research Centre (ACE CRC); Australian Antarctic Science Program [4347, 4366]; AAD-UTAS Quantitative Antarctic Science Program; Australian Research Training Program; RJL Hawke Postdoctoral Fellowship</t>
  </si>
  <si>
    <t>Australian government's Cooperative Research Centre Program through the Antarctic Climate and Ecosystems Cooperative Research Centre (ACE CRC)(Australian GovernmentDepartment of Industry, Innovation and ScienceCooperative Research Centres (CRC) Programme); Australian Antarctic Science Program; AAD-UTAS Quantitative Antarctic Science Program; Australian Research Training Program; RJL Hawke Postdoctoral Fellowship</t>
  </si>
  <si>
    <t>This work was supported by the Australian government's Cooperative Research Centre Program through the Antarctic Climate and Ecosystems Cooperative Research Centre (ACE CRC) and through the Australian Antarctic Science Program (Projects 4347 and 4366). SAM acknowledges funding from the AAD-UTAS Quantitative Antarctic Science Program, and the Australian Research Training Program. RT was supported by the RJL Hawke Postdoctoral Fellowship. We thank Christopher Griffiths, Dr Andrea Walters, Dr Clive Trueman, Dr Kevin J Flynn and five anonymous reviewers for their helpful comments on previous versions of the manuscript.</t>
  </si>
  <si>
    <t>10.1007/s11160-019-09552-4</t>
  </si>
  <si>
    <t>WOS:000467802500004</t>
  </si>
  <si>
    <t>de la Chesnais, T; Fulton, EA; Tracey, SR; Pecl, GT</t>
  </si>
  <si>
    <t>de la Chesnais, Thibaut; Fulton, Elizabeth A.; Tracey, Sean R.; Pecl, Gretta T.</t>
  </si>
  <si>
    <t>The ecological role of cephalopods and their representation in ecosystem models</t>
  </si>
  <si>
    <t>Cephalopods; Ecological role; Ecosystem model; Key species</t>
  </si>
  <si>
    <t>SQUID DOSIDICUS-GIGAS; SWORDFISH XIPHIAS-GLADIUS; GULF-OF-CALIFORNIA; SOUTHERN ELEPHANT SEALS; COMPARING TROPHIC FLOWS; TUNA THUNNUS-THYNNUS; NEON FLYING SQUID; JUMBO SQUID; FEEDING-HABITS; FOOD-WEB</t>
  </si>
  <si>
    <t>Cephalopods, especially squids, are believed to have a structuring role in marine ecosystems as a link between different trophic levels, primarily due to their voracious prey consumption and high production rate. Cephalopod ecology, however, is still poorly understood as observational studies often give highly uncertain and variable results due to the peculiarities of cephalopod behaviour and biology, and their responsiveness to external drivers. This review evaluates our representation of cephalopods in ecosystem models and the insights given by these models on the role of cephalopods in our oceans. We examined ecosystem models from 13 regions to analyse the representation of cephalopods and compared their results to local trophic studies. Our analysis indicated that most ecosystem models inadequately include cephalopods in terms of model structure and parametrization; although some models still have the capacity to draw valuable conclusions regarding the impact and role of cephalopods within the system. Oceanic squid species have a major role linking trophic levels and food webs from different habitats. The importance of neritic species varies locally, but generally cephalopods have a substantial impact via their consumer role. To better understand the ecological role of cephalopods, improved representation of these species in ecosystem models is a critical requirement and could be achieved relatively easily to more accurately articulate the mechanisms regulating the ecological role of cephalopods.</t>
  </si>
  <si>
    <t>[de la Chesnais, Thibaut; Tracey, Sean R.; Pecl, Gretta T.] Univ Tasmania, Inst Marine &amp; Antarctic Studies, Private Bag 49, Hobart, Tas 7001, Australia; [de la Chesnais, Thibaut; Fulton, Elizabeth A.] CSIRO, GPO Box 1538, Hobart, Tas 7001, Australia</t>
  </si>
  <si>
    <t>de la Chesnais, T (corresponding author), Univ Tasmania, Inst Marine &amp; Antarctic Studies, Private Bag 49, Hobart, Tas 7001, Australia.</t>
  </si>
  <si>
    <t>thibaut.houittedelachesnais@utas.edu.au</t>
  </si>
  <si>
    <t>Fulton, Beth/A-2871-2008; Fulton, Beth/AAJ-1398-2021; Pecl, Gretta/D-7267-2011; Tracey, Sean/J-7446-2014</t>
  </si>
  <si>
    <t>Fulton, Beth/0000-0002-5904-7917; Pecl, Gretta/0000-0003-0192-4339; Tracey, Sean/0000-0002-6735-5899; de la Chesnais, Thibaut/0000-0002-5142-9814</t>
  </si>
  <si>
    <t>Institute for Marine and Antarctic Studies (IMAS); Commonwealth Scientific and Industrial Research Organization (CSIRO); ARC Future Fellowship [FT140100596]</t>
  </si>
  <si>
    <t>Institute for Marine and Antarctic Studies (IMAS); Commonwealth Scientific and Industrial Research Organization (CSIRO)(Commonwealth Scientific &amp; Industrial Research Organisation (CSIRO)); ARC Future Fellowship(Australian Research Council)</t>
  </si>
  <si>
    <t>We would like to acknowledge the financial and material support of the Institute for Marine and Antarctic Studies (IMAS) and the Commonwealth Scientific and Industrial Research Organization (CSIRO). GTP was supported by an ARC Future Fellowship (FT140100596). I would also like to thank the reviewers who provided comments that allowed us to substantially improve the manuscript through the revision process, both in terms of robustness and clarity of presentation.</t>
  </si>
  <si>
    <t>10.1007/s11160-019-09554-2</t>
  </si>
  <si>
    <t>WOS:000467802500006</t>
  </si>
  <si>
    <t>Lenaerts, JTM; Medley, B; van den Broeke, MR; Wouters, B</t>
  </si>
  <si>
    <t>Lenaerts, Jan T. M.; Medley, Brooke; van den Broeke, Michiel R.; Wouters, Bert</t>
  </si>
  <si>
    <t>Observing and Modeling Ice Sheet Surface Mass Balance</t>
  </si>
  <si>
    <t>ice sheets; observations; climate modeling; surface mass balance; Antarctica; Greenland</t>
  </si>
  <si>
    <t>DRONNING-MAUD-LAND; REGIONAL CLIMATE MODEL; AMUNDSEN SEA EMBAYMENT; ATMOSPHERIC BOUNDARY-LAYER; EAST ANTARCTIC PLATEAU; PREDICTION SYSTEM AMPS; PINE ISLAND GLACIER; TERRA-NOVA BAY; SNOW ACCUMULATION; WEST ANTARCTICA</t>
  </si>
  <si>
    <t>Surface mass balance (SMB) provides mass input to the surface of the Antarctic and Greenland Ice Sheets and therefore comprises an important control on ice sheet mass balance and resulting contribution to global sea level change. As ice sheet SMB varies highly across multiple scales of space (meters to hundreds of kilometers) and time (hourly to decadal), it is notoriously challenging to observe and represent in models. In addition, SMB consists of multiple components, all of which depend on complex interactions between the atmosphere and the snow/ice surface, large-scale atmospheric circulation and ocean conditions, and ice sheet topography. In this review, we present the state-of-the-art knowledge and recent advances in ice sheet SMB observations and models, highlight current shortcomings, and propose future directions. Novel observational methods allow mapping SMB across larger areas, longer time periods, and/or at very high (subdaily) temporal frequency. As a recent observational breakthrough, cosmic ray counters provide direct estimates of SMB, circumventing the need for accurate snow density observations upon which many other techniques rely. Regional atmospheric climate models have drastically improved their simulation of ice sheet SMB in the last decade, thanks to the inclusion or improved representation of essential processes (e.g., clouds, blowing snow, and snow albedo), and by enhancing horizontal resolution (5-30 km). Future modeling efforts are required in improving Earth system models to match regional atmospheric climate model performance in simulating ice sheet SMB, and in reinforcing the efforts in developing statistical and dynamic downscaling to represent smaller-scale SMB processes.</t>
  </si>
  <si>
    <t>[Lenaerts, Jan T. M.] Univ Colorado, Dept Atmospher &amp; Ocean Sci, Boulder, CO 80309 USA; [Medley, Brooke] NASA, Cryospher Sci Lab, GSFC, Goddard, MD USA; [van den Broeke, Michiel R.; Wouters, Bert] Univ Utrecht, Inst Marine &amp; Atmospher Res, Utrecht, Netherlands; [Wouters, Bert] Delft Univ Technol, Fac Civil Engn &amp; Geosci, Delft, Netherlands</t>
  </si>
  <si>
    <t>University of Colorado System; University of Colorado Boulder; National Aeronautics &amp; Space Administration (NASA); Utrecht University; Delft University of Technology</t>
  </si>
  <si>
    <t>Lenaerts, JTM (corresponding author), Univ Colorado, Dept Atmospher &amp; Ocean Sci, Boulder, CO 80309 USA.</t>
  </si>
  <si>
    <t>jan.lenaerts@colorado.edu</t>
  </si>
  <si>
    <t>Van den Broeke, Michiel R./F-7867-2011; Wouters, Bert/AAA-4254-2019; Lenaerts, Jan/D-9423-2012</t>
  </si>
  <si>
    <t>Van den Broeke, Michiel R./0000-0003-4662-7565; Wouters, Bert/0000-0002-1086-2435; Lenaerts, Jan/0000-0003-4309-4011</t>
  </si>
  <si>
    <t>National Aeronatics and Space Administration (NASA) [80NSSC18K0201, 80NSSC17K0565]; ICESat2 Project Science Office; NWO VIDI Grant [016.Vidi.171.065]</t>
  </si>
  <si>
    <t>National Aeronatics and Space Administration (NASA); ICESat2 Project Science Office; NWO VIDI Grant(Netherlands Organization for Scientific Research (NWO))</t>
  </si>
  <si>
    <t>We are extremely grateful to Marlo Garnsworthy (http://www.wordybirdstudio.com) for sharing her illustrating talents with us, which led to the creation of Figure 1 of this paper. We thank Operation IceBridge for the data collection and processing and the National Snow and Ice Data Center (NSIDC) for IceBridge data distribution. OIB data are available on the NSIDC Operation IceBridge Data Portal (https://nsidc.org/icebridge/portal/).Atmospheric reanalysis data sets are available on online data servers. ERA-Interim is available on ECMWF (https://apps.ecmwf.int/datasets/), MERRA-2 can be retrieved on MDISC (https://disc.gsfc.nasa.gov), and CFSR via NCAR (https://rda.ucar.edu/datasets/ds093.1/).The 1980-2015 annual P-E from these three reanalyses are made available as supplementary data sets. RACMO2 output is feely available upon request to Michiel van den Broeke(m.r.vandenbroeke@uu.nl).MARv3 output can be downloaded via FTP (ftp. climato. be/fettweis/). J. T. M. Lenaerts acknowledges support from the National Aeronatics and Space Administration (NASA), Grants 80NSSC18K0201 (ROSES-2016: studies with ICESat-2 and CryoSat-2) and 80NSSC17K0565 (NASA Sea Level Team 2017-2020). B. Medley acknowledges support from the ICESat2 Project Science Office. B. Wouters was supported by NWO VIDI Grant 016.Vidi.171.065.</t>
  </si>
  <si>
    <t>10.1029/2018RG000622</t>
  </si>
  <si>
    <t>IL9PK</t>
  </si>
  <si>
    <t>hybrid, Green Submitted, Green Published</t>
  </si>
  <si>
    <t>WOS:000477616400005</t>
  </si>
  <si>
    <t>Chadwick, M; Harper, EM; Lemasson, A; Spicer, JI; Peck, LS</t>
  </si>
  <si>
    <t>Chadwick, Matthew; Harper, Elizabeth M.; Lemasson, Anaelle; Spicer, John I.; Peck, Lloyd S.</t>
  </si>
  <si>
    <t>Quantifying susceptibility of marine invertebrate biocomposites to dissolution in reduced pH</t>
  </si>
  <si>
    <t>ROYAL SOCIETY OPEN SCIENCE</t>
  </si>
  <si>
    <t>ocean acidification; microstructure; bivalves; dissolution; crustaceans</t>
  </si>
  <si>
    <t>OCEAN ACIDIFICATION; SHELL DISSOLUTION; BIVALVIA; CALCITE; MICROSTRUCTURE; ORGANIZATION; ARAGONITE; REPAIR; LAYER; ORIENTATION</t>
  </si>
  <si>
    <t>Ocean acidification threatens many ecologically and economically important marine calcifiers. The increase in shell dissolution under the resulting reduced pH is an important and increasingly recognized threat. The biocomposites that make up calcified hardparts have a range of taxon-specific compositions and microstructures, and it is evident that these may influence susceptibilities to dissolution. Here, we show how dissolution (thickness loss), under both ambient and predicted end-century pH (approx. 7.6), varies between seven different bivalve molluscs and one crustacean biocomposite and investigate how this relates to details of their microstructure and composition. Over 100 days, the dissolution of all microstructures was greater under the lower pH in the end-century conditions. Dissolution of lobster cuticle was greater than that of any bivalve microstructure, despite its calcite mineralogy, showing the importance of other microstructural characteristics besides carbonate polymorph. Organic content had the strongest positive correlation with dissolution when all microstructures were considered, and together with Mg/Ca ratio, explained 80-90% of the variance in dissolution. Organic content, Mg/Ca ratio, crystal density and mineralogy were all required to explain the maximum variance in dissolution within only bivalve microstructures, but still only explained 50-60% of the variation in dissolution.</t>
  </si>
  <si>
    <t>[Chadwick, Matthew; Harper, Elizabeth M.] Univ Cambridge, Dept Earth Sci, Downing St, Cambridge CB2 3EQ, England; [Lemasson, Anaelle; Spicer, John I.] Univ Plymouth, Sch Biol &amp; Marine Sci, Plymouth PL4 8AA, Devon, England; [Peck, Lloyd S.] British Antarctic Survey, Madingley Rd, Cambridge CB3 0ET, England</t>
  </si>
  <si>
    <t>University of Cambridge; University of Plymouth; UK Research &amp; Innovation (UKRI); Natural Environment Research Council (NERC); NERC British Antarctic Survey</t>
  </si>
  <si>
    <t>Chadwick, M (corresponding author), Univ Cambridge, Dept Earth Sci, Downing St, Cambridge CB2 3EQ, England.</t>
  </si>
  <si>
    <t>machad27@bas.ac.uk</t>
  </si>
  <si>
    <t>Harper, Elizabeth M/B-3890-2008; Chadwick, Matthew/HTM-7278-2023</t>
  </si>
  <si>
    <t>Chadwick, Matthew/0000-0002-3861-4564; Lemasson, Anaelle/0000-0002-5158-0610; Spicer, John/0000-0002-6861-4039</t>
  </si>
  <si>
    <t>NERC [bas0100036] Funding Source: UKRI</t>
  </si>
  <si>
    <t>2054-5703</t>
  </si>
  <si>
    <t>ROY SOC OPEN SCI</t>
  </si>
  <si>
    <t>R. Soc. Open Sci.</t>
  </si>
  <si>
    <t>10.1098/rsos.190252</t>
  </si>
  <si>
    <t>IG4TZ</t>
  </si>
  <si>
    <t>WOS:000473797400028</t>
  </si>
  <si>
    <t>Aschwanden, A; Fahnestock, MA; Truffer, M; Brinkerhoff, DJ; Hock, R; Khroulev, C; Mottram, R; Khan, SA</t>
  </si>
  <si>
    <t>Aschwanden, Andy; Fahnestock, Mark A.; Truffer, Martin; Brinkerhoff, Douglas J.; Hock, Regine; Khroulev, Constantine; Mottram, Ruth; Khan, S. Abbas</t>
  </si>
  <si>
    <t>Contribution of the Greenland Ice Sheet to sea level over the next millennium</t>
  </si>
  <si>
    <t>OUTLET GLACIERS; ANTARCTIC ICE; CLIMATE; MODEL; BALANCE; SENSITIVITY; RETREAT; DRIVEN; WATER; VARIABILITY</t>
  </si>
  <si>
    <t>The Greenland Ice Sheet holds 7.2 m of sea level equivalent and in recent decades, rising temperatures have led to accelerated mass loss. Current ice margin recession is led by the retreat of outlet glaciers, large rivers of ice ending in narrow fjords that drain the interior. We pair an outlet glacier-resolving ice sheet model with a comprehensive uncertainty quantification to estimate Greenland's contribution to sea level over the next millennium. We find that Greenland could contribute 5 to 33 cm to sea level by 2100, with discharge from outlet glaciers contributing 8 to 45% of total mass loss. Our analysis shows that uncertainties in projecting mass loss are dominated by uncertainties in climate scenarios and surface processes, whereas uncertainties in calving and frontal melt play a minor role. We project that Greenland will very likely become ice free within a millennium without substantial reductions in greenhouse gas emissions.</t>
  </si>
  <si>
    <t>[Aschwanden, Andy; Fahnestock, Mark A.; Truffer, Martin; Hock, Regine; Khroulev, Constantine] Univ Alaska Fairbanks, 2156 Koyukuk Dr, Fairbanks, AK 99775 USA; [Brinkerhoff, Douglas J.] Univ Missoula, Comp Sci Dept, Missoula, MT 59812 USA; [Mottram, Ruth] Danish Meteorol Inst, Copenhagen, Denmark; [Khan, S. Abbas] DTU Space, Lyngby, Denmark</t>
  </si>
  <si>
    <t>University of Alaska System; University of Alaska Fairbanks; Danish Meteorological Institute DMI; Technical University of Denmark</t>
  </si>
  <si>
    <t>Aschwanden, A (corresponding author), Univ Alaska Fairbanks, 2156 Koyukuk Dr, Fairbanks, AK 99775 USA.</t>
  </si>
  <si>
    <t>aaschwanden@alaska.edu</t>
  </si>
  <si>
    <t>Khan, Shfaqat Abbas/AAP-6627-2021; Hock, Regine/C-6179-2013; Hock, Regine/JTT-4089-2023</t>
  </si>
  <si>
    <t>Khan, Shfaqat Abbas/0000-0002-2689-8563; Khrulev, Constantine/0000-0003-2170-7454; Truffer, Martin/0000-0001-8251-7043; Mottram, Ruth/0000-0002-1016-1997; Hock, Regine/0000-0001-8336-9441</t>
  </si>
  <si>
    <t>NASA [NNX16AQ40G, NNX17AG65G, NSSC17K0566]; NSF [PLR-1603799, PLR11603815]; European Research Council under the European Community Seventh Framework Programme (FP7/2007-2013)/ERC as part of the ice2ice project [610055]; Carlsbergfondet; Danish Council for Independent Research; NASA [896096, NNX16AQ40G] Funding Source: Federal RePORTER</t>
  </si>
  <si>
    <t>NASA(National Aeronautics &amp; Space Administration (NASA)); NSF(National Science Foundation (NSF)); European Research Council under the European Community Seventh Framework Programme (FP7/2007-2013)/ERC as part of the ice2ice project; Carlsbergfondet(Carlsberg Foundation); Danish Council for Independent Research(Det Frie Forskningsrad (DFF)); NASA(National Aeronautics &amp; Space Administration (NASA))</t>
  </si>
  <si>
    <t>A.A. was supported by NASA grant NNX16AQ40G and NSF grant PLR-1603799; A.A., M.A.F., and D.J.B. were supported by NASA grant NNX17AG65G; R.H. was supported by NSF grant PLR11603815 and NASA grant NSSC17K0566; R.M. was supported by the European Research Council under the European Community Seventh Framework Programme (FP7/2007-2013)/ERC grant agreement 610055 as part of the ice2ice project; and S.A.K. was funded, in part, by Carlsbergfondet and the Danish Council for Independent Research.</t>
  </si>
  <si>
    <t>eaav9396</t>
  </si>
  <si>
    <t>10.1126/sciadv.aav9396</t>
  </si>
  <si>
    <t>WOS:000473798500045</t>
  </si>
  <si>
    <t>Lenting, B; Gartrell, B; Kokosinska, A; Duignan, PJ; Michael, S; Hunter, S; Roe, WD</t>
  </si>
  <si>
    <t>Lenting, B.; Gartrell, B.; Kokosinska, A.; Duignan, P. J.; Michael, S.; Hunter, S.; Roe, W. D.</t>
  </si>
  <si>
    <t>Causes of adult mortality in two populations of New Zealand sea lions (Phocarctos hookeri)</t>
  </si>
  <si>
    <t>VETERINARY AND ANIMAL SCIENCE</t>
  </si>
  <si>
    <t>Pinniped; Sea lion; Anthropogenic; Infectious disease; Mortality; Tuberculosis</t>
  </si>
  <si>
    <t>ARCTOCEPHALUS-PUSILLUS-DORIFERUS; MYCOBACTERIUM-PINNIPEDII; FUR SEALS; ENDERBY ISLAND; 1ST REPORT; TUBERCULOSIS; STRAIN; PUPS</t>
  </si>
  <si>
    <t>The New Zealand sea lion is an endangered species endemic to New Zealand. While causes of death are well described for pups of this species, mortality in adults is poorly characterised. This study investigated causes of death in 136 New Zealand sea lions in two different populations: a major breeding site on remote, uninhabited Enderby Island in the sub-Antarctic, and a slowly increasing recolonising population on the inhabited mainland. For animals with at least a partial diagnostic investigation (n = 112), the most frequently diagnosed causes of mortality were infectious disease (41/112; 37%), particularly tuberculosis due to M. pinnipedii (20/112; 18%), and conspecific trauma (27/112; 24%). Anthropogenic trauma was an important cause of death in mainland sea lions (9/33; 26%). Deliberate anthropogenic mortality has previously been identified as the greatest potential threat to population recovery for mainland sea lions, and as human and pinniped populations increase, managing interactions between these species will become increasingly important.</t>
  </si>
  <si>
    <t>[Lenting, B.; Gartrell, B.; Kokosinska, A.; Michael, S.; Hunter, S.; Roe, W. D.] Massey Univ, Sch Vet Sci, PN 4442, Palmerston North, New Zealand; [Duignan, P. J.] Marine Mammal Ctr, Sausalito, CA 94965 USA; [Lenting, B.] Wellington Zoo, 200 Daniell St, Wellington 6021, New Zealand; [Kokosinska, A.] Univ Georgia, Coll Vet Med, 501 DW Brooks Dr, Athens, GA 30602 USA</t>
  </si>
  <si>
    <t>Massey University; University System of Georgia; University of Georgia</t>
  </si>
  <si>
    <t>Roe, WD (corresponding author), Massey Univ, Sch Vet Sci, PN 4442, Palmerston North, New Zealand.</t>
  </si>
  <si>
    <t>w.d.roe@massey.ac.nz</t>
  </si>
  <si>
    <t>roe, wendi d/K-4110-2012</t>
  </si>
  <si>
    <t>Gartrell, Brett/0000-0002-8062-9313</t>
  </si>
  <si>
    <t>Department of Conservation</t>
  </si>
  <si>
    <t>The authors would like to gratefully acknowledge the assistance of Jim Fyfe, Ros Coles, Laura Boren and other New Zealand Department of Conservation staff and scientists who assisted with mainland sea lion post mortems and logistics; New Zealand Sea Lion Trust members, particularly Sean McConkey; Louise Chilvers, plus the many veterinarians and scientists who performed post mortems on Enderby Island; and Komkiew Pinpimai, Lynn Rogers, Mike Hogan, Craig Thomas, Evelyn Lupton and Saritha Gils for technical assistance. This study was part-funded by the Department of Conservation.</t>
  </si>
  <si>
    <t>2451-943X</t>
  </si>
  <si>
    <t>VET ANIM SCI</t>
  </si>
  <si>
    <t>Vet. Anim. Sci.</t>
  </si>
  <si>
    <t>10.1016/j.vas.2019.100057</t>
  </si>
  <si>
    <t>Agriculture, Dairy &amp; Animal Science; Veterinary Sciences</t>
  </si>
  <si>
    <t>Agriculture; Veterinary Sciences</t>
  </si>
  <si>
    <t>MJ8BG</t>
  </si>
  <si>
    <t>WOS:000548312500018</t>
  </si>
  <si>
    <t>González-Wevar, CA; Hüne, M; Rosenfeld, S; Nakano, T; Saucède, T; Spencer, H; Poulin, E</t>
  </si>
  <si>
    <t>Gonzalez-Wevar, Claudio A.; Hune, Mathias; Rosenfeld, Sebastian; Nakano, Tomoyuki; Saucede, Thomas; Spencer, Hamish; Poulin, Elie</t>
  </si>
  <si>
    <t>Systematic revision of Nacella (Patellogastropoda: Nacellidae) based on a complete phylogeny of the genus, with the description of a new species from the southern tip of South America</t>
  </si>
  <si>
    <t>Antarctica; biogeography; COI mtDNA; Miocene; molecular phylogeny; Mollusca; morphology; Patagonia; phylogenetic systematic; rRNA</t>
  </si>
  <si>
    <t>PATINIGERA CONCINNA STREBEL; MIOCENE CLIMATIC TRANSITION; LONG-DISTANCE DISPERSAL; MOLECULAR PHYLOGENY; BEAGLE CHANNEL; HISTORICAL BIOGEOGRAPHY; MACROCYSTIS-PYRIFERA; MAGELLANICA GMELIN; GENETIC DIVERSITY; FOOD AVAILABILITY</t>
  </si>
  <si>
    <t>True limpets of the genus Nacella (Patellogastropoda: Nacellidae) include at least 11 nominal species distributed in different provinces of the Southern Ocean. Here, we present new molecular analyses and a comprehensive morphological revision of Nacella confirming the validity of all the currently recognized species, but with important amendments to the published distributions of several. We also show that specimens collected along two fjords in the Beagle Channel, southern South America, constitute a new taxon: Nacella yaghana sp. nov. The phylogenetic position of this new taxon in our molecular tree reveals that it represents an ancestral South American lineage of Nacella, markedly separated from the previously recognized and evolutionary recent Magellanic radiation. In addition, this new Nacella species was clearly distinguished from the rest of the species by morphological comparisons, including shell characteristics, radular-tooth shape and configuration, as well as by the coloration pattern of the mantle tentacles. This study provides new evidence about the evolutionary history of this important Southern Ocean, marine, near-shore benthic group and the role of the Antarctic Circumpolar Current in the biogeography of the genus.</t>
  </si>
  <si>
    <t>[Gonzalez-Wevar, Claudio A.] Univ Austral Chile, ICML, Lab Genom &amp; Ecol Mol Antartica &amp; Sub Antartica, Edificio Emilio Pugin,Campus Isla Teja, Valdivia, XIV Region De L, Chile; [Gonzalez-Wevar, Claudio A.; Hune, Mathias; Poulin, Elie] Univ Chile, Dept Ciencias Ecol, IEB, Las Palmeras 3425, Santiago, Chile; [Gonzalez-Wevar, Claudio A.] Univ Austral Chile, Ctr FONDAP Invest Dinam Ecosistemas Marinos Altas, Valdivia, Chile; [Rosenfeld, Sebastian] Univ Magallanes, Lab Ecosistemas Marinos Antarticos &amp; Subantartico, Casilla 113-D, Punta Arenas, Chile; [Nakano, Tomoyuki] Kyoto Univ, Field Sci Educ &amp; Res Ctr, Seto Marine Biol Lab, 459 Shirahama, Wakayama 6492211, Japan; [Saucede, Thomas] IMBE Inst Mediterraneen Biol &amp; Ecol Marine &amp; Cont, UMR 7263, Stn Marine Endoume, Marseille, France; [Spencer, Hamish] Univ Otago, Dept Zool, Dunedin 9054, New Zealand</t>
  </si>
  <si>
    <t>Universidad Austral de Chile; Universidad de Chile; Universidad Austral de Chile; Universidad de Magallanes; Kyoto University; Aix-Marseille Universite; Centre National de la Recherche Scientifique (CNRS); Institut de Recherche pour le Developpement (IRD); CNRS - Institute of Ecology &amp; Environment (INEE); University of Otago</t>
  </si>
  <si>
    <t>González-Wevar, CA (corresponding author), Univ Austral Chile, ICML, Lab Genom &amp; Ecol Mol Antartica &amp; Sub Antartica, Edificio Emilio Pugin,Campus Isla Teja, Valdivia, XIV Region De L, Chile.;González-Wevar, CA (corresponding author), Univ Chile, Dept Ciencias Ecol, IEB, Las Palmeras 3425, Santiago, Chile.;González-Wevar, CA (corresponding author), Univ Austral Chile, Ctr FONDAP Invest Dinam Ecosistemas Marinos Altas, Valdivia, Chile.</t>
  </si>
  <si>
    <t>claudio.gonzalez@uach.cl</t>
  </si>
  <si>
    <t>Hüne, Mathias/ABE-6000-2020; Spencer, Hamish G/B-9637-2008; González-Wevar, Claudio Alejandro/AAD-6513-2021; Poulin, Elie/C-2654-2012</t>
  </si>
  <si>
    <t>Spencer, Hamish G/0000-0001-7531-597X; Poulin, Elie/0000-0001-7736-0969; Rosenfeld, Sebastian/0000-0002-4363-8018; Nakano, Tomoyuki/0009-0008-0109-1289</t>
  </si>
  <si>
    <t>Initiation Fondecyt Project [11140087]; INACH [RG_18-17]; FONDAP IDEAL Project [15150003]; Fondecyt project [1151336]; Instituto de Ecologia y Biodiversidad IEB [P05-002 ICM, PFB 023]; CONICYT PIA [ACT172065]; IPEV programme [415]</t>
  </si>
  <si>
    <t>Initiation Fondecyt Project; INACH; FONDAP IDEAL Project; Fondecyt project(Comision Nacional de Investigacion Cientifica y Tecnologica (CONICYT)CONICYT FONDECYT); Instituto de Ecologia y Biodiversidad IEB; CONICYT PIA; IPEV programme</t>
  </si>
  <si>
    <t>This study was funded by the following projects and institutions: An Initiation Fondecyt Project (11140087), and INACH RG_18-17 and FONDAP IDEAL Project No 15150003 to CAGW. Regular Fondecyt project (1151336) EP. We greatly appreciate support from the projects P05-002 ICM and PFB 023 (Instituto de Ecologia y Biodiversidad IEB) to EP, SR, and CAG-W; CONICYT PIA ACT172065 to EP and CAG-W. All specimens were collected in accordance with Chilean legislation (Technical Memorandum P.INV No 429/2015 SUBPESCA). Permits to undertake field studies and collect specimens in the Falkland Islands were issued by the Environmental Planning Department, the Falkland Islands Government. Field access facilities at Kerguelen Archipelago were supported 415 by IPEV programme 1044 Proteker to E.P, C.A.G-W, and T.S. We recognize the SCAR AntEco and EBA programmes, CAML and SAERI for encouraging and supporting Antarctic and sub-Antarctic evolutionary biology studies. This manuscript contributes to the SCAR 'State of Antarctic Ecosystem' (AntEco) programme.</t>
  </si>
  <si>
    <t>10.1093/zoolinnean/zly067</t>
  </si>
  <si>
    <t>WOS:000469821200001</t>
  </si>
  <si>
    <t>Zawierucha, K; Buda, J; Fontaneto, D; Ambrosini, R; Franzetti, A; Wierzgon, M; Bogdziewicz, M</t>
  </si>
  <si>
    <t>Zawierucha, Krzysztof; Buda, Jakub; Fontaneto, Diego; Ambrosini, Roberto; Franzetti, Andrea; Wierzgon, Mariusz; Bogdziewicz, Michal</t>
  </si>
  <si>
    <t>Fine-scale spatial heterogeneity of invertebrates within cryoconite holes</t>
  </si>
  <si>
    <t>AQUATIC ECOLOGY</t>
  </si>
  <si>
    <t>Extreme habitats; Polar and alpine ecosystems; Random distribution; Rotifera; Supraglacial environments; Tardigrada</t>
  </si>
  <si>
    <t>GEOSTATISTICAL ANALYSIS; COMMUNITY STRUCTURE; GLACIERS; VARIABILITY; TARDIGRADA; DIVERSITY; BACTERIA; EVOLUTION; MOISTURE; SVALBARD</t>
  </si>
  <si>
    <t>Cryoconite holes (water-filled reservoirs) are considered ecologically simple ecosystems but represent biological hotspots of biodiversity on glaciers. In order to check for fine-scale spatial distribution of metazoans on the bottom of the holes, in this study, we analysed three groups of grazing invertebrates as a model: tardigrades, rotifers, and mites. We addressed differences within cryoconite holes comparing the distribution of invertebrates within and between separate holes and between glaciers at a worldwide scale. We divided each cryoconite hole into three sampling zones (established in relation to water flow on a glacier) and collected nine subsamples within cryoconite holes on glaciers in the Arctic (Longyearbreen), Norway (Blaisen), the Alps (Forni) and maritime Antarctic (Ecology Glacier). Generally, we found no consistent difference in sampling zones within cryoconite holes, which suggests homogeneity on the hole floors. However, we did find strong differences and high heterogeneity between subsamples, even within the same zone. Invertebrate densities ranged between 52 and 426 individuals per ml in subsamples collected from the same hole. We found from zero to four trdigrade species in the cryoconite hole on Longyearbreen. Our results show that benthic animals in cryoconite holes in various climatic zones have heterogeneous spatial distribution, even if no preference could be highlighted for upstream versus downstream areas with respect to water flow. The distribution of invertebrates may result from ecosystem disturbance by flushing water and animals' active movement. Cryoconite holes, usually considered to be simple ecosystems, seem to be complex habitats where hidden spatial heterogeneity may affect abundance and diversity of organisms.</t>
  </si>
  <si>
    <t>[Zawierucha, Krzysztof; Buda, Jakub] Adam Mickiewicz Univ, Dept Anim Taxon &amp; Ecol, Umultowska 89, PL-61614 Poznan, Poland; [Fontaneto, Diego] Natl Res Council Italy, Water Res Inst, Largo Tonolli 50, I-28922 Verbania, Italy; [Ambrosini, Roberto] Univ Milan, Dept Environm Sci &amp; Policy, Via Celoria 26, I-20131 Milan, Italy; [Franzetti, Andrea] Univ Milano Bicocca, Dept Earth &amp; Environm Sci DISAT, Piazza Sci 1, I-20126 Milan, Italy; [Wierzgon, Mariusz] Univ Silesia Katowice, Fac Biol &amp; Environm Protect, Dept Bot &amp; Nat Protect, Jagiellonska 28, PL-40032 Katowice, Poland; [Bogdziewicz, Michal] Adam Mickiewicz Univ, Dept Systemat Zool, Umultowska 89, PL-61614 Poznan, Poland</t>
  </si>
  <si>
    <t>Adam Mickiewicz University; Consiglio Nazionale delle Ricerche (CNR); Istituto di Ricerca sulle Acque (IRSA-CNR); University of Milan; University of Milano-Bicocca; University of Silesia in Katowice; Adam Mickiewicz University</t>
  </si>
  <si>
    <t>Zawierucha, K (corresponding author), Adam Mickiewicz Univ, Dept Anim Taxon &amp; Ecol, Umultowska 89, PL-61614 Poznan, Poland.</t>
  </si>
  <si>
    <t>Ambrosini, Roberto/F-3188-2012; Zawierucha, Krzysztof/HTP-6506-2023; Bogdziewicz, Michał/J-2868-2012; Franzetti, Andrea/A-6666-2008; Fontaneto, Diego/B-9710-2008; Zawierucha, Krzysztof/HDN-5985-2022; Buda, Jakub/ABE-5873-2021</t>
  </si>
  <si>
    <t>Ambrosini, Roberto/0000-0002-7148-1468; Bogdziewicz, Michał/0000-0002-6777-9034; Franzetti, Andrea/0000-0003-1279-9940; Fontaneto, Diego/0000-0002-5770-0353; Zawierucha, Krzysztof/0000-0002-0754-1411; Buda, Jakub/0000-0002-4584-5897; Wierzgon, Mariusz/0000-0002-4809-2202</t>
  </si>
  <si>
    <t>National Science Centre [NCN 2013/11/N/NZ8/00597, NCN 2015/17/B/NZ8/02475]; NCN [2017/24/C/NZ8/00151]; Grant [ETANGO]</t>
  </si>
  <si>
    <t>National Science Centre(National Science Centre, Poland); NCN; Grant [ETANGO]</t>
  </si>
  <si>
    <t>We would like to thank anonymous reviewers who greatly improved the manuscript. Samplings in Svalbard and Antarctica were supported by the National Science Centre under Grant No. NCN 2013/11/N/NZ8/00597 awarded to K.Z. and Grant No. NCN 2015/17/B/NZ8/02475 awarded to M. Ronikier. M.B. was supported by NCN Grant No. 2017/24/C/NZ8/00151. We would like to thank Maciej Wilk for his help during the sampling on Longyearbreen as well as Gracjan Robotnikowski for his help in samples analysis. Samples from the Blaisen Glacier were collected within the Grant [ETANGO] granted by INTERACT Transnational Access to K.Z. and J.B. The data from the Ecology Glacier used in the paper were collected based on Henryk Arctowski Polish Antarctic Station.</t>
  </si>
  <si>
    <t>1386-2588</t>
  </si>
  <si>
    <t>1573-5125</t>
  </si>
  <si>
    <t>AQUAT ECOL</t>
  </si>
  <si>
    <t>Aquat. Ecol.</t>
  </si>
  <si>
    <t>10.1007/s10452-019-09681-9</t>
  </si>
  <si>
    <t>Ecology; Limnology; Marine &amp; Freshwater Biology</t>
  </si>
  <si>
    <t>HX6UE</t>
  </si>
  <si>
    <t>WOS:000467538000003</t>
  </si>
  <si>
    <t>Gillett, ZE; Arblaster, JM; Dittus, AJ; Deushi, M; Jöckel, P; Kinnison, DE; Morgenstern, O; Plummer, DA; Revell, LE; Rozanov, E; Schofield, R; Stenke, A; Stone, KA; Tilmes, S</t>
  </si>
  <si>
    <t>Gillett, Zoe E.; Arblaster, Julie M.; Dittus, Andrea J.; Deushi, Makoto; Joeckel, Patrick; Kinnison, Douglas E.; Morgenstern, Olaf; Plummer, David A.; Revell, Laura E.; Rozanov, Eugene; Schofield, Robyn; Stenke, Andrea; Stone, Kane A.; Tilmes, Simone</t>
  </si>
  <si>
    <t>Evaluating the Relationship between Interannual Variations in the Antarctic Ozone Hole and Southern Hemisphere Surface Climate in Chemistry-Climate Models</t>
  </si>
  <si>
    <t>Southern Hemisphere; Annular mode; Ozone; Seasonal forecasting; Climate models; Climate variability</t>
  </si>
  <si>
    <t>ANNULAR MODE; AUSTRALIAN RAINFALL; SEA-ICE; VARIABILITY; CIRCULATION; TRENDS; OSCILLATION; DEPLETION; DEFINITION; ANOMALIES</t>
  </si>
  <si>
    <t>Studies have recently reported statistically significant relationships between observed year-to-year spring Antarctic ozone variability and the Southern Hemisphere annular mode and surface temperatures in spring-summer. This study investigates whether current chemistry-climate models (CCMs) can capture these relationships, in particular, the connection between November total column ozone (TCO) and Australian summer surface temperatures, where years with anomalously high TCO over the Antarctic polar cap tend to be followed by warmer summers. The interannual ozone-temperature teleconnection is examined over the historical period in the observations and simulations from the Whole Atmosphere Community Climate Model (WACCM) and nine other models participating in the Chemistry-Climate Model Initiative (CCMI). There is a systematic difference between the WACCM experiments forced with prescribed observed sea surface temperatures (SSTs) and those with an interactive ocean. Strong correlations between TCO and Australian temperatures are only obtained for the uncoupled experiment, suggesting that the SSTs could be important for driving both variations in Australian temperatures and the ozone hole, with no causal link between the two. Other CCMI models also tend to capture this relationship with more fidelity when driven by observed SSTs, although additional research and targeted modeling experiments are required to determine causality and further explore the role of model biases and observational uncertainty. The results indicate that CCMs can reproduce the relationship between spring ozone and summer Australian climate reported in observational studies, suggesting that incorporating ozone variability could improve seasonal predictions; however, more work is required to understand the difference between the coupled and uncoupled simulations.</t>
  </si>
  <si>
    <t>[Gillett, Zoe E.; Arblaster, Julie M.] Monash Univ, ARC Ctr Excellence Climate Extremes, Melbourne, Vic, Australia; [Gillett, Zoe E.; Arblaster, Julie M.; Dittus, Andrea J.] Monash Univ, Sch Earth Atmosphere &amp; Environm, Melbourne, Vic, Australia; [Arblaster, Julie M.; Kinnison, Douglas E.; Tilmes, Simone] Natl Ctr Atmospher Res, POB 3000, Boulder, CO 80307 USA; [Dittus, Andrea J.] Monash Univ, ARC Ctr Excellence Climate Syst Sci, Melbourne, Vic, Australia; [Dittus, Andrea J.] Univ Reading, Dept Meteorol, Natl Ctr Atmospher Sci, Reading, Berks, England; [Deushi, Makoto] Meteorol Res Inst, Tsukuba, Ibaraki, Japan; [Joeckel, Patrick] Deutsch Zentrum Luft &amp; Raumfahrt, Inst Phys Atmosphare, Oberpfaffenhofen, Germany; [Morgenstern, Olaf] Natl Inst Water &amp; Atmospher Res, Wellington, New Zealand; [Plummer, David A.] Environm &amp; Climate Change Canada, Climate Res Branch, Montreal, PQ, Canada; [Revell, Laura E.; Rozanov, Eugene; Stenke, Andrea] Swiss Fed Inst Technol, Inst Atmospher &amp; Climate Sci, Zurich, Switzerland; [Revell, Laura E.] Bodeker Sci, Christchurch, New Zealand; [Revell, Laura E.] Univ Canterbury, Sch Phys &amp; Chem Sci, Christchurch, New Zealand; [Rozanov, Eugene] World Radiat Ctr, Phys Meteorol Observatorium Davos, Davos, Switzerland; [Schofield, Robyn; Stone, Kane A.] Univ Melbourne, ARC Ctr Excellence Climate Syst Sci, Melbourne, Vic, Australia; [Schofield, Robyn; Stone, Kane A.] Univ Melbourne, Sch Earth Sci, Melbourne, Vic, Australia; [Stone, Kane A.] MIT, 77 Massachusetts Ave, Cambridge, MA 02139 USA</t>
  </si>
  <si>
    <t>Monash University; Melbourne Genomics Health Alliance; Monash University; Melbourne Genomics Health Alliance; National Center Atmospheric Research (NCAR) - USA; Monash University; Melbourne Genomics Health Alliance; ARC Centre of Excellence for Climate System Science; University of Reading; UK Research &amp; Innovation (UKRI); Natural Environment Research Council (NERC); NERC National Centre for Atmospheric Science; Meteorological Research Institute - Japan; Helmholtz Association; German Aerospace Centre (DLR); National Institute of Water &amp; Atmospheric Research (NIWA) - New Zealand; Environment &amp; Climate Change Canada; Swiss Federal Institutes of Technology Domain; ETH Zurich; University of Canterbury; Melbourne Genomics Health Alliance; ARC Centre of Excellence for Climate System Science; University of Melbourne; University of Melbourne; Melbourne Bioinformatics; Massachusetts Institute of Technology (MIT)</t>
  </si>
  <si>
    <t>Gillett, ZE (corresponding author), Monash Univ, ARC Ctr Excellence Climate Extremes, Melbourne, Vic, Australia.;Gillett, ZE (corresponding author), Monash Univ, Sch Earth Atmosphere &amp; Environm, Melbourne, Vic, Australia.</t>
  </si>
  <si>
    <t>zoe.gillett@monash.edu</t>
  </si>
  <si>
    <t>Rozanov, Eugene/V-1881-2018; Revell, Laura/ABG-7040-2020; Gillett, Zoe/HKV-0587-2023; Jöckel, Patrick/C-3687-2009; Arblaster, Julie/C-1342-2010; Dittus, Andrea J./AAQ-3141-2020; Tilmes, Simone/JUV-6618-2023; Schofield, Robyn/A-4062-2010; Stenke, Andrea/GYJ-6299-2022</t>
  </si>
  <si>
    <t>Rozanov, Eugene/0000-0003-0479-4488; Revell, Laura/0000-0002-8974-7703; Gillett, Zoe/0000-0002-8368-4094; Jöckel, Patrick/0000-0002-8964-1394; Dittus, Andrea J./0000-0001-9598-6869; Tilmes, Simone/0000-0002-6557-3569; Schofield, Robyn/0000-0002-4230-717X; Deushi, Makoto/0000-0002-0373-3918; Stenke, Andrea/0000-0002-5916-4013; Morgenstern, Olaf/0000-0002-9967-9740</t>
  </si>
  <si>
    <t>Grains Research and Development Corporation [UHS11005]; Regional and Global Climate Modeling Program (RGCM) of the U.S. Department of Energy's Office of Biological and Environmental Research (BER) [DE-FC02-97ER62402]; National Science Foundation (NSF); Australian Research Council (ARC) Centre of Excellence for Climate Extremes [CE170100023]; ARC Centre of Excellence for Climate System Science [CE110001028]; U.K. Natural Environment Research Council (NERC) Project SMURPHS [NE/N006054/1]; Australian Government; NSF - Bundesministerium fur Bildung und Forschung (BMBF); DKRZ; Deep South National Science Challenge; Swiss National Science Foundation [200021 169241, 200020 182239]; Australian Government's National Computational Merit Allocation Scheme [q90]; Australian Antarctic science grant program [FoRCES 4012]; Swiss National Science Foundation (SNF) [200020_182239, 200021_169241] Funding Source: Swiss National Science Foundation (SNF); NERC [NE/N006038/1, NE/N006054/1] Funding Source: UKRI</t>
  </si>
  <si>
    <t>Grains Research and Development Corporation(Grains R&amp;D Corp); Regional and Global Climate Modeling Program (RGCM) of the U.S. Department of Energy's Office of Biological and Environmental Research (BER)(United States Department of Energy (DOE)); National Science Foundation (NSF)(National Science Foundation (NSF)); Australian Research Council (ARC) Centre of Excellence for Climate Extremes(Australian Research Council); ARC Centre of Excellence for Climate System Science(Australian Research Council); U.K. Natural Environment Research Council (NERC) Project SMURPHS(UK Research &amp; Innovation (UKRI)Natural Environment Research Council (NERC)); Australian Government(Australian Government); NSF - Bundesministerium fur Bildung und Forschung (BMBF)(Federal Ministry of Education &amp; Research (BMBF)); DKRZ; Deep South National Science Challenge; Swiss National Science Foundation(Swiss National Science Foundation (SNSF)); Australian Government's National Computational Merit Allocation Scheme(Australian Government); Australian Antarctic science grant program; Swiss National Science Foundation (SNF)(Swiss National Science Foundation (SNSF)); NERC(UK Research &amp; Innovation (UKRI)Natural Environment Research Council (NERC))</t>
  </si>
  <si>
    <t>Zoe Gillett was funded by the Grains Research and Development Corporation (UHS11005). Portions of this study were supported by the Regional and Global Climate Modeling Program (RGCM) of the U.S. Department of Energy's Office of Biological and Environmental Research (BER) Cooperative Agreement DE-FC02-97ER62402 and the National Science Foundation (NSF) as well as the Australian Research Council (ARC) Centre of Excellence for Climate Extremes (CE170100023). Andrea Dittus acknowledges support from the ARC Centre of Excellence for Climate System Science (CE110001028) and the U.K. Natural Environment Research Council (NERC) Project SMURPHS (NE/N006054/1). This research was undertaken with the assistance of resources and services from the National Computational Infrastructure, which is supported by the Australian Government. The National Center for Atmospheric Research (NCAR) Command Language (NCL) was used for data analysis and visualization. We acknowledge the modelling groups for making their simulations available for this analysis, the joint WCRP SPARC/IGAC Chemistry-Climate Model Initiative (CCMI) for organizing and coordinating the model data analysis activity, and the British Atmospheric Data Centre (BADC) for collecting and archiving the CCMI model output. We acknowledge high-performance computational support for the WACCM simulations from Yellowstone (ark:/85065/d7wd3xhc) provided by the Climate Simulation Laboratory at NCAR's Computational and Information Systems Laboratory, sponsored by NSF and other agencies. NCAR is funded by NSF. The EMAC simulations have been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Modelling). Laura Revell acknowledges partial support from the Deep South National Science Challenge (Contract C01X1412) and China Southern. Eugene Rozanov acknowledges partial support from the Swiss National Science Foundation under Grants 200021 169241 (VEC) and 200020 182239 (POLE) and the gained information will be used to improve the CCM SOCOL. Robyn Schofield and Kane Stone acknowledge support from the ARC Centre of Excellence for Climate System Science (CE110001028), the Australian Government's National Computational Merit Allocation Scheme (q90), and Australian Antarctic science grant program (FoRCES 4012). We also acknowledge Bodeker Scientific, supported through the Deep South National Science Challenge, for providing the combined total column ozone database. We thank Dan Marsh for useful discussions during the course of this study, and three anonymous reviewers whose comments helped to significantly improve the manuscript.</t>
  </si>
  <si>
    <t>10.1175/JCLI-D-18-0273.1</t>
  </si>
  <si>
    <t>HX3QQ</t>
  </si>
  <si>
    <t>WOS:000467307600001</t>
  </si>
  <si>
    <t>Everett, T; Douglas, J; May, S; Horne, S; Marquis, P; Cunningham, R; Tang, JW</t>
  </si>
  <si>
    <t>Everett, Tom; Douglas, Jenny; May, Shoshanna; Horne, Simon; Marquis, Peter; Cunningham, Richard; Tang, Julian W.</t>
  </si>
  <si>
    <t>Poor transmission of seasonal cold viruses in a British Antarctic Survey base</t>
  </si>
  <si>
    <t>JOURNAL OF INFECTION</t>
  </si>
  <si>
    <t>Letter</t>
  </si>
  <si>
    <t>[Everett, Tom; Douglas, Jenny; Horne, Simon; Marquis, Peter] Plymouth Hosp NHS Trust, Derriford Hosp, Emergency Med, Plymouth, Devon, England; [May, Shoshanna; Tang, Julian W.] Plymouth Hosp NHS Trust, Derriford Hosp, Dept Microbiol, Plymouth, Devon, England; [Horne, Simon; Marquis, Peter] British Antarctic Survey Med Unit, Plymouth, Devon, England; [Cunningham, Richard] Plymouth Hosp NHS Trust, Derriford Hosp, Microbiol, Plymouth, Devon, England</t>
  </si>
  <si>
    <t>Derriford Hospital; University of Plymouth; University of Plymouth; Derriford Hospital; Derriford Hospital; University of Plymouth</t>
  </si>
  <si>
    <t>Tang, JW (corresponding author), Univ Hosp Leicester NHS Trust, Clin Microbiol, Leicester Royal Infirm, Infirm Sq,Level 5 Sandringham Bldg, Leicester LE1 5WW, Leics, England.</t>
  </si>
  <si>
    <t>julian.tang@uhl-tr.nhs.uk</t>
  </si>
  <si>
    <t>, Julian W Tang/H-2348-2014</t>
  </si>
  <si>
    <t>Horne, Simon/0000-0002-5098-7996; Tang, Julian/0000-0002-4963-1028</t>
  </si>
  <si>
    <t>UK Clinical Virology Network (CVN); NERC [bas010011] Funding Source: UKRI</t>
  </si>
  <si>
    <t>UK Clinical Virology Network (CVN); NERC(UK Research &amp; Innovation (UKRI)Natural Environment Research Council (NERC))</t>
  </si>
  <si>
    <t>We thank the following for their support of this study: UK Clinical Virology Network (CVN), for general funding support; Medical Wire &amp; Equipment Ltd., for donating some of the sampling swabs; Ausdiagnostics UK Ltd., for donating the respiratory multiplex PCR tests.</t>
  </si>
  <si>
    <t>W B SAUNDERS CO LTD</t>
  </si>
  <si>
    <t>32 JAMESTOWN RD, LONDON NW1 7BY, ENGLAND</t>
  </si>
  <si>
    <t>0163-4453</t>
  </si>
  <si>
    <t>1532-2742</t>
  </si>
  <si>
    <t>J INFECTION</t>
  </si>
  <si>
    <t>J. Infect.</t>
  </si>
  <si>
    <t>10.1016/j.jinf.2019.03.007</t>
  </si>
  <si>
    <t>Infectious Diseases</t>
  </si>
  <si>
    <t>HX6SI</t>
  </si>
  <si>
    <t>WOS:000467533200012</t>
  </si>
  <si>
    <t>Popova, E; Vousden, D; Sauer, WHH; Mohammed, EY; Allain, V; Downey-Breedt, N; Fletcher, R; Gjerde, KM; Halpin, PN; Kelly, S; Obura, D; Pecl, G; Roberts, M; Raitsos, DE; Rogers, A; Samoilys, M; Sumaila, UR; Tracey, S; Yool, A</t>
  </si>
  <si>
    <t>Popova, Ekaterina; Vousden, David; Sauer, Warwick H. H.; Mohammed, Essam Y.; Allain, Valerie; Downey-Breedt, Nicola; Fletcher, Ruth; Gjerde, Kristina M.; Halpin, Patrick N.; Kelly, Stephen; Obura, David; Pecl, Gretta; Roberts, Michael; Raitsos, Dionysios E.; Rogers, Alex; Samoilys, Melita; Sumaila, Ussif Rashid; Tracey, Sean; Yool, Andrew</t>
  </si>
  <si>
    <t>Ecological connectivity between the areas beyond national jurisdiction and coastal waters: Safeguarding interests of coastal communities in developing countries</t>
  </si>
  <si>
    <t>Ecological connectivity; Areas beyond national jurisdiction; Marine ecosystems; Coastal zone; Ocean governance</t>
  </si>
  <si>
    <t>PELAGIC LARVAL DURATION; SKIPJACK TUNA DYNAMICS; POPULATION CONNECTIVITY; MARINE ECOSYSTEMS; ENVIRONMENTAL GRADIENTS; PROPAGULE DISPERSAL; OCEAN CIRCULATION; TROPICAL TUNA; INDIAN-OCEAN; APECOSM-E</t>
  </si>
  <si>
    <t>The UN General Assembly has made a unanimous decision to start negotiations to establish an international, legally-binding instrument for the conservation and sustainable use of marine biological diversity within Areas Beyond National Jurisdiction (ABNJ). However, there has of yet been little discussion on the importance of this move to the ecosystem services provided by coastal zones in their downstream zone of influence. Here, we identify the ecological connectivity between ABNJ and coastal zones as critically important in the negotiation process and apply several approaches to identify some priority areas for protection from the perspective of coastal populations of Least Developed Countries (LDCs). Initially, we review the scientific evidence that demonstrates ecological connectivity between ABNJ and the coastal zones with a focus on the LDCs. We then use ocean modelling to develop a number of metrics and spatial maps that serve to quantify the connectivity of the ABNJ to the coastal zone. We find that the level of exposure to the ABNJ influences varies strongly between countries. Similarly, not all areas of the ABNJ are equal in their impacts on the coastline. Using this method, we identify the areas of the ABNJ that are in the most urgent need of protection on the grounds of the strength of their potential downstream impacts on the coastal populations of LDCs. We argue that indirect negative impacts of the ABNJ fishing, industrialisation and pollution, communicated via oceanographic, cultural and ecological connectivity to the coastal waters of the developing countries should be of concern.</t>
  </si>
  <si>
    <t>[Popova, Ekaterina; Kelly, Stephen; Roberts, Michael; Yool, Andrew] Natl Oceanog Ctr, Southampton, Hants, England; [Vousden, David; Sauer, Warwick H. H.; Downey-Breedt, Nicola] Rhodes Univ, Grahamstown, South Africa; [Mohammed, Essam Y.] Int Inst Environm &amp; Dev, London, England; [Allain, Valerie] Pacific Community, Noumea, New Caledonia; [Fletcher, Ruth] UN Environm World Conservat Monitoring Ctr, Cambridge, England; [Gjerde, Kristina M.] IUCN Global Marine &amp; Polar Programme, Cambridge, MA USA; [Gjerde, Kristina M.] World Commiss Protected Areas, Cambridge, MA USA; [Halpin, Patrick N.] Duke Univ, Marine Geospatial Ecol Lab, Durham, NC USA; [Obura, David; Samoilys, Melita] CORDIO East Africa, Mombasa, Kenya; [Pecl, Gretta] Univ Tasmania, Inst Marine &amp; Antarctic Studies, Ctr Marine Socioecol, Hobart, Tas, Australia; [Roberts, Michael] Nelson Mandela Univ, Port Elisabeth, South Africa; [Raitsos, Dionysios E.] Plymouth Marine Lab, Plymouth, Devon, England; [Rogers, Alex] Univ Oxford, Somerville Coll, Oxford, England; [Samoilys, Melita] Univ Oxford, Dept Zool, Oxford, England; [Sumaila, Ussif Rashid] Univ British Columbia, Inst Oceans &amp; Fisheries, Vancouver, BC, Canada; [Sumaila, Ussif Rashid] Univ British Columbia, Sch Publ Policy &amp; Global Affairs, Vancouver, BC, Canada; [Tracey, Sean] Univ Tasmania, Inst Marine &amp; Antarctic Studies, Hobart, Tas, Australia</t>
  </si>
  <si>
    <t>NERC National Oceanography Centre; Rhodes University; Duke University; University of Tasmania; Nelson Mandela University; Plymouth Marine Laboratory; University of Oxford; University of Oxford; University of British Columbia; University of British Columbia; University of Tasmania</t>
  </si>
  <si>
    <t>Popova, E (corresponding author), Natl Oceanog Ctr, Southampton, Hants, England.</t>
  </si>
  <si>
    <t>E.popova@noc.ac.uk</t>
  </si>
  <si>
    <t>BITOUN, RACHEL Elisabeth/AAC-9538-2021; Popova, Ekaterina E/B-4520-2012; Sauer, Warwick/GJI-2267-2022; Pecl, Gretta/D-7267-2011; Allain, Valerie/AAE-1449-2019; Raitsos, Dionysios/AAA-3031-2021; Sumaila, U. Rashid/ABE-6475-2020; Tracey, Sean/J-7446-2014</t>
  </si>
  <si>
    <t>BITOUN, RACHEL Elisabeth/0000-0002-3614-9910; Popova, Ekaterina E/0000-0002-2012-708X; Sauer, Warwick/0000-0002-9756-1757; Pecl, Gretta/0000-0003-0192-4339; Allain, Valerie/0000-0002-9874-3077; Raitsos, Dionysios/0000-0002-6714-2180; Rogers, Alex David/0000-0002-4864-2980; Kelly, Stephen/0000-0002-8966-5986; Tracey, Sean/0000-0002-6735-5899</t>
  </si>
  <si>
    <t>Sida; UK GCRF project SOLSTICE (NERC) [NE/P021050/1]; UK GCRF project SOLSTICE; UK National Capability project ACCORD; Global Environment Facility's Oceanic Fisheries Management Project [2]; Australian Research Council Future Fellowship; King Abdullah University of Science and Technology Office of Sponsored Research (OSR) [3268]; NERC [noc010010, NE/R015953/1, NE/P021050/1, NE/M00693X/1] Funding Source: UKRI</t>
  </si>
  <si>
    <t>Sida; UK GCRF project SOLSTICE (NERC)(UK Research &amp; Innovation (UKRI)Natural Environment Research Council (NERC)); UK GCRF project SOLSTICE; UK National Capability project ACCORD; Global Environment Facility's Oceanic Fisheries Management Project; Australian Research Council Future Fellowship(Australian Research Council); King Abdullah University of Science and Technology Office of Sponsored Research (OSR); NERC(UK Research &amp; Innovation (UKRI)Natural Environment Research Council (NERC))</t>
  </si>
  <si>
    <t>The initial workshop to generate the ideas took place in Seychelles in April 2018 with financial support from Sida. Data analysis was jointly supported by Sida and the UK GCRF project SOLSTICE (NERC grant NE/P021050/1). The modelling tools and approaches were supported by the UK GCRF project SOLSTICE and the UK National Capability project ACCORD. V. Allain was supported by the Global Environment Facility's Oceanic Fisheries Management Project #2. G. Pecl was supported by an Australian Research Council Future Fellowship. D. Raitsos was supported by the King Abdullah University of Science and Technology Office of Sponsored Research (OSR) under the Project No. 3268. This work used the NEMO ocean general circulation model (https://www.nemo-ocean.eu/) and the ARCHER UK National Supercomputing Service (http://www.archer.ac.uk) for high resolution simulations of this model. Lagrangian analysis was carried out using computational tool ARIANE developed by B. Blanke and N. Grima.</t>
  </si>
  <si>
    <t>10.1016/j.marpol.2019.02.050</t>
  </si>
  <si>
    <t>HX6JI</t>
  </si>
  <si>
    <t>WOS:000467509500010</t>
  </si>
  <si>
    <t>Williams, LK; Sindel, BM; Kristiansen, P; Wilson, SC; Shaw, JD</t>
  </si>
  <si>
    <t>Williams, L. K.; Sindel, B. M.; Kristiansen, P.; Wilson, S. C.; Shaw, J. D.</t>
  </si>
  <si>
    <t>Assessing the efficacy and impact of management of an invasive species in a protected area: Poa annua on sub-Antarctic Macquarie Island</t>
  </si>
  <si>
    <t>WEED RESEARCH</t>
  </si>
  <si>
    <t>eradication; alien; weed; off-target impacts; Southern Ocean Islands; annual meadow grass; wintergrass</t>
  </si>
  <si>
    <t>AGROSTIS-STOLONIFERA; BIOLOGICAL INVASIONS; GRASS; ERADICATION</t>
  </si>
  <si>
    <t>Plant eradication is difficult, particularly in remote, protected areas. The Southern Ocean Islands are very isolated and highly protected, but the flora contains many alien plants. Small restricted populations have been eradicated, but eradication of established species has proven difficult. A better understanding of the efficacy of control methods at sub-Antarctic temperatures and their off-target impacts may increase eradication success. With interest in controlling non-native Poa annua in the region, we aimed to determine if physical and chemical methods can control P. annua (the sub-Antarctic biotype) in sub-Antarctic conditions and examined their impact on native plants. We quantified the effectiveness of physical control methods on P. annua in situ on sub-Antarctic Macquarie Island through field-based experiments and assessed their selectivity on P. annua compared with native grasses. We also quantified the effectiveness of several herbicides on P. annua at sub-Antarctic temperatures and assessed their selectivity on native grasses. Of the four physical disturbance methods tested, none effectively reduced P. annua cover as one-off treatments. Of the herbicide treatments, glyphosate and trifloxysulfuron sodium were effective and were less damaging to native grass species, indicating potential selectivity. Physical control was of limited effectiveness, but did not affect native species richness. An integrated weed management programme utilising the strategic use of selective herbicides with follow-up chemical and physical intervention may balance control and biodiversity outcomes. This research highlights the importance of site-specific testing of control methods and understanding off-target impacts of control when managing alien plant species in protected areas.</t>
  </si>
  <si>
    <t>[Williams, L. K.; Sindel, B. M.; Kristiansen, P.; Wilson, S. C.] Univ New England, Sch Environm &amp; Rural Sci, Armidale, NSW, Australia; [Shaw, J. D.] Univ Queensland, Ctr Biodivers &amp; Conservat Sci, Sch Biol Sci, St Lucia, Qld, Australia; [Shaw, J. D.] Australian Antarctic Div, Kingston, Tas, Australia</t>
  </si>
  <si>
    <t>University of New England; University of Queensland; Australian Antarctic Division</t>
  </si>
  <si>
    <t>Williams, LK (corresponding author), Univ New England, Sch Environm &amp; Rural Sci, Armidale, NSW, Australia.</t>
  </si>
  <si>
    <t>laura.williams20@gmail.com</t>
  </si>
  <si>
    <t>Kristiansen, Paul/JDV-9957-2023; Kristiansen, Paul/X-6638-2019</t>
  </si>
  <si>
    <t>Kristiansen, Paul/0000-0003-2116-0663; Sindel, Brian/0000-0002-4100-218X; Shaw, Justine/0000-0002-9603-2271; wilson, susan/0000-0002-3409-0847</t>
  </si>
  <si>
    <t>Australian Antarctic Science Program [AAS 4158]; University of New England (Australian Postgraduate Award); Tasmanian Parks and Wildlife; Australian Antarctic Data Centre [4158]</t>
  </si>
  <si>
    <t>Australian Antarctic Science Program; University of New England (Australian Postgraduate Award); Tasmanian Parks and Wildlife; Australian Antarctic Data Centre</t>
  </si>
  <si>
    <t>This work was supported by Australian Antarctic Science Program (AAS 4158), University of New England (Australian Postgraduate Award), Tasmanian Parks and Wildlife (access to Macquarie Island) and Australian Antarctic Division (logistical support). We thank Luis Rodriguez Pertierra for assistance in the field. All authors designed the experiments and field surveys. LK Williams collected and analysed the data and prepared the manuscript. All other authors provided ideas and feedback. BM Sindel and SC Wilson provided assistance in the field. Data have been uploaded to the Australian Antarctic Data Centre: https://data.aad.gov.au/, project 4158.</t>
  </si>
  <si>
    <t>0043-1737</t>
  </si>
  <si>
    <t>1365-3180</t>
  </si>
  <si>
    <t>WEED RES</t>
  </si>
  <si>
    <t>Weed Res.</t>
  </si>
  <si>
    <t>10.1111/wre.12355</t>
  </si>
  <si>
    <t>Agronomy; Plant Sciences</t>
  </si>
  <si>
    <t>Agriculture; Plant Sciences</t>
  </si>
  <si>
    <t>HX7EX</t>
  </si>
  <si>
    <t>WOS:000467568500003</t>
  </si>
  <si>
    <t>Friend, AD; Eckes-Shephard, AH; Fonti, P; Rademacher, TT; Rathgeber, CBK; Richardson, AD; Turton, RH</t>
  </si>
  <si>
    <t>Friend, Andrew D.; Eckes-Shephard, Annemarie H.; Fonti, Patrick; Rademacher, Tim T.; Rathgeber, Cyrille B. K.; Richardson, Andrew D.; Turton, Rachael H.</t>
  </si>
  <si>
    <t>On the need to consider wood formation processes in global vegetation models and a suggested approach</t>
  </si>
  <si>
    <t>ANNALS OF FOREST SCIENCE</t>
  </si>
  <si>
    <t>Dynamic global vegetation model; Xylogenesis; Carbon; Source; Sink</t>
  </si>
  <si>
    <t>TERRESTRIAL BIOSPHERE MODEL; CARBON ALLOCATION; FOREST PRODUCTIVITY; ECOSYSTEM DYNAMICS; CO2 CONCENTRATIONS; SINK-REGULATION; GROWING-SEASON; ELEVATED CO2; TREE GROWTH; PHOTOSYNTHESIS</t>
  </si>
  <si>
    <t>center dot Key messageDynamic global vegetation models are key tools for interpreting and forecasting the responses of terrestrial ecosystems to climatic variation and other drivers. They estimate plant growth as the outcome of the supply of carbon through photosynthesis. However, growth is itself under direct control, and not simply controlled by the amount of available carbon. Therefore predictions by current photosynthesis-driven models of large increases in future vegetation biomass due to increasing concentrations of atmospheric CO(2)may be significant over-estimations. We describe how current understanding of wood formation can be used to reformulate global vegetation models, with potentially major implications for their behaviour.</t>
  </si>
  <si>
    <t>[Friend, Andrew D.; Eckes-Shephard, Annemarie H.] Univ Cambridge, Dept Geog, Downing Pl, Cambridge CB2 3EN, England; [Fonti, Patrick] Swiss Fed Inst Forest Snow &amp; Landscape Res, CH-8903 Birmensdorf, Switzerland; [Rademacher, Tim T.; Richardson, Andrew D.] No Arizona Univ, Sch Informat Comp &amp; Cyber Syst, Flagstaff, AZ 86011 USA; [Rademacher, Tim T.; Richardson, Andrew D.] No Arizona Univ, Ctr Ecosyst Sci &amp; Soc, Flagstaff, AZ 86011 USA; [Rademacher, Tim T.] Harvard Univ, Dept Organism &amp; Evolutionary Biol, Cambridge, MA 02138 USA; [Rathgeber, Cyrille B. K.] Univ Lorraine, INRA, AgroParisTech, Silva, F-54000 Nancy, France; [Turton, Rachael H.] Univ Cambridge, Scott Polar Res Inst, Lensfield Rd, Cambridge CB2 1ER, England; [Turton, Rachael H.] British Antarctic Survey, Nat Environm Res Council, Madingley Rd, Cambridge CB3 0ET, England</t>
  </si>
  <si>
    <t>University of Cambridge; Swiss Federal Institutes of Technology Domain; Swiss Federal Institute for Forest, Snow &amp; Landscape Research; Northern Arizona University; Northern Arizona University; Harvard University; AgroParisTech; Universite de Lorraine; INRAE; University of Cambridge; UK Research &amp; Innovation (UKRI); Natural Environment Research Council (NERC); NERC British Antarctic Survey</t>
  </si>
  <si>
    <t>Friend, AD (corresponding author), Univ Cambridge, Dept Geog, Downing Pl, Cambridge CB2 3EN, England.</t>
  </si>
  <si>
    <t>adf10@cam.ac.uk</t>
  </si>
  <si>
    <t>Rathgeber, Cyrille Barthélémy Karl/A-6510-2009; Richardson, Andrew/F-5691-2011; Fonti, Patrick/B-7400-2011</t>
  </si>
  <si>
    <t>Rathgeber, Cyrille Barthélémy Karl/0000-0001-7359-8320; Richardson, Andrew/0000-0002-0148-6714; Fonti, Patrick/0000-0002-7070-3292; Friend, Andrew/0000-0002-9029-1045; Rademacher, Tim/0000-0002-0627-6564; Turton, Rachael/0000-0001-9733-1495; Eckes-Shephard, Annemarie Hildegard/0000-0002-2453-3843</t>
  </si>
  <si>
    <t>Natural Environment Research Council-National Science Foundation International Collaboration programme [NE/P011462/1, DEB-1741585]; NSF [DEB-1237491]; French National Research Agency (ANR), Investissements d'Avenir programme [ANR-11-LABX-0002-01]; Swiss National Foundation [150205]; NERC [bas010011, NE/P011462/1] Funding Source: UKRI</t>
  </si>
  <si>
    <t>Natural Environment Research Council-National Science Foundation International Collaboration programme; NSF(National Science Foundation (NSF)); French National Research Agency (ANR), Investissements d'Avenir programme(Agence Nationale de la Recherche (ANR)); Swiss National Foundation(Swiss National Science Foundation (SNSF)); NERC(UK Research &amp; Innovation (UKRI)Natural Environment Research Council (NERC))</t>
  </si>
  <si>
    <t>ADF, PF, TTR, ADR, and RHT acknowledge support from the Natural Environment Research Council-National Science Foundation International Collaboration programme, under grants nos. NE/P011462/1 and DEB-1741585. ADR is also supported by NSF grant no. DEB-1237491. The UMR 1434 Silva is supported by a grant overseen by the French National Research Agency (ANR) as part of the Investissements d'Avenir programme (ANR-11-LABX-0002-01, Lab of Excellence ARBRE). PF acknowledges the project LOTFOR (Nr. 150205), supported by the Swiss National Foundation.</t>
  </si>
  <si>
    <t>SPRINGER FRANCE</t>
  </si>
  <si>
    <t>PARIS</t>
  </si>
  <si>
    <t>22 RUE DE PALESTRO, PARIS, 75002, FRANCE</t>
  </si>
  <si>
    <t>1286-4560</t>
  </si>
  <si>
    <t>1297-966X</t>
  </si>
  <si>
    <t>ANN FOREST SCI</t>
  </si>
  <si>
    <t>Ann. For. Sci.</t>
  </si>
  <si>
    <t>10.1007/s13595-019-0819-x</t>
  </si>
  <si>
    <t>HW7CV</t>
  </si>
  <si>
    <t>WOS:000466848400001</t>
  </si>
  <si>
    <t>Wilson, BR; Wilson, SC; Sindel, B; Williams, LK; Hawking, KL; Shaw, J; Tighe, M; Hua, Q; Kristiansen, P</t>
  </si>
  <si>
    <t>Wilson, Brian R.; Wilson, Susan C.; Sindel, Brian; Williams, Laura K.; Hawking, Kirsten L.; Shaw, Justine; Tighe, Matthew; Hua, Quan; Kristiansen, Paul</t>
  </si>
  <si>
    <t>Soil properties on sub-Antarctic Macquarie Island: Fundamental indicators of ecosystem function and potential change</t>
  </si>
  <si>
    <t>CATENA</t>
  </si>
  <si>
    <t>Macquarie Island; Birds; Soil; Nutrients; Isotopes</t>
  </si>
  <si>
    <t>ANIMAL-DERIVED NITROGEN; CARBON-ISOTOPE RATIOS; TEMPERATURE SENSITIVITY; MIROUNGA-LEONINA; POPULATION-SIZE; RESIDENCE TIME; ORGANIC-CARBON; CLIMATE-CHANGE; LAND; DECOMPOSITION</t>
  </si>
  <si>
    <t>We examined the nature and properties of soils on Australian sub-Antarctic Macquarie Island to determine key environmental factors driving their distribution, development and change. We provide the first classification of these soils using Australian and international (WRB) systems while combining elemental, stable and radio-isotope analysis to interpret processes of soil formation and key controlling environmental factors. Soil organic carbon (SOC) and total nitrogen (TN) concentrations across the island were influenced largely by elevation and topographic position with coastal soils and wetter depressions containing more SOC and TN compared with drier and higher elevation locations. Soils on the high, exposed plateau of the island contained low SOC and TN concentrations by comparison. Results suggested that soils of the coastal zone are subject to ongoing aggradation with significant inputs of nutrient, particularly extractable P (Ext P), from oceanic and especially avifauna sources. Nutrient subsidy was concentrated on coastal margins and the more sheltered eastern side of the island, diminishing significantly with increasing elevation and distance from the coast. Soils of the central plateau contained very low Ext P concentrations throughout the profile and appear to be relic if not degrading. Further comprehensive soil mapping, classification and monitoring across Macquarie Island will elucidate the important role that soils serve for healthy ecosystem function in these sub-Antarctic environments and provide early warning indicators of significant environmental change.</t>
  </si>
  <si>
    <t>[Wilson, Brian R.; Wilson, Susan C.; Sindel, Brian; Williams, Laura K.; Hawking, Kirsten L.; Tighe, Matthew; Kristiansen, Paul] Univ New England, Sch Environm &amp; Rural Sci, Armidale, NSW 2351, Australia; [Wilson, Brian R.] NSW Off Environm &amp; Heritage, POB U221, Armidale, NSW 2351, Australia; [Shaw, Justine] Univ Queensland, Sch Biol Sci, Ctr Biodivers &amp; Conservat Sci, St Lucia, Qld 4072, Australia; [Hua, Quan] Australian Nucl Sci &amp; Technol Org, Locked Bag 2001, Kirrawee Dc, NSW 2232, Australia</t>
  </si>
  <si>
    <t>University of New England; Office of Environment &amp; Heritage - New South Wales; University of Queensland; Australian Nuclear Science &amp; Technology Organisation</t>
  </si>
  <si>
    <t>Wilson, BR (corresponding author), Univ New England, Sch Environm &amp; Rural Sci, Armidale, NSW 2351, Australia.;Wilson, BR (corresponding author), NSW Off Environm &amp; Heritage, POB U221, Armidale, NSW 2351, Australia.</t>
  </si>
  <si>
    <t>brian.wilson@une.edu.au</t>
  </si>
  <si>
    <t>Kristiansen, Paul/JDV-9957-2023; Tighe, Matt/AAC-5369-2019; Hua, Quan/F-9593-2014; Kristiansen, Paul/X-6638-2019; Wilson, Brian/G-4996-2011</t>
  </si>
  <si>
    <t>Tighe, Matt/0000-0003-1027-0082; Kristiansen, Paul/0000-0003-2116-0663; Wilson, Brian/0000-0002-7983-0909; Hawking, Kirsten/0009-0009-3726-947X; Shaw, Justine/0000-0002-9603-2271; wilson, susan/0000-0002-3409-0847; Sindel, Brian/0000-0002-4100-218X</t>
  </si>
  <si>
    <t>Australian Antarctic Division and its Antarctic Science Program [AAS 4158]; University of New England URS Seeding Grant 2014 [A13/4157]; Australian Government</t>
  </si>
  <si>
    <t>Australian Antarctic Division and its Antarctic Science Program; University of New England URS Seeding Grant 2014; Australian Government(Australian Government)</t>
  </si>
  <si>
    <t>Funding and logistical support on Macquarie Island was provided by the Australian Antarctic Division and its Antarctic Science Program Grant AAS 4158. We thank the Tasmanian Parks and Wildlife Service for access to Macquarie Island and scientific permits. Thanks also to Leanne Lisle and Elizabeth Marshall of the UNE Environmental Analysis Laboratory and to NSW Office of Environment and Heritage Soil Health &amp; Archive laboratory, Yanco, NSW (Kristen Clancy and Dr. Mano Veergathipillai). Cate MacGregor assisted with GIS and mapping. AMS 14C analyses was funded by University of New England URS Seeding Grant 2014 (A13/4157) and financial support from the Australian Government supports the Centre for Accelerator Science at ANSTO through the National Collaborative Research Infrastructure Strategy (NCRIS).</t>
  </si>
  <si>
    <t>0341-8162</t>
  </si>
  <si>
    <t>1872-6887</t>
  </si>
  <si>
    <t>Catena</t>
  </si>
  <si>
    <t>10.1016/j.catena.2019.02.007</t>
  </si>
  <si>
    <t>Geosciences, Multidisciplinary; Soil Science; Water Resources</t>
  </si>
  <si>
    <t>Geology; Agriculture; Water Resources</t>
  </si>
  <si>
    <t>HS6KA</t>
  </si>
  <si>
    <t>WOS:000463979000016</t>
  </si>
  <si>
    <t>Rego, A; Raio, F; Martins, TP; Ribeiro, H; Sousa, AGG; Séneca, J; Baptista, MS; Lee, CK; Cary, SC; Ramos, V; Carvalho, MF; Leao, PN; Magalhaes, C</t>
  </si>
  <si>
    <t>Rego, Adriana; Raio, Francisco; Martins, Teresa P.; Ribeiro, Hugo; Sousa, Antonio G. G.; Seneca, Joana; Baptista, Mafalda S.; Lee, Charles K.; Cary, S. Craig; Ramos, Vitor; Carvalho, Maria F.; Leao, Pedro N.; Magalhaes, Catarina</t>
  </si>
  <si>
    <t>Actinobacteria and Cyanobacteria Diversity in Terrestrial Antarctic Microenvironments Evaluated by Culture-Dependent and Independent Methods</t>
  </si>
  <si>
    <t>actinobacteria; McMurdo Dry Valleys; Antarctic soil; bacteria diversity; bacterial cultivability; endolitic microbiota; Antarctic microenvironments; cyanobacteria</t>
  </si>
  <si>
    <t>MCMURDO DRY VALLEYS; SP-NOV.; ENDOLITHIC MICROORGANISMS; MICROBIAL COMMUNITIES; PSYCHROPHILIC BACTERIUM; FUNCTIONAL ECOLOGY; WATER AVAILABILITY; SOIL BACTERIAL; VICTORIA LAND; COLONIZATION</t>
  </si>
  <si>
    <t>Bacterial diversity from McMurdo Dry Valleys in Antarctica, the coldest desert on earth, has become more easily assessed with the development of High Throughput Sequencing (HTS) techniques. However, some of the diversity remains inaccessible by the power of sequencing. In this study, we combine cultivation and HTS techniques to survey actinobacteria and cyanobacteria diversity along different soil and endolithic micro-environments of Victoria Valley in McMurdo Dry Valleys. Our results demonstrate that the Dry Valleys actinobacteria and cyanobacteria distribution is driven by environmental forces, in particular the effect of water availability and endolithic environments clearly conditioned the distribution of those communities. Data derived from HTS show that the percentage of cyanobacteria decreases from about 20% in the sample closest to the water source to negligible values on the last three samples of the transect with less water availability. Inversely, actinobacteria relative abundance increases from about 20% in wet soils to over 50% in the driest samples. Over 30% of the total HTS data set was composed of actinobacterial strains, mainly distributed by 5 families: Sporichthyaceae, Euzebyaceae, Patulibacteraceae, Nocardioidaceae, and Rubrobacteraceae. However, the 11 actinobacterial strains isolated in this study, belonged to Micrococcaceae and Dermacoccaceae families that were underrepresented in the HTS data set. A total of 10 cyanobacterial strains from the order Synechococcales were also isolated, distributed by 4 different genera (Nodosilinea, Leptolyngbya, Pectolyngbya, and Acaryochloris-like). In agreement with the cultivation results, Leptolyngbya was identified as dominant genus in the HTS data set. Acaryochloris-like cyanobacteria were found exclusively in the endolithic sample and represented 44% of the total 16S rRNA sequences, although despite our efforts we were not able to properly isolate any strain from this Acaryochloris-related group. The importance of combining cultivation and sequencing techniques is highlighted, as we have shown that culture-dependent methods employed in this study were able to retrieve actinobacteria and cyanobacteria taxa that were not detected in HTS data set, suggesting that the combination of both strategies can be useful' to recover both abundant and rare members of the communities.</t>
  </si>
  <si>
    <t>[Rego, Adriana; Raio, Francisco; Martins, Teresa P.; Ribeiro, Hugo; Sousa, Antonio G. G.; Seneca, Joana; Baptista, Mafalda S.; Ramos, Vitor; Carvalho, Maria F.; Leao, Pedro N.; Magalhaes, Catarina] Univ Porto, Interdisciplinary Ctr Marine &amp; Environm Res CIIMA, Porto, Portugal; [Rego, Adriana; Ribeiro, Hugo] Univ Porto, Inst Biomed Sci Abel Salazar ICBAS, Porto, Portugal; [Baptista, Mafalda S.; Lee, Charles K.; Cary, S. Craig] Univ Waikato, Int Ctr Terr Antarctic Res, Hamilton, New Zealand; [Lee, Charles K.; Cary, S. Craig] Univ Waikato, Sch Sci, Hamilton, New Zealand; [Magalhaes, Catarina] Univ Porto, Fac Sci, Porto, Portugal; [Ramos, Vitor] IPB, CIMO, Campus Santa Apolonia, Braganca, Portugal</t>
  </si>
  <si>
    <t>Universidade do Porto; Universidade do Porto; University of Waikato; University of Waikato; Universidade do Porto; Instituto Politecnico de Braganca</t>
  </si>
  <si>
    <t>Magalhaes, C (corresponding author), Univ Porto, Interdisciplinary Ctr Marine &amp; Environm Res CIIMA, Porto, Portugal.;Magalhaes, C (corresponding author), Univ Porto, Fac Sci, Porto, Portugal.</t>
  </si>
  <si>
    <t>catarinamagalhaes1972@gmail.com</t>
  </si>
  <si>
    <t>Baptista, Mafalda S./F-8301-2010; R, F/AFK-2041-2022; REGO, ADRIANA/AAT-8017-2020; Lee, Charles/AAC-9417-2019; lee, charles/AAW-6627-2021; Ribeiro, Hugo/E-6752-2016; Rego, Adriana/KBD-3225-2024; Leão, Pedro N./E-1630-2011; Magalhaes, Catarina/A-6836-2016; Ramos, Vitor/A-4540-2011</t>
  </si>
  <si>
    <t>Baptista, Mafalda S./0000-0002-2198-0410; REGO, ADRIANA/0000-0002-2494-030X; Lee, Charles/0000-0002-6562-4733; lee, charles/0000-0001-6906-4895; Rego, Adriana/0000-0001-9647-1197; Leão, Pedro N./0000-0001-5064-9164; Cary, Stephen/0000-0002-2876-2387; Sousa, Antonio/0000-0003-4779-6459; Magalhaes, Catarina/0000-0001-9576-2398; Carvalho, M. Fatima/0000-0002-7181-0540; Ramos, Vitor/0000-0002-5824-3633</t>
  </si>
  <si>
    <t>Portuguese Science and Technology Foundation (FCT) [PTDC/CTA-AMB/30997/2017, IF/01358/2014, SFRH/BD/140567/2018]; New Zealand Foundation for Research and Technology (FRST); Antarctica New Zealand [UOWX0710, UOWX0715]; New Zealand Marsden Fund [UOW1003]; New Zealand Ministry of Business, Innovation and Employment [UOWX1401]; United States National Science Foundation [ANT-0944556, ANT-1246292]; Portuguese Polar Program (PROPOLAR) fund; FCT [DID/Multi/04423/2019]; ERDF, in the framework of the programme PT2020; Fundação para a Ciência e a Tecnologia [SFRH/BD/140567/2018, PTDC/CTA-AMB/30997/2017] Funding Source: FCT</t>
  </si>
  <si>
    <t>Portuguese Science and Technology Foundation (FCT)(Fundacao para a Ciencia e a Tecnologia (FCT)); New Zealand Foundation for Research and Technology (FRST)(New Zealand Foundation for Research, Science and Technology); Antarctica New Zealand; New Zealand Marsden Fund(Royal Society of New ZealandMarsden Fund (NZ)); New Zealand Ministry of Business, Innovation and Employment(New Zealand Ministry of Business, Innovation and Employment (MBIE)); United States National Science Foundation(National Science Foundation (NSF)); Portuguese Polar Program (PROPOLAR) fund; FCT(Fundacao para a Ciencia e a Tecnologia (FCT)); ERDF, in the framework of the programme PT2020(European Union (EU)); Fundação para a Ciência e a Tecnologia(Fundacao para a Ciencia e a Tecnologia (FCT))</t>
  </si>
  <si>
    <t>This project was funded by Portuguese Science and Technology Foundation (FCT) through a grant to CM (NITROLIMIT project - PTDC/CTA-AMB/30997/2017) and to PL (IF/01358/2014), and through a Ph.D. scholarship to AR (SFRH/BD/140567/2018). Antarctic campaign was conducted as part of the New Zealand Terrestrial Antarctic Biocomplexity Survey (nzTABS), through an award from the New Zealand Foundation for Research and Technology (FRST) and an award from Antarctica New Zealand to SC (UOWX0710) that supported all field science and a Post-doctoral fellowship to CL (UOWX0715). The work was also supported through awards from the New Zealand Marsden Fund to CL and SC (UOW1003), the New Zealand Ministry of Business, Innovation and Employment to SC and CL (UOWX1401), the United States National Science Foundation to SC (ANT-0944556 and ANT-1246292). The Portuguese Polar Program (PROPOLAR) funded CM participation in the Antarctic Campaign through FCT nacional funds (PIDDAC). This research was partially supported by the Strategic Funding DID/Multi/04423/2019 through national funds provided by FCT and ERDF, in the framework of the programme PT2020.</t>
  </si>
  <si>
    <t>MAY 31</t>
  </si>
  <si>
    <t>10.3389/fmicb.2019.01018</t>
  </si>
  <si>
    <t>IB2VN</t>
  </si>
  <si>
    <t>WOS:000470126900001</t>
  </si>
  <si>
    <t>Hilder, PE; Battaglene, SC; Hart, NS; Collin, SP; Cobcroft, JM</t>
  </si>
  <si>
    <t>Hilder, Pollyanna E.; Battaglene, Stephen C.; Hart, Nathan S.; Collin, Shaun P.; Cobcroft, Jennifer M.</t>
  </si>
  <si>
    <t>Retinal adaptations of southern bluefin tuna larvae: Implications for culture</t>
  </si>
  <si>
    <t>Vision; Fish larvae; Eye development; Microspectrophotometry; Light; Spectral sensitivity and retina</t>
  </si>
  <si>
    <t>CONE VISUAL PIGMENTS; THUNNUS-MACCOYII CASTELNAU; RETINOMOTOR RESPONSES; LIGHT-INTENSITY; DEVELOPMENTAL-CHANGES; YELLOWTAIL KINGFISH; SCHOOLING BEHAVIOR; GREENBACK FLOUNDER; YELLOWFIN TUNA; OIL DROPLETS</t>
  </si>
  <si>
    <t>We examined Southern bluefin tuna, Thunnus maccoyii, larvae to identify specific retinal adaptations that would indicate both important parameters for culture and larval ecology in the wild. Plastic resin histology, microspectrophotometry and behavioural feeding responses were used to describe visual development. Thunnus maccoyii larvae reflected the visual morphogenesis template commonly observed in many other marine fish species exhibiting indirect development. First-feeding (3 days post-hatching, [dph], 3.4 mm standard length [SL]) larvae possessed tightly packed single cone photoreceptors. Rods and twin cones were present in the retina in post-flexion larvae (21 dph, 8.39 mm fork length [FL]) with cone mosaic patterns observed in juveniles (30 dph, 21 mm FL). Based on the spacing of adjacent photoreceptors and focal length, first feeding larvae had a maximum theoretical visual acuity of 1.23 +/- 0.11 degrees that decreased to 0.14 +/- 0.02 degrees at 30 dph. Thunnus maccoyii displayed high cell density in the ventral retinal region (cones, bipolar and horizontal cells), a low convergence of cone cells to ganglion cells throughout the retina during larval development (1.1 +/- 0.2 to 1.4 +/- 0.3 at 3 dph and 30 dph, respectively), and early development of retinal pigment epithelium (RPE) migration. Microspectrophotometry showed twin cone visual pigments maximally sensitive to light in the blue-green part of the visual spectrum (wavelength of maximum absorption [lambda(max)] of 494 nm, 507 nm and 524 nm), and behavioural experiments showed they fed preferentially at these wavelengths. Increased retinal cone densities in the ventral region indicated a localized region specialized for acute vision for prey and predator detection in the upward direction (dorsal plane) at an early age, representing a possible adaptation to life in deeper oceanic waters. The apparent high acuity and photopic sensitivity observed in T. maccoyii is hypothesised to be associated with the ability to feed in low light conditions. This has important practical considerations in determining lighting regimes for culture of T. maccoyii and possibly for other tuna species.</t>
  </si>
  <si>
    <t>[Hilder, Pollyanna E.; Battaglene, Stephen C.; Cobcroft, Jennifer M.] Univ Tasmania, Fisheries &amp; Aquaculture Ctr, Inst Marine &amp; Antarctic Studies, Hobart, Tas 7001, Australia; [Hart, Nathan S.; Collin, Shaun P.] Univ Western Australia, Sch Biol Sci, Crawley 6009, Australia; [Hart, Nathan S.; Collin, Shaun P.] Univ Western Australia, Oceans Inst, Crawley 6009, Australia; [Hart, Nathan S.] Macquarie Univ, Dept Biol Sci, N Ryde, NSW 2109, Australia; [Collin, Shaun P.] La Trobe Univ, Sch Life Sci, Bundoora, Vic 3086, Australia; [Cobcroft, Jennifer M.] James Cook Univ Singapore, Trop Futures Inst, Aquaculture, S-387380 Singapore, Singapore</t>
  </si>
  <si>
    <t>University of Tasmania; University of Western Australia; University of Western Australia; Macquarie University; La Trobe University; James Cook University</t>
  </si>
  <si>
    <t>Hilder, PE (corresponding author), Univ Tasmania, Fisheries &amp; Aquaculture Ctr, Inst Marine &amp; Antarctic Studies, Hobart, Tas 7001, Australia.</t>
  </si>
  <si>
    <t>Pollyanna.Hilder@utas.edu.au</t>
  </si>
  <si>
    <t>Battaglene, Stephen C/H-9683-2014; Hart, Nathan S/B-8564-2011; Collin, Shaun/K-8827-2012</t>
  </si>
  <si>
    <t>Hart, Nathan S/0000-0002-7289-9399; Collin, Shaun/0000-0001-6236-0771</t>
  </si>
  <si>
    <t>Australian Seafood CRC; Australian Government's Cooperative Research Centres Programme; Australian National Network in Marine Science (ANNIMS) grant</t>
  </si>
  <si>
    <t>Australian Seafood CRC(Australian GovernmentDepartment of Industry, Innovation and ScienceCooperative Research Centres (CRC) Programme); Australian Government's Cooperative Research Centres Programme(Australian GovernmentDepartment of Industry, Innovation and ScienceCooperative Research Centres (CRC) Programme); Australian National Network in Marine Science (ANNIMS) grant</t>
  </si>
  <si>
    <t>We thank the staff of Clean Seas Tuna Ltd. including Morten Deichmann, Adam Miller, Marcell Boaventura, Jamie Crawford, Bennan Chen, Konrad Czypionka and all the technical staff. We also thank Dr. Natalie Moltschaniwskyj for statistical advice. Experiments were conducted in accordance with University of Tasmania Animal Ethics Committee approval number A0010990. We thank the Australian Seafood CRC for funding the study. The Australian Seafood CRC is established and supported under the Australian Government's Cooperative Research Centres Programme. Other investors in the CRC are the Fisheries Research and Development Corporation, Seafood CRC company members, and supporting participants. The MSP research was supported by an Australian National Network in Marine Science (ANNIMS) grant.</t>
  </si>
  <si>
    <t>MAY 30</t>
  </si>
  <si>
    <t>10.1016/j.aquaculture.2019.04.024</t>
  </si>
  <si>
    <t>IC6WH</t>
  </si>
  <si>
    <t>WOS:000471112700026</t>
  </si>
  <si>
    <t>Vince, J; Haward, M</t>
  </si>
  <si>
    <t>Vince, Joanna; Haward, Marcus</t>
  </si>
  <si>
    <t>Hybrid governance in aquaculture: Certification schemes and third party accreditation</t>
  </si>
  <si>
    <t>Hybrid governance; Third party certification; Corporate social responsibility; Social license to operate; Aquaculture Stewardship Council</t>
  </si>
  <si>
    <t>ENVIRONMENTAL GOVERNANCE; ATLANTIC SALMON; SOCIAL LICENSE; SUSTAINABILITY; POLITICS; MARKET; MSC; FISHERIES; NETWORKS; TASMANIA</t>
  </si>
  <si>
    <t>Certification and third party accreditation schemes are examples of private-social partnerships that make up a form of hybrid governance. We argue that hybrid governance is changing the way traditional governance is being utilised. In this paper we examine the rise of third party certification and the challenges these governance arrangements bring to traditional governance. We examine this through analysis of the Aquaculture Stewardship Council (ASC) and the application of the ASC standard in salmonid aquaculture in Tasmania, Australia. This example emphasises that market and consumer engagement is challenging government policies and posing key questions over the role of traditional state practice in the evaluation of sustainable aquaculture. A key factor, however, underpinning such engagement is trust. Thus ASC certification is likely to be a necessary, but not a sufficient, condition supporting the granting of social license to operate.</t>
  </si>
  <si>
    <t>[Vince, Joanna] Univ Tasmania, Sch Social Sci, Polit &amp; Int Relat Program, Locked Bag 1340, Launceston, Tas 7250, Australia; [Vince, Joanna; Haward, Marcus] Univ Tasmania, Ctr Marine Socioecol, Hobart, Tas 7001, Australia; [Haward, Marcus] Univ Tasmania, Ocean &amp; Cryosphere Ctr, Inst Marine &amp; Antarctic Studies, Private Bag 129,20 Castray Esplanade, Hobart, Tas 7001, Australia</t>
  </si>
  <si>
    <t>Vince, J (corresponding author), Univ Tasmania, Sch Social Sci, Polit &amp; Int Relat Program, Locked Bag 1340, Launceston, Tas 7250, Australia.</t>
  </si>
  <si>
    <t>Joanna.vince@utas.edu.au; M.G.Haward@utas.edu.au</t>
  </si>
  <si>
    <t>Vince, Joanna/O-6901-2019; Vince, Joanna Zofia/J-7465-2014; Haward, Marcus/G-3369-2014</t>
  </si>
  <si>
    <t>Vince, Joanna/0000-0002-4469-7634; Vince, Joanna Zofia/0000-0002-4469-7634; Haward, Marcus/0000-0003-4775-0864</t>
  </si>
  <si>
    <t>University of Tasmania, Sense-T Stage 2: Sensing Natural Capital-the role of environmental sensor data within new financial markets project 2015-16 [00003769]</t>
  </si>
  <si>
    <t>University of Tasmania, Sense-T Stage 2: Sensing Natural Capital-the role of environmental sensor data within new financial markets project 2015-16</t>
  </si>
  <si>
    <t>MH would like to acknowledge support from the University of Tasmania, Sense-T Stage 2: Sensing Natural Capital-the role of environmental sensor data within new financial markets project 2015-16, 00003769.</t>
  </si>
  <si>
    <t>10.1016/j.aquaculture.2019.04.041</t>
  </si>
  <si>
    <t>WOS:000471112700038</t>
  </si>
  <si>
    <t>Pritchard, HD</t>
  </si>
  <si>
    <t>Pritchard, Hamish D.</t>
  </si>
  <si>
    <t>Asia's shrinking glaciers protect large populations from drought stress</t>
  </si>
  <si>
    <t>CLIMATE-CHANGE; WATER-BALANCE; MASS-BALANCE; TIEN-SHAN; RIVER; HIMALAYA; IMPACT; REANALYSIS; DISCHARGE; PRODUCTS</t>
  </si>
  <si>
    <t>About 800 million people depend in part on meltwater from the thousands of glaciers in the high mountains of Asia. Water stress makes this region vulnerable to drought, but glaciers are a uniquely drought-resilient source of water. Here I show that seasonal glacier meltwater is equivalent to the basic needs of 221 +/- 59 million people, or most of the annual municipal and industrial needs of Pakistan, Afghanistan, Tajikistan, Turkmenistan, Uzbekistan and Kyrgyzstan. During drought summers, meltwater dominates water inputs to the upper Indus, Aral and Chu/Issyk-Kul river basins. This reduces the risk of social instability, conflict and sudden migrations triggered by water scarcity, which is already associated with the large, rapidly growing populations and hydro-economies of these basins. Regional meltwater production is, however, unsustainably high-at 1.6 times the balance rate-and is expected to increase in future decades before ultimately declining. These results update and reinforce a previous publication in Nature on this topic, which was retracted after an inadvertent error was discovered.</t>
  </si>
  <si>
    <t>[Pritchard, Hamish D.] British Antarctic Survey, Cambridge, England</t>
  </si>
  <si>
    <t>Pritchard, HD (corresponding author), British Antarctic Survey, Cambridge, England.</t>
  </si>
  <si>
    <t>hprit@bas.ac.uk</t>
  </si>
  <si>
    <t>Pritchard, Hamish Daniel/AAU-4696-2021</t>
  </si>
  <si>
    <t>NERC [bas0100034, NE/R000107/1] Funding Source: UKRI</t>
  </si>
  <si>
    <t>10.1038/s41586-019-1240-1</t>
  </si>
  <si>
    <t>IB3CD</t>
  </si>
  <si>
    <t>WOS:000470144100032</t>
  </si>
  <si>
    <t>Jara, RF; Crego, RD; Arellano, FJ; Altamirano, OA; Ibarra, JT; Rozzi, R; Jiménez, JE</t>
  </si>
  <si>
    <t>Jara, Rocio Fernanda; Crego, Ramiro Daniel; Arellano, Francisco Javier; Altamirano, Omas Alberto; Ibarra, Jose Tomas; Rozzi, Ricardo; Jimenez, Jaime Enrique</t>
  </si>
  <si>
    <t>Breeding strategies of open-cup-nesting birds in sub-Antarctic forests of Navarino Island, Chile</t>
  </si>
  <si>
    <t>REVISTA CHILENA DE HISTORIA NATURAL</t>
  </si>
  <si>
    <t>Anairetes parulus; Elaenia albiceps; Latitude; Nesting; Phrygilus patagonicus; Turdus falcklandii; Zonotrichia capensis</t>
  </si>
  <si>
    <t>CLUTCH SIZE; HISTORY; BIOLOGY; CONSERVATION; ARCHIPELAGO; EVOLUTION</t>
  </si>
  <si>
    <t>Background: There is limited knowledge about the breeding strategies of birds inhabiting in South American temperate forests. This is particularly true for open-cup forest passerines breeding at high latitudes (&gt; 42 degrees). To better understand the ecology of these species, in this study we described and compared the breeding strategies (i.e., nest dimensions, nest height from the ground, egg laying rhythm, clutch size, length of the developmental periods, breeding phenology, and diversity of nesting substrate) of five passerine birds that inhabit sub-Antarctic ecosystems. Methods: During three breeding seasons (2014-2017), we monitored 103 nests of the five most abundant open-cup forest-dwelling passerines (Phrygilus patagonicus, Anairetes parulus, Turdus falcklandii, Elaenia albiceps, and Zonotrichia capensis) on Navarino Island (55 degrees S), Cape Horn Biosphere Reserve, southern Chile. Additionally, we compared the breeding strategies of T. falcklandii to another population breeding at lower latitude (39 degrees S). Results: Most of the species started laying eggs the last week of September; only E. albiceps started 2 months later. During the breeding season of 2016-2017 both E. albiceps and Z. capensis started laying eggs earlier than the previous year. Anairetes parulus and Z. capensis were the most specialized in terms of nesting substrate. Turdus falcklandii had larger clutch sizes and nested closer to the ground on Navarino Island compared to the northern population, which might put this and other ground nesting species of this island at a higher risk of predation by the recently introduced American mink (Neovison vison). Conclusions; Our five study species breed exclusively in open-cups (not in cavities) in sub-Antarctic forests, and some of them built their nests closer to the ground compared to populations breeding at lower latitudes. This may be associated with the lack of terrestrial predators on Navarino Island. Our study opens further questions about the mechanisms driving differences in breeding strategies among populations.</t>
  </si>
  <si>
    <t>[Jara, Rocio Fernanda; Crego, Ramiro Daniel; Jimenez, Jaime Enrique] Univ North Texas, Dept Biol Sci, 1511 W Sycamore, Denton, TX 76203 USA; [Jara, Rocio Fernanda; Crego, Ramiro Daniel; Arellano, Francisco Javier; Rozzi, Ricardo] Univ North Texas, Subantarctic Biocultural Conservat Program, 1155 Union Circle, Denton, TX 76203 USA; [Jara, Rocio Fernanda; Crego, Ramiro Daniel; Rozzi, Ricardo] Inst Ecol &amp; Biodiversidad, Dept Ciencias Ecol, Fac Ciencias, Casilla 653, Santiago, Chile; [Arellano, Francisco Javier; Rozzi, Ricardo; Jimenez, Jaime Enrique] Univ Magallanes, Manuel Bulnes 1855, Punta Arenas, Chile; [Altamirano, Omas Alberto] Univ British Columbia, Dept Forest &amp; Conservat Sci, 2424 Main Mall, Vancouver, BC V6T 1Z4, Canada; [Altamirano, Omas Alberto; Ibarra, Jose Tomas] Pontificia Univ Catolica Chile, Ctr Local Dev Educ &amp; Intercultural CEDEL, ECOS Ecol Complex Soc Lab, Villarr Campus,OHiggins 501, Villarrica, La Araucania Re, Chile; [Ibarra, Jose Tomas] Pontificia Univ Catolica Chile, Millennium Nucleus Ctr Socioecon Impact Environm, Santiago, Chile; [Rozzi, Ricardo] Univ North Texas, Dept Philosophy &amp; Relig, 1155 Union Circle, Denton, TX USA; [Crego, Ramiro Daniel] Smithsonian Conservat Biol Inst, Conservat Ecol Ctr, Natl Zool Pk, 1500 Remt Rd, Front Royal, VA USA; [Jimenez, Jaime Enrique] Univ North Texas, Adv Environm Res Inst, Denton, TX USA</t>
  </si>
  <si>
    <t>University of North Texas System; University of North Texas Denton; University of North Texas System; University of North Texas Denton; Universidad de Magallanes; University of British Columbia; Pontificia Universidad Catolica de Chile; Pontificia Universidad Catolica de Chile; University of North Texas System; University of North Texas Denton; Smithsonian Institution; Smithsonian National Zoological Park &amp; Conservation Biology Institute; University of North Texas System; University of North Texas Denton</t>
  </si>
  <si>
    <t>Jara, RF (corresponding author), Univ North Texas, Dept Biol Sci, 1511 W Sycamore, Denton, TX 76203 USA.;Jara, RF (corresponding author), Univ North Texas, Subantarctic Biocultural Conservat Program, 1155 Union Circle, Denton, TX 76203 USA.;Jara, RF (corresponding author), Inst Ecol &amp; Biodiversidad, Dept Ciencias Ecol, Fac Ciencias, Casilla 653, Santiago, Chile.</t>
  </si>
  <si>
    <t>Rociojara@my.unt.edu</t>
  </si>
  <si>
    <t>Jara, Rocio Fernanda/GOK-0262-2022; Rozzi, Ricardo/G-1047-2012; Jimenez, Jaime E./AAO-7531-2020; Crego, Ramiro Daniel/I-3964-2019</t>
  </si>
  <si>
    <t>Rozzi, Ricardo/0000-0001-5265-8726; Crego, Ramiro Daniel/0000-0001-8583-5936; Ibarra, Jose Tomas/0000-0002-7705-3974; Jara, Rocio Fernanda/0000-0001-7896-7885</t>
  </si>
  <si>
    <t>Chilean National Commission for Scientific and Technological Research (CONICYT); University of North Texas; Institute of Ecology and Biodiversity (IEB, Basal Funding) [CONICYT-AFB170008]; Ministry of the Environment [FPA 09-078-2010, FPA 9-I-009-12]; Peregrine Fund; Rufford Small Grants for Nature Conservation [14397-2]; Francois Vuilleumier Fund for Research on Neotropical Birds (Neotropical Ornithological Society); Idea Wild; NETBIOAMERICAS CONICYT/Apoyo a la Formacion de Redes Internacionales entre Centros de Investigacion [REDES150047]; CONICYT/FONDECYT de Inicio [11160932]</t>
  </si>
  <si>
    <t>Chilean National Commission for Scientific and Technological Research (CONICYT)(Comision Nacional de Investigacion Cientifica y Tecnologica (CONICYT)); University of North Texas; Institute of Ecology and Biodiversity (IEB, Basal Funding); Ministry of the Environment(Ministry of the Environment, Japan); Peregrine Fund; Rufford Small Grants for Nature Conservation; Francois Vuilleumier Fund for Research on Neotropical Birds (Neotropical Ornithological Society); Idea Wild; NETBIOAMERICAS CONICYT/Apoyo a la Formacion de Redes Internacionales entre Centros de Investigacion; CONICYT/FONDECYT de Inicio</t>
  </si>
  <si>
    <t>Funding was provided by the Chilean National Commission for Scientific and Technological Research (CONICYT) in the form of graduate and postgraduate scholarships for RFJ and TAA respectively. Funding for fieldwork on Navarino Island was provided by the University of North Texas, Partners of the Americas fellowship, and the Institute of Ecology and Biodiversity (IEB, Basal Funding CONICYT-AFB170008). The study in the La Araucania Region had the financial support from the Ministry of the Environment (FPA 09-078-2010 y 9-I-009-12), The Peregrine Fund, The Rufford Small Grants for Nature Conservation (14397-2), Francois Vuilleumier Fund for Research on Neotropical Birds (Neotropical Ornithological Society), Idea Wild, NETBIOAMERICAS CONICYT/Apoyo a la Formacion de Redes Internacionales entre Centros de Investigacion (REDES150047), and CONICYT/FONDECYT de Inicio (11160932).</t>
  </si>
  <si>
    <t>0716-078X</t>
  </si>
  <si>
    <t>0717-6317</t>
  </si>
  <si>
    <t>REV CHIL HIST NAT</t>
  </si>
  <si>
    <t>Rev. Chil. Hist. Nat.</t>
  </si>
  <si>
    <t>10.1186/s40693-019-0082-4</t>
  </si>
  <si>
    <t>IA7YX</t>
  </si>
  <si>
    <t>WOS:000469775300001</t>
  </si>
  <si>
    <t>Michel, LN; Danis, B; Dubois, P; Eleaume, M; Fournier, J; Gallut, C; Jane, P; Lepoint, G</t>
  </si>
  <si>
    <t>Michel, Loic N.; Danis, Bruno; Dubois, Philippe; Eleaume, Marc; Fournier, Jerome; Gallut, Cyril; Jane, Philip; Lepoint, Gilles</t>
  </si>
  <si>
    <t>Increased sea ice cover alters food web structure in East Antarctica</t>
  </si>
  <si>
    <t>STABLE-ISOTOPE RATIOS; KING-GEORGE ISLAND; BENTHIC COMMUNITY; TROPHIC RELATIONSHIPS; MARINE-INVERTEBRATES; VARIABILITY; NITROGEN; DELTA-C-13; CARBON; VULNERABILITY</t>
  </si>
  <si>
    <t>In recent years, sea ice cover along coasts of East Antarctica has tended to increase. To understand ecological implications of these environmental changes, we studied benthic food web structure on the coasts of Adelie Land during an event of unusually high sea ice cover (i.e. two successive austral summers without seasonal breakup). We used integrative trophic markers (stable isotope ratios of carbon, nitrogen and sulfur) to build ecological models and explored feeding habits of macroinvertebrates. In total, 28 taxa spanning most present animal groups and functional guilds were investigated. Our results indicate that the absence of seasonal sea ice breakup deeply influenced benthic food webs. Sympagic algae dominated the diet of many key consumers, and the trophic levels of invertebrates were low, suggesting omnivore consumers did not rely much on predation and/or scavenging. Our results provide insights about how Antarctic benthic consumers, which typically live in an extremely stable environment, might adapt their feeding habits in response to sudden changes in environmental conditions and trophic resource availability. They also show that local and/or global trends of sea ice increase in Antarctica have the potential to cause drastic changes in food web structure, and therefore to impact benthic communities.</t>
  </si>
  <si>
    <t>[Michel, Loic N.; Lepoint, Gilles] Univ Liege ULg, Freshwater &amp; Ocean Sci Unit ReS FOCUS, Lab Oceanol, Liege, Belgium; [Danis, Bruno; Dubois, Philippe] ULB, Marine Biol Lab, Brussels, Belgium; [Eleaume, Marc] Sorbonne Univ, Museum Natl Hist Nat, EPHE, Inst Systemat,Evolut,Biodiversite ISYEB,CNRS, Paris, France; [Fournier, Jerome] Natl Museum Nat Hist MNHN, Biol Marine Stn, CNRS, UMR BOREA 7208, Concarneau, France; [Gallut, Cyril] Sorbonne Univ, Stn Marine Concarneau, CNRS, MNHN,EPHE,Inst Systemat,Evolut,Biodiversite ISYEB, Concarneau, France; [Jane, Philip] Aquarium Paris Cineaqua, Paris, France; [Michel, Loic N.] Ifremer, Ctr Bretagne, REM EEP, Lab Environm Profond, Plouzane, France</t>
  </si>
  <si>
    <t>University of Liege; Universite Libre de Bruxelles; Centre National de la Recherche Scientifique (CNRS); Universite PSL; Ecole Pratique des Hautes Etudes (EPHE); Sorbonne Universite; Museum National d'Histoire Naturelle (MNHN); Centre National de la Recherche Scientifique (CNRS); Institut de Recherche pour le Developpement (IRD); Museum National d'Histoire Naturelle (MNHN); Sorbonne Universite; Universite PSL; Ecole Pratique des Hautes Etudes (EPHE); Museum National d'Histoire Naturelle (MNHN); Sorbonne Universite; Centre National de la Recherche Scientifique (CNRS); Ifremer; Universite de Bretagne Occidentale</t>
  </si>
  <si>
    <t>Michel, LN (corresponding author), Univ Liege ULg, Freshwater &amp; Ocean Sci Unit ReS FOCUS, Lab Oceanol, Liege, Belgium.;Michel, LN (corresponding author), Ifremer, Ctr Bretagne, REM EEP, Lab Environm Profond, Plouzane, France.</t>
  </si>
  <si>
    <t>loicnmichel@gmail.com</t>
  </si>
  <si>
    <t>Michel, Loïc N./H-5830-2013; Fournier, Jérôme/B-7456-2008; Danis, Bruno/AAS-8444-2021; Lepoint, Gilles/I-1130-2014</t>
  </si>
  <si>
    <t>Michel, Loïc N./0000-0003-0988-7050; Danis, Bruno/0000-0002-9037-7623; Gallut, Cyril/0000-0002-6486-0179; Lepoint, Gilles/0000-0003-4375-0357</t>
  </si>
  <si>
    <t>Belgian Science Policy Office (BELSPO) through the vERSO project [BR/132/A1/vERSO]; French Polar Institute Paul-Emile Victor (IPEV) [REVOLTA 1124]; MNHN [REVOLTA 1124]; Sorbonne Universite [REVOLTA 1124]; CNRS [REVOLTA 1124]</t>
  </si>
  <si>
    <t>Belgian Science Policy Office (BELSPO) through the vERSO project; French Polar Institute Paul-Emile Victor (IPEV); MNHN; Sorbonne Universite; CNRS(Centre National de la Recherche Scientifique (CNRS))</t>
  </si>
  <si>
    <t>This research was funded by the Belgian Science Policy Office (BELSPO) through the vERSO project (http://www.rectoversoprojects.be.be, contract nr. BR/132/A1/vERSO). Access to Dumont-d'Urville station was granted through REVOLTA 1124, a research program co-funded by the French Polar Institute Paul-Emile Victor (IPEV), MNHN, Sorbonne Universite and CNRS. P.D. and G.L. are respectively Belgian Fund for Scientific Research (F.R.S-FNRS) research director and research associate. Authors warmly thank all involved IPEV staff for their efficient logistical support during the planning and execution of the field campaigns. They also thank Eduardo da Forno and Elsa Freschet for sample collection during the 2013-14 sampling campaign, Svetlana Vasic for her help during sample preparation, Daniela Zeppilli (Laboratoire Environnement Profond - Ifremer) for identifying the nematodes and Anton P. Van de Putte (OD Nature - Royal Belgian Institute of Natural Sciences) for his help with data archiving. This paper is contribution nr. 30 to the vERSO project and MARE publication nr. 388.</t>
  </si>
  <si>
    <t>10.1038/s41598-019-44605-5</t>
  </si>
  <si>
    <t>IA2UT</t>
  </si>
  <si>
    <t>WOS:000469418100008</t>
  </si>
  <si>
    <t>González, L; Taylor, RS; Bridle, AR; Crosbie, PBB; Nowak, BF</t>
  </si>
  <si>
    <t>Gonzalez, Laura; Taylor, Richard S.; Bridle, Andrew R.; Crosbie, Philip B. B.; Nowak, Barbara F.</t>
  </si>
  <si>
    <t>Parasitic isopods Ceratothoa banksii (Leach, 1818) and Nerocila orbignyi (Guerin-Meneville, 1832) of farmed Atlantic salmon and their potential as vectors of Neoparamoeba perurans (Young et al. 2007) in Tasmania</t>
  </si>
  <si>
    <t>Ectoparasite; Cymothoidae; Vectors; Freshwater treatments; Aquaculture</t>
  </si>
  <si>
    <t>AMEBIC-GILL-DISEASE; BASS DICENTRARCHUS-LABRAX; SEA-LICE; SALAR; AGENT; WATER; GAUDICHAUDII; CYMOTHOIDAE; INTENSITY; INFECTION</t>
  </si>
  <si>
    <t>Reiterative freshwater bathing is the main treatment to control amoebic gill disease (AGD) of farmed Atlantic salmon in Tasmania, Australia. Regular freshwater exposure appears to control ectoparasitic cymothoid isopods, which were only seen at high prevalence and intensity in summer when fish had not been treated for over 100 days. With the potential advent of non-freshwater AGD treatments or increased periods between freshwater bathing due to selective breeding for AGD resistance, it is possible that cymothoid parasitism will become an increasing threat on Tasmanian salmon farms. In order to establish whether isopods could be vectors of Neoparamoeba perurans Young et al. 2007 (the causative agent of AGD), gill isopods were collected from salmon that had not been bathed for seven months and carried a 95% prevalence of isopods, including Ceratothoa banksii (Leach, 1818) and Nerocila orbignyi (Guerin-Meneville, 1832). PCR analyses of gill swabs indicated that 82% of salmon were positive for N. perurans while 41% of the sampled isopods were positive for N. perurans on external surfaces. When internal material was analysed, only 9% of the isopods were positive for the amoeba, but in very low concentration. Quantitative analysis showed no correlation between the concentrations of N. perurans from gill swabs and the isopods from the same individual fish. Thus, it is unlikely that these isopods act as a significant reservoir or vector for N. perurans.</t>
  </si>
  <si>
    <t>[Gonzalez, Laura] CCTA Sanitario, CCTA Ambiental Subsecretaria Pesca &amp; Acuicultura, Valparaiso, Chile; [Taylor, Richard S.] CSIRO Agr &amp; Food, Integrated Sustainable Aquaculture Prod Program, Hobart, Tas 7000, Australia; [Bridle, Andrew R.; Crosbie, Philip B. B.; Nowak, Barbara F.] Univ Tasmania, Inst Marine &amp; Antarctic Studies, Launceston, Tas 7250, Australia</t>
  </si>
  <si>
    <t>Commonwealth Scientific &amp; Industrial Research Organisation (CSIRO); University of Tasmania</t>
  </si>
  <si>
    <t>González, L (corresponding author), CCTA Sanitario, CCTA Ambiental Subsecretaria Pesca &amp; Acuicultura, Valparaiso, Chile.;Taylor, RS (corresponding author), CSIRO Agr &amp; Food, Integrated Sustainable Aquaculture Prod Program, Hobart, Tas 7000, Australia.</t>
  </si>
  <si>
    <t>l.laura.gonzalez@gmail.com</t>
  </si>
  <si>
    <t>Bridle, Andrew R/B-4117-2013; Taylor, Richard S./T-7996-2019; Taylor, Richard S/E-9961-2012; Nowak, Barbara/J-7261-2014</t>
  </si>
  <si>
    <t>Taylor, Richard S./0000-0003-0312-7317; Gonzalez-Poblete, Laura/0000-0001-9964-2721; Bridle, Andrew/0000-0002-5788-1297; Nowak, Barbara/0000-0002-0347-643X</t>
  </si>
  <si>
    <t>Becas-Chile scholarship [72090099]; University of Tasmania; Tasmanian Salmonid Growers Association</t>
  </si>
  <si>
    <t>Becas-Chile scholarship; University of Tasmania; Tasmanian Salmonid Growers Association</t>
  </si>
  <si>
    <t>We would like to thank the collaboration and assistance of Richard Miller, Jarrod Wells, Brad Evans and staff from the Tasmanian salmon industry in Australia for supporting LG with farm visits, samples and farm data. In particular, we thank David Cameron (Tassal Operations Pty Ltd.) for his helpful observations of clearance of isopods from previously affected salmon populations during freshwater treatment. We are grateful to the Fish Health group (IMAS, University of Tasmania, Australia) for assisting LG during her PhD research and for their comments on earlier versions of the manuscript. We gratefully acknowledge the kind assistance of Dr. Melissa Martin (at the time of this study, PhD student at IMAS) for her assistance with isopod identification under the guidance of Dr. Niel Bruce (Museum of Tropical Queensland, Queensland Museum and School of Marine and Tropical Biology, James Cook University, Townsville, Australia). Our thanks to Ben Maynard of CSIRO for his assistance with sampling in February 2010. The research was supported by a Becas-Chile scholarship (Grant 72090099) to LG at the University of Tasmania. LG's PhD scholarship was jointly funded by University of Tasmania to LG and Tasmanian Salmonid Growers Association. We thank three anonymous reviewers for their helpful comments. We have no commercial or other relationship which would represent a conflict of interest in this study.</t>
  </si>
  <si>
    <t>10.1016/j.aquaculture.2019.04.008</t>
  </si>
  <si>
    <t>WOS:000471112700004</t>
  </si>
  <si>
    <t>Winterstein, F; Tanalski, F; Jöckel, P; Dameris, M; Ponater, M</t>
  </si>
  <si>
    <t>Winterstein, Franziska; Tanalski, Fabian; Joeckel, Patrick; Dameris, Martin; Ponater, Michael</t>
  </si>
  <si>
    <t>Implication of strongly increased atmospheric methane concentrations for chemistry-climate connections</t>
  </si>
  <si>
    <t>GENERAL-CIRCULATION MODEL; SUBMODEL SYSTEM MESSY; OZONE; EMISSIONS; FEEDBACK; WETLAND; CO2; ATTRIBUTION; PROJECTIONS; SIMULATION</t>
  </si>
  <si>
    <t>Methane (CH4) is the second-most important directly emitted greenhouse gas, the atmospheric concentration of which is influenced by human activities. In this study, numerical simulations with the chemistry-climate model (CCM) EMAC are performed, aiming to assess possible consequences of significantly enhanced CH4 concentrations in the Earth's atmosphere for the climate. We analyse experiments with 2 x CH4 and 5 x CH4 present-day (2010) mixing ratio and its quasi-instantaneous chemical impact on the atmosphere. The massive increase in CH4 strongly influences the tropospheric chemistry by reducing the OH abundance and thereby extending the CH4 lifetime as well as the residence time of other chemical substances. The region above the tropopause is impacted by a substantial rise in stratospheric water vapour (SWV). The stratospheric ozone (O-3) column increases overall, but SWV-induced stratospheric cooling also leads to a enhanced ozone depletion in the Antarctic lower stratosphere. Regional patterns of ozone change are affected by modification of stratospheric dynamics, i.e. increased tropical upwelling and stronger meridional transport towards the polar regions. We calculate the net radiative impact (RI) of the 2 x CH4 experiment to be 0.69 W m(-2), and for the 5 x CH4 experiment to be 1.79 W m(-2). A substantial part of the RH is contributed by chemically induced O-3 and SWV changes, in line with previous radiative forcing estimates. To our knowledge this is the first numerical study using a CCM with respect to 2- and 5-fold CH4 concentrations and it is therefore an overdue analysis as it emphasizes the impact of possible strong future CH4 emissions on atmospheric chemistry and its feedback on climate.</t>
  </si>
  <si>
    <t>[Winterstein, Franziska; Tanalski, Fabian; Joeckel, Patrick; Dameris, Martin; Ponater, Michael] Deutsch Zentrum Luft &amp; Raumfahrt DLR, Inst Phys Atmosphare, Oberpfaffenhofen, Germany; [Tanalski, Fabian] MERPH IP Patentanwalte PartG mbB, Munich, Germany</t>
  </si>
  <si>
    <t>Helmholtz Association; German Aerospace Centre (DLR)</t>
  </si>
  <si>
    <t>Winterstein, F (corresponding author), Deutsch Zentrum Luft &amp; Raumfahrt DLR, Inst Phys Atmosphare, Oberpfaffenhofen, Germany.</t>
  </si>
  <si>
    <t>franziska.frank@dlr.de</t>
  </si>
  <si>
    <t>Ponater, Michael/AAQ-4907-2020; Jöckel, Patrick/C-3687-2009; Winterstein, Franziska/ABG-4964-2020</t>
  </si>
  <si>
    <t>Jöckel, Patrick/0000-0002-8964-1394; Winterstein, Franziska/0000-0002-2406-4936; Ponater, Michael/0000-0002-9771-4733</t>
  </si>
  <si>
    <t>DLR internal project KliSAW (Klimarelevanz von atmospharischen Spurengasen, Aerosolen und Wolken)</t>
  </si>
  <si>
    <t>We acknowledge the DLR internal project KliSAW (Klimarelevanz von atmospharischen Spurengasen, Aerosolen und Wolken), which provided the financial basis for the presented study. The model simulations have been performed at the German Climate Computing Centre (DKRZ) through support from the Bundesministerium fur Bildung und Forschung (BMBF). We used the NCAR Command Language (NCL) for data analysis and to create some of the figures of this study. NCL is developed by UCAR/NCAR/CISL/TDD and available online: https://doi.org/10.5065/D6WD3XH5.We furthermore thank all contributors of the project ESCiMo (Earth System Chemistry integrated Modelling), which provides the model configuration and initial conditions, and Birgit Hassler for her internal review of the manuscript. Very constructive comments from the referees are gratefully acknowledged.</t>
  </si>
  <si>
    <t>MAY 29</t>
  </si>
  <si>
    <t>10.5194/acp-19-7151-2019</t>
  </si>
  <si>
    <t>IA2YW</t>
  </si>
  <si>
    <t>WOS:000469430600002</t>
  </si>
  <si>
    <t>Bilgmann, K; Parra, GJ; Holmes, L; Peters, KJ; Jonsen, ID; Möller, LM</t>
  </si>
  <si>
    <t>Bilgmann, Kerstin; Parra, Guido J.; Holmes, Lauren; Peters, Katharina J.; Jonsen, Ian D.; Moller, Luciana M.</t>
  </si>
  <si>
    <t>Abundance estimates and habitat preferences of bottlenose dolphins reveal the importance of two gulfs in South Australia</t>
  </si>
  <si>
    <t>TURSIOPS-TRUNCATUS; SHARK BAY; CETACEAN DISTRIBUTION; POPULATION-STRUCTURE; COASTAL WATERS; MARINE MAMMALS; CONSERVATION; SP.; DIFFERENTIATION; MANAGEMENT</t>
  </si>
  <si>
    <t>Informed conservation management of marine mammals requires an understanding of population size and habitat preferences. In Australia, such data are needed for the assessment and mitigation of anthropogenic impacts, including fisheries interactions, coastal zone developments, oil and gas exploration and mining activities. Here, we present large-scale estimates of abundance, density and habitat preferences of southern Australian bottlenose dolphins (Tursiops sp.) over an area of 42,438km(2) within two gulfs of South Australia. Using double-observer platform aerial surveys over four strata and mark-recapture distance sampling analyses, we estimated 3,493 (CV= 0.21; 95%CI = 2,327-5,244) dolphins in summer/autumn, and 3,213 (CV= 0.20; 95%CI = 2,151-4,801) in winter/spring of 2011. Bottlenose dolphin abundance and density was higher in gulf waters across both seasons (0.09-0.24 dolphins/km(2)) compared to adjacent shelf waters (0.004-0.04 dolphins/km(2)). The high densities of bottlenose dolphins in the two gulfs highlight the importance of these gulfs as a habitat for the species. Habitat modelling associated bottlenose dolphins with shallow waters, flat seafloor topography, and higher sea surface temperatures (SSTs) in summer/autumn and lower SSTs in winter/spring. Spatial predictions showed high dolphin densities in northern and coastal gulf sections. Distributional data should inform management strategies, marine park planning and environmental assessments of potential anthropogenic threats to this protected species.</t>
  </si>
  <si>
    <t>[Bilgmann, Kerstin; Parra, Guido J.; Holmes, Lauren; Peters, Katharina J.; Moller, Luciana M.] Flinders Univ S Australia, Coll Sci &amp; Engn, CEBEL, GPO Box 2100, Adelaide, SA 5001, Australia; [Bilgmann, Kerstin; Moller, Luciana M.] Flinders Univ S Australia, Coll Sci &amp; Engn, Mol Ecol Lab, GPO Box 2100, Adelaide, SA 5001, Australia; [Bilgmann, Kerstin; Jonsen, Ian D.] Macquarie Univ, Fac Sci &amp; Engn, Dept Biol Sci, Marine Vertebrate Conservat &amp; Evolut Lab, Sydney, NSW 2109, Australia; [Peters, Katharina J.] Flinders Univ S Australia, Coll Sci &amp; Engn, Global Ecol, GPO Box 2100, Adelaide, SA 5001, Australia; [Peters, Katharina J.] Massey Univ, Sch Nat &amp; Computat Sci, Coastal Marine Res Grp, Auckland 0745, New Zealand</t>
  </si>
  <si>
    <t>Flinders University South Australia; Flinders University South Australia; Macquarie University; Flinders University South Australia; Massey University</t>
  </si>
  <si>
    <t>Bilgmann, K (corresponding author), Flinders Univ S Australia, Coll Sci &amp; Engn, CEBEL, GPO Box 2100, Adelaide, SA 5001, Australia.;Bilgmann, K (corresponding author), Flinders Univ S Australia, Coll Sci &amp; Engn, Mol Ecol Lab, GPO Box 2100, Adelaide, SA 5001, Australia.;Bilgmann, K (corresponding author), Macquarie Univ, Fac Sci &amp; Engn, Dept Biol Sci, Marine Vertebrate Conservat &amp; Evolut Lab, Sydney, NSW 2109, Australia.</t>
  </si>
  <si>
    <t>kerstin.bilgmann@mq.edu.au</t>
  </si>
  <si>
    <t>Peters, Katharina J/J-3033-2019; Möller, Luciana M/A-6030-2008</t>
  </si>
  <si>
    <t>Peters, Katharina J/0000-0002-5967-0928; Jonsen, Ian/0000-0001-5423-6076; Bilgmann, Kerstin/0000-0003-0681-2301</t>
  </si>
  <si>
    <t>Australian Marine Mammal Centre (AMMC); Australian Antarctic Division (AAD) [2010/33]</t>
  </si>
  <si>
    <t>Australian Marine Mammal Centre (AMMC); Australian Antarctic Division (AAD)</t>
  </si>
  <si>
    <t>This study was funded by the Australian Marine Mammal Centre (AMMC) Grants Program, Australian Antarctic Division (AAD) (project number 2010/33). We are thankful to our pilot Brad Welch and business partner Alexey Suarez Gonzalez, Observair Ptd. Lty., who greatly contributed to the success of this study. We are grateful to Prof. Philip Hammond and Dr. Ana Canadas for their advice on the aerial survey design, and to Dr. Amanda Hodgson for the initial aerial survey training. We would like to extend our thanks to our aerial observer team: Matthias Schmidt, Juliet Shrimpton, Rebecca Tite, Dr. Nikki Zanardo and Dr. Jimena Rodriguez-Zarate.</t>
  </si>
  <si>
    <t>10.1038/s41598-019-44310-3</t>
  </si>
  <si>
    <t>IA1KO</t>
  </si>
  <si>
    <t>WOS:000469319500002</t>
  </si>
  <si>
    <t>Levin, LA; Bett, BJ; Gates, AR; Heimbach, P; Howe, BM; Janssen, F; McCurdy, A; Ruhl, HA; Snelgrove, P; Stocks, KI; Bailey, D; Baumann-Pickering, S; Beaverson, C; Benfield, MC; Booth, DJ; Carreiro-Silva, M; Colaço, A; Eblé, MC; Fowler, AM; Gjerde, KM; Jones, DOB; Katsumata, K; Kelley, D; Le Bris, N; Leonardi, AP; Lejzerowicz, F; Macreadie, PI; McLean, D; Meitz, F; Morato, T; Netburn, A; Pawlowski, J; Smith, CR; Sun, S; Uchida, H; Vardaro, MF; Venkatesan, R; Weller, RA</t>
  </si>
  <si>
    <t>Levin, Lisa A.; Bett, Brian J.; Gates, Andrew R.; Heimbach, Patrick; Howe, Bruce M.; Janssen, Felix; McCurdy, Andrea; Ruhl, Henry A.; Snelgrove, Paul; Stocks, Karen, I; Bailey, David; Baumann-Pickering, Simone; Beaverson, Chris; Benfield, Mark C.; Booth, David J.; Carreiro-Silva, Marina; Colaco, Ana; Eble, Marie C.; Fowler, Ashley M.; Gjerde, Kristina M.; Jones, Daniel O. B.; Katsumata, K.; Kelley, Deborah; Le Bris, Nadine; Leonardi, Alan P.; Lejzerowicz, Franck; Macreadie, Peter, I; McLean, Dianne; Meitz, Fred; Morato, Telmo; Netburn, Amanda; Pawlowski, Jan; Smith, Craig R.; Sun, Song; Uchida, Hiroshi; Vardaro, Michael F.; Venkatesan, R.; Weller, Robert A.</t>
  </si>
  <si>
    <t>Global Observing Needs in the Deep Ocean</t>
  </si>
  <si>
    <t>deep sea; ocean observation; blue economy; essential ocean variables; biodiversity; ocean sensors</t>
  </si>
  <si>
    <t>CLARION-CLIPPERTON ZONE; ANTARCTIC BOTTOM WATER; IZU-OGASAWARA TRENCH; ENVIRONMENTAL IMPACTS; POLYMETALLIC NODULES; NORTHEAST PACIFIC; MEDITERRANEAN SEA; CHALLENGER DEEP; DEMERSAL FISHES; HIGH-THROUGHPUT</t>
  </si>
  <si>
    <t>The deep ocean below 200 m water depth is the least observed, but largest habitat on our planet by volume and area. Over 150 years of exploration has revealed that this dynamic system provides critical climate regulation, houses a wealth of energy, mineral, and biological resources, and represents a vast repository of biological diversity. A long history of deep-ocean exploration and observation led to the initial concept for the Deep-Ocean Observing Strategy (DOOS), under the auspices of the Global Ocean Observing System (GOOS). Here we discuss the scientific need for globally integrated deep-ocean observing, its status, and the key scientific questions and societal mandates driving observing requirements over the next decade. We consider the Essential Ocean Variables (EOVs) needed to address deep-ocean challenges within the physical, biogeochemical, and biological/ecosystem sciences according to the Framework for Ocean Observing (FOO), and map these onto scientific questions. Opportunities for new and expanded synergies among deep-ocean stakeholders are discussed, including academic-industry partnerships with the oil and gas, mining, cable and fishing industries, the ocean exploration and mapping community, and biodiversity conservation initiatives. Future deep-ocean observing will benefit from the greater integration across traditional disciplines and sectors, achieved through demonstration projects and facilitated reuse and repurposing of existing deep-sea data efforts. We highlight examples of existing and emerging deep-sea methods and technologies, noting key challenges associated with data volume, preservation, standardization, and accessibility. Emerging technologies relevant to deep-ocean sustainability and the blue economy include novel genomics approaches, imaging technologies, and ultra-deep hydrographic measurements. Capacity building will be necessary to integrate capabilities into programs and projects at a global scale. Progress can be facilitated by Open Science and Findable, Accessible, Interoperable, Reusable (FAIR) data principles and converge on agreed to data standards, practices, vocabularies, and registries. We envision expansion of the deep-ocean observing community to embrace the participation of academia, industry, NGOs, national governments, international governmental organizations, and the public at large in order to unlock critical knowledge contained in the deep ocean over coming decades, and to realize the mutual benefits of thoughtful deep-ocean observing for all elements of a sustainable ocean.</t>
  </si>
  <si>
    <t>[Levin, Lisa A.; Baumann-Pickering, Simone] Univ Calif San Diego, Integrat Oceanog Div, Scripps Inst Oceanog, La Jolla, CA 92093 USA; [Levin, Lisa A.; Baumann-Pickering, Simone] Univ Calif San Diego, Ctr Marine Biodivers &amp; Conservat, Scripps Inst Oceanog, La Jolla, CA 92093 USA; [Bett, Brian J.; Gates, Andrew R.; Ruhl, Henry A.; Jones, Daniel O. B.] Natl Oceanog Ctr, Ocean Biogeochem &amp; Ecosyst Div, Southampton, Hants, England; [Heimbach, Patrick] Univ Texas Austin, Oden Inst Computat Engn &amp; Sci, Inst Geophys, Austin, TX 78712 USA; [Howe, Bruce M.] Univ Hawaii Manoa, Dept Ocean &amp; Resources Engn, Honolulu, HI 96822 USA; [Janssen, Felix] Helmholtz Ctr Polar &amp; Marine Res, Deep Sea Ecol &amp; Technol Grp, Alfred Wegener Inst, Bremerhaven, Germany; [McCurdy, Andrea] Univ Corp Atmospher Res, Cooperat Programs Adv Earth Syst Sci, Boulder, CO USA; [Ruhl, Henry A.] Monterey Bay Aquarium Res Inst, Moss Landing, CA USA; [Snelgrove, Paul] Mem Univ Newfoundland, Dept Ocean Sci, St John, NF, Canada; [Snelgrove, Paul] Mem Univ Newfoundland, Dept Biol, St John, NF, Canada; [Stocks, Karen, I] Univ Calif San Diego, Geol Data Ctr, Scripps Inst Oceanog, La Jolla, CA 92093 USA; [Bailey, David] Univ Glasgow, Inst Biodivers Anim Hlth &amp; Comparat Med, Glasgow, Lanark, Scotland; [Baumann-Pickering, Simone] Univ Calif San Diego, Scripps Inst Oceanog, Marine Phys Lab, La Jolla, CA 92093 USA; [Beaverson, Chris; Leonardi, Alan P.; Netburn, Amanda] NOAA, Off Ocean Explorat &amp; Res, Silver Spring, MD USA; [Benfield, Mark C.] Louisiana State Univ, Dept Oceanog &amp; Coastal Sci, Coll Coast &amp; Environm, Baton Rouge, LA 70803 USA; [Booth, David J.; Fowler, Ashley M.] Univ Technol Sydney, Sch Life Sci, Sydney, NSW, Australia; [Carreiro-Silva, Marina; Colaco, Ana; Morato, Telmo] Univ Acores, Inst Mar, Marine &amp; Environm Sci Ctr, Ctr OKEANOS, Horta, Portugal; [Eble, Marie C.] NOAA, Pacific Marine Environm Lab, 7600 Sand Point Way Ne, Seattle, WA 98115 USA; [Fowler, Ashley M.] Sydney Inst Marine Sci, New South Wales Dept Primary Ind, Mosman, NSW, Australia; [Gjerde, Kristina M.] Middlebury Inst Int Studies Monterey, IUCN Global Marine &amp; Polar Programme, Monterey, CA USA; [Katsumata, K.; Uchida, Hiroshi] Japan Agcy Marine Earth Sci &amp; Technol, Yokosuka, Kanagawa, Japan; [Kelley, Deborah; Vardaro, Michael F.] Univ Washington, Sch Oceanog, Seattle, WA 98195 USA; [Le Bris, Nadine] Sorbonne Univ, Observ Oceanol Banyuls, CNRS, Banyuls Sur Mer, France; [Lejzerowicz, Franck] Univ Calif San Diego, Dept Pediat, San Diego, CA 92103 USA; [Macreadie, Peter, I] Deakin Univ, Ctr Integrat Ecol, Sch Life &amp; Environm Sci, Burwood, Vic, Australia; [McLean, Dianne] Australian Inst Marine Sci, Indian Ocean Marine Res Ctr, Crawley, WA, Australia; [Pawlowski, Jan] Univ Geneva, Dept Genet &amp; Evolut, Geneva, Switzerland; [Smith, Craig R.] Univ Hawaii, Sch Ocean &amp; Earth Sci &amp; Technol, Dept Oceanog, Honolulu, HI 96822 USA; [Sun, Song] Chinese Acad Sci, Inst Oceanol, Qingdao, Shandong, Peoples R China; [Venkatesan, R.] Natl Inst Ocean Technol, Chennai, Tamil Nadu, India; [Weller, Robert A.] Woods Hole Oceanog Inst, Woods Hole, MA 02543 USA</t>
  </si>
  <si>
    <t>University of California System; University of California San Diego; Scripps Institution of Oceanography; University of California System; University of California San Diego; Scripps Institution of Oceanography; NERC National Oceanography Centre; University of Texas System; University of Texas Austin; University of Hawaii System; University of Hawaii Manoa; Helmholtz Association; Alfred Wegener Institute, Helmholtz Centre for Polar &amp; Marine Research; National Center Atmospheric Research (NCAR) - USA; Monterey Bay Aquarium Research Institute; Memorial University Newfoundland; Memorial University Newfoundland; University of California System; University of California San Diego; Scripps Institution of Oceanography; University of Glasgow; University of California System; University of California San Diego; Scripps Institution of Oceanography; National Oceanic Atmospheric Admin (NOAA) - USA; Louisiana State University System; Louisiana State University; University of Technology Sydney; Universidade dos Acores; National Oceanic Atmospheric Admin (NOAA) - USA; Sydney Institute of Marine Science; NSW Department of Primary Industries; Japan Agency for Marine-Earth Science &amp; Technology (JAMSTEC); University of Washington; University of Washington Seattle; Centre National de la Recherche Scientifique (CNRS); Sorbonne Universite; University of California System; University of California San Diego; Deakin University; University of Western Australia; Australian Institute of Marine Science; University of Geneva; University of Hawaii System; Chinese Academy of Sciences; Institute of Oceanology, CAS; Ministry of Earth Sciences (MoES) - India; National Institute of Ocean Technology (NIOT); Woods Hole Oceanographic Institution</t>
  </si>
  <si>
    <t>Levin, LA (corresponding author), Univ Calif San Diego, Integrat Oceanog Div, Scripps Inst Oceanog, La Jolla, CA 92093 USA.;Levin, LA (corresponding author), Univ Calif San Diego, Ctr Marine Biodivers &amp; Conservat, Scripps Inst Oceanog, La Jolla, CA 92093 USA.</t>
  </si>
  <si>
    <t>ilevin@ucsd.edu</t>
  </si>
  <si>
    <t>Pawlowski, Jan/JNS-6857-2023; Jones, Daniel/AAB-3276-2022; Colaço, Ana/H-4572-2019; Lejzerowicz, Franck/AAG-7812-2021; McLean, Dianne L/H-2449-2012; Colaço, Ana/A-3862-2009; Stocks, Karen I/J-2393-2014; Baumann-Pickering, Simone/AFO-9717-2022; Katsumata, Katsuro/AAR-5034-2020; Jones, Daniel/A-3412-2009; Howe, Bruce/J-2807-2012; Morato, Telmo/A-4548-2009; Heimbach, Patrick/K-3530-2013; Fowler, Ashley/N-8623-2016; Bailey, David/A-6240-2008; Le Bris, Nadine/E-1381-2014; Gates, Andrew/I-4321-2012</t>
  </si>
  <si>
    <t>Colaço, Ana/0000-0002-6462-5670; Colaço, Ana/0000-0002-6462-5670; Baumann-Pickering, Simone/0000-0002-3428-3577; Katsumata, Katsuro/0000-0002-4683-7610; Jones, Daniel/0000-0001-5218-1649; Benfield, Mark/0000-0002-0095-3843; Howe, Bruce/0000-0001-5711-5253; Ramasamy, Venkatesan/0000-0001-7386-1539; Lejzerowicz, Franck/0000-0002-3195-032X; Morato, Telmo/0000-0003-2393-4773; Heimbach, Patrick/0000-0003-3925-6161; Levin, Lisa/0000-0002-2858-8622; Fowler, Ashley/0000-0003-3075-7066; Bailey, David/0000-0002-0824-8823; Le Bris, Nadine/0000-0002-0142-4847; Booth, David/0000-0002-8256-1412; Gates, Andrew/0000-0002-2798-5044</t>
  </si>
  <si>
    <t>Consortium for Ocean Leadership [NNX16AJ87A, SA16-33]; FCT-Investigador contract [IF/00029/2014/CP1230/CT0002]; NASA subaward from the Consortium for Ocean Leadership; Horizon 2020, EU Project EMSO Link [731036]; UK Natural Environment Research Council Climate Linked Atlantic Section Science project [NE/R015953/1]; Swiss Network for International Studies; Swiss National Science Foundation [31003A_179125]; FCT [IF/01194/2013]; IFCT Exploratory Project [IF/01194/2013/CP1199/CT0002]; H2020 Atlas project [GA 678760]; H2020 MERCES project [GA 689518]; NERC [noc010009] Funding Source: UKRI</t>
  </si>
  <si>
    <t>Consortium for Ocean Leadership; FCT-Investigador contract; NASA subaward from the Consortium for Ocean Leadership; Horizon 2020, EU Project EMSO Link(Horizon 2020); UK Natural Environment Research Council Climate Linked Atlantic Section Science project; Swiss Network for International Studies; Swiss National Science Foundation(Swiss National Science Foundation (SNSF)); FCT(Fundacao para a Ciencia e a Tecnologia (FCT)); IFCT Exploratory Project(Fundacao para a Ciencia e a Tecnologia (FCT)); H2020 Atlas project(Horizon 2020); H2020 MERCES project(Horizon 2020); NERC(UK Research &amp; Innovation (UKRI)Natural Environment Research Council (NERC))</t>
  </si>
  <si>
    <t>Preparation of this manuscript was supported by NNX16AJ87A (NASA) Consortium for Ocean Leadership, Sub-Award No. SA16-33. AC was supported by FCT-Investigador contract (IF/00029/2014/CP1230/CT0002). LL was supported by a NASA subaward from the Consortium for Ocean Leadership. AG and HR were supported by Horizon 2020, EU Project EMSO Link grant ID 731036. AG, BB, DJ, and HR contributions were supported by the UK Natural Environment Research Council Climate Linked Atlantic Section Science project (NE/R015953/1). JP was funded by the Swiss Network for International Studies, and the Swiss National Science Foundation (grant 31003A_179125). TM was supported by Program Investigador FCT (IF/01194/2013), IFCT Exploratory Project (IF/01194/2013/CP1199/CT0002), H2020 Atlas project (GA 678760), and the H2020 MERCES project (GA 689518). This is PMEL contribution number 4965.</t>
  </si>
  <si>
    <t>10.3389/fmars.2019.00241</t>
  </si>
  <si>
    <t>IA1EJ</t>
  </si>
  <si>
    <t>WOS:000469301800001</t>
  </si>
  <si>
    <t>Claxton, T; Hossaini, R; Wild, O; Chipperfield, MP; Wilson, C</t>
  </si>
  <si>
    <t>Claxton, Tom; Hossaini, Ryan; Wild, Oliver; Chipperfield, Martyn P.; Wilson, Chris</t>
  </si>
  <si>
    <t>On the Regional and Seasonal Ozone Depletion Potential of Chlorinated Very Short-Lived Substances</t>
  </si>
  <si>
    <t>CHEMICAL-TRANSPORT MODEL; STRATOSPHERIC CHLORINE; REACTIVE CHLORINE; GLOBAL EMISSIONS; DEEP CONVECTION; LAYER; TIME; DICHLOROMETHANE; IMPACTS; BROMINE</t>
  </si>
  <si>
    <t>Chloroform (CHCl3), dichloromethane (CH2Cl2), perchloroethylene (C2Cl4), and 1,2-dichloroethane (C2H4Cl2) are chlorinated Very Short-Lived Substances (Cl-VSLS) with a range of commercial/industrial applications. Recent studies highlight the increasing influence of Cl-VSLS on the stratospheric chlorine budget and therefore their possible role in ozone depletion. Here we evaluate the ozone depletion potential (ODP) of these Cl-VSLS using a three-dimensional chemical transport model and investigate sensitivity to emission location/season. The seasonal dependence of the ODPs is small, but ODPs vary by a factor of 2-3 depending on the continent of emission: 0.0143-0.0264 (CHCl3), 0.0097-0.0208 (CH2Cl2 ), 0.0057-0.0198 (C2Cl4), and 0.0029-0.0119 (C2H4Cl2). Asian emissions produce the largest ODPs owing to proximity to the tropics and efficient troposphere-to-stratosphere transport of air originating from industrialized East Asia. The Cl-VSLS ODPs are generally small, but the upper ends of the CHCl3 and CH2Cl2 ranges are comparable to the mean ODP of methyl chloride (0.02), a longer-lived ozone-depleting substance. Plain Language Summary Anthropogenic emissions of long-lived chlorinated substances (e.g., chlorofluorocarbons) have led to global ozone layer depletion since the 1970s/1980s, including the Antarctic Ozone Hole phenomenon. The 1987 Montreal Protocol was enacted to ban production of major ozone-depleting gases, and in consequence, there are signs that the ozone layer is recovering. However, emissions of so-called very short-lived substances, such as dichloromethane, have increased in recent years. Historically, these compounds have not been considered a major threat to stratospheric ozone, due to relatively short lifetimes, and they are not controlled by the Protocol. Given that production of these compounds is projected to increase, it is important to determine their ability to affect stratospheric ozone. We quantify the ozone depletion potential (ODP) of chloroform and perchloroethylene and, for the first time, dichloromethane and 1,2-dichloroethane, the main chlorinated very short-lived substances. We show that their ODPs vary depending on where the emission occurs. For example, the ODP from Asian dichloromethane emissions is up to a factor of two greater than that from European emissions. This reflects the relative efficiency of troposphere to stratosphere transport between different geographical areas; the transport of polluted boundary layer air from continental East Asia being one relatively efficient route.</t>
  </si>
  <si>
    <t>[Claxton, Tom; Hossaini, Ryan; Wild, Oliver] Univ Lancaster, Lancaster Environm Ctr, Lancaster, England; [Chipperfield, Martyn P.; Wilson, Chris] Univ Leeds, Sch Earth &amp; Environm, Leeds, W Yorkshire, England; [Chipperfield, Martyn P.; Wilson, Chris] Univ Leeds, Natl Ctr Earth Observat, Leeds, W Yorkshire, England</t>
  </si>
  <si>
    <t>Lancaster University; University of Leeds; University of Leeds</t>
  </si>
  <si>
    <t>Claxton, T; Hossaini, R (corresponding author), Univ Lancaster, Lancaster Environm Ctr, Lancaster, England.</t>
  </si>
  <si>
    <t>t.claxton@lancaster.ac.uk; r.hossaini@lancaster.ac.uk</t>
  </si>
  <si>
    <t>Hossaini, Ryan/F-7134-2015; Chipperfield, Martyn/H-6359-2013; Wild, Oliver/A-4909-2009</t>
  </si>
  <si>
    <t>Chipperfield, Martyn/0000-0002-6803-4149; Wilson, Chris/0000-0001-8494-0697; Claxton, Tom/0000-0002-8766-3370; Hossaini, Ryan/0000-0003-2395-6657; Wild, Oliver/0000-0002-6227-7035</t>
  </si>
  <si>
    <t>NERC Fellowship [NE/N014375/1]; Wolfson Merit Award; SISLAC project [NE/R001782/1]; NERC [nceo020004, NE/R001782/1, NE/R016518/1, NE/N014375/1, NE/J02449X/1] Funding Source: UKRI</t>
  </si>
  <si>
    <t>NERC Fellowship(UK Research &amp; Innovation (UKRI)Natural Environment Research Council (NERC)); Wolfson Merit Award; SISLAC project; NERC(UK Research &amp; Innovation (UKRI)Natural Environment Research Council (NERC))</t>
  </si>
  <si>
    <t>This work was supported by R.H.'s NERC Fellowship (NE/N014375/1) and the SISLAC project (NE/R001782/1). M. P. C. is supported by a Wolfson Merit Award. We thank Wuhu Feng for TOMCAT/SLIMCAT model development. Model data are available at the Lancaster University data repository (doi: 10.17635/lancaster/researchdata/283). The supporting information consists of seven figures and four tables.</t>
  </si>
  <si>
    <t>MAY 28</t>
  </si>
  <si>
    <t>10.1029/2018GL081455</t>
  </si>
  <si>
    <t>IC8NF</t>
  </si>
  <si>
    <t>WOS:000471237500054</t>
  </si>
  <si>
    <t>Díaz, A; Maturana, CS; Boyero, L; Escalante, PD; Tonin, AM; Correa-Araneda, F</t>
  </si>
  <si>
    <t>Diaz, Angie; Maturana, Claudia S.; Boyero, Luz; De Los Rios Escalante, Patricio; Tonin, Alan M.; Correa-Araneda, Francisco</t>
  </si>
  <si>
    <t>Spatial distribution of freshwater crustaceans in Antarctic and Subantarctic lakes</t>
  </si>
  <si>
    <t>ECOLOGICAL DATA; BIODIVERSITY; CLIMATE; ZOOPLANKTON; ECOSYSTEMS; ANOMOPODA; ISLANDS; SCALES; FAUNA</t>
  </si>
  <si>
    <t>Antarctic and Subantarctic lakes are unique ecosystems with relatively simple food webs, which are likely to be strongly affected by climate warming. While Antarctic freshwater invertebrates are adapted to extreme environmental conditions, little is known about the factors determining their current distribution and to what extent this is explained by biogeography or climate. We explored the distribution of freshwater crustaceans (one of the most abundant and diverse group of organisms in Antarctic and Subantarctic lakes) across four biogeographic provinces (Continental Antarctic, CA; Maritime Antarctic, MA; Subantarctic islands, SA; and Southern Cool Temperate, SCT) based on the literature, predicting that species distribution would be determined by biogeography, spatial autocorrelation among regions (in relation to dispersal) and climate. We found that variation in species composition was largely explained by the joint effect of spatial autocorrelation and climate, with little effect of biogeography - only regions within the SA province had a clearly distinct species composition. This highlights a plausible main influence of crustacean dispersal - mainly through migratory seabirds - and suggests that some regions will be more affected by climate warming than others, possibly in relation to the existence of nearby sources of colonists.</t>
  </si>
  <si>
    <t>[Diaz, Angie] Univ Concepcion, Fac Ciencias Nat &amp; Oceanog, Dept Zool, Concepcion, Chile; [Diaz, Angie; Maturana, Claudia S.] IEB, Palmeras 3425, Santiago, Chile; [Maturana, Claudia S.] Univ Chile, Fac Ciencias, Dept Ciencias Ecol, Lab Ecol Mol, Palmeras 3425, Santiago, Chile; [Boyero, Luz] Univ Basque Country UPV EHU, Dept Plant Biol &amp; Ecol, Fac Sci &amp; Technol, Leioa, Spain; [Boyero, Luz] IKERBASQUE, Bilbao, Spain; [De Los Rios Escalante, Patricio] Univ Catolica Temuco, Fac Recursos Nat, Dept Ciencias Biol &amp; Quim, Temuco, Chile; [De Los Rios Escalante, Patricio] Univ Catolica Temuco, Fac Recursos Nat, Nucleo Invest Estudios &amp; Ambientales, Temuco, Chile; [De Los Rios Escalante, Patricio] Univ Catolica Temuco, Fac Recursos Nat, Dept Ciencias Ambientales, Temuco, Chile; [Tonin, Alan M.] Univ Brasilia, Dept Ecol, IB, Brasilia, DF, Brazil; [Correa-Araneda, Francisco] Univ Autonoma Chile, Fac Arquitectura &amp; Construcc, Inst Estudios Habitat, Unidad Cambio Climat &amp; Medio Ambiente, Temuco, Chile</t>
  </si>
  <si>
    <t>Universidad de Concepcion; Universidad de Chile; University of Basque Country; Universidad Catolica de Temuco; Universidad Catolica de Temuco; Universidad Catolica de Temuco; Universidade de Brasilia; Universidad Autonoma de Chile</t>
  </si>
  <si>
    <t>Correa-Araneda, F (corresponding author), Univ Autonoma Chile, Fac Arquitectura &amp; Construcc, Inst Estudios Habitat, Unidad Cambio Climat &amp; Medio Ambiente, Temuco, Chile.</t>
  </si>
  <si>
    <t>francisco.correa@uautonoma.cl</t>
  </si>
  <si>
    <t>Tonin, Alan M./J-4575-2014; Boyero, Luz/N-1719-2019; De los Rios Escalante, Patricio R./E-2775-2014; Maturana, Claudia/JOK-7975-2023</t>
  </si>
  <si>
    <t>Tonin, Alan M./0000-0002-8463-8823; Boyero, Luz/0000-0001-7366-9299; De los Rios Escalante, Patricio R./0000-0001-5056-7003; Maturana, Claudia/0000-0002-4427-8093</t>
  </si>
  <si>
    <t>PIA CONICYT [ACT172065]; CONICYT [21150317]; Institute of Ecology and Biodiversity (IEB) [CONICYT PIA APOYO CCTE AFB170008]; FONDECYT INICIACION [11170390]; Basque Government [IT951-16]; INACH [DT_0416]; [P05-002 ICM]</t>
  </si>
  <si>
    <t>PIA CONICYT(Comision Nacional de Investigacion Cientifica y Tecnologica (CONICYT)); CONICYT(Comision Nacional de Investigacion Cientifica y Tecnologica (CONICYT)); Institute of Ecology and Biodiversity (IEB); FONDECYT INICIACION(Comision Nacional de Investigacion Cientifica y Tecnologica (CONICYT)CONICYT FONDECYT); Basque Government(Basque Government); INACH;</t>
  </si>
  <si>
    <t>Funding was obtained from PIA CONICYT ACT172065 to AD and CM, CONICYT Ph.D. Grant 21150317, P05-002 ICM, CONICYT PIA APOYO CCTE AFB170008 from Institute of Ecology and Biodiversity (IEB), INACH DT_0416 to CM, FONDECYT INICIACION 11170390, and Basque Government funds (IT951-16) to the Stream Ecology Group at UPV/EHU led by J. Pozo. We thank the English language editing provided by Journal Prep Services.</t>
  </si>
  <si>
    <t>10.1038/s41598-019-44290-4</t>
  </si>
  <si>
    <t>HZ9ZT</t>
  </si>
  <si>
    <t>WOS:000469217100004</t>
  </si>
  <si>
    <t>Ropert-Coudert, Y; Chiaradia, A; Ainley, D; Barbosa, A; Boersma, PD; Brasso, R; Dewar, M; Ellenberg, U; Garcia-Borboroglu, P; Emmerson, L; Hickcox, R; Jenouvrier, S; Kato, A; McIntosh, RR; Lewis, P; Ramirez, F; Ruoppolo, V; Ryan, PG; Seddon, PJ; Sherley, RB; Vanstreels, RET; Waller, LJ; Woehler, EJ; Trathan, PN</t>
  </si>
  <si>
    <t>Ropert-Coudert, Yan; Chiaradia, Andre; Ainley, David; Barbosa, Andres; Boersma, P. Dee; Brasso, Rebecka; Dewar, Meagan; Ellenberg, Ursula; Garcia-Borboroglu, Pablo; Emmerson, Louise; Hickcox, Rachel; Jenouvrier, Stephanie; Kato, Akiko; McIntosh, Rebecca Ruth; Lewis, Phoebe; Ramirez, Francisco; Ruoppolo, Valeria; Ryan, Peter G.; Seddon, Philip J.; Sherley, Richard Brain; Vanstreels, Ralph E. T.; Waller, Lauren J.; Woehler, Eric J.; Trathan, Phil N.</t>
  </si>
  <si>
    <t>Happy Feet in a Hostile World? The Future of Penguins Depends on Proactive Management of Current and Expected Threats</t>
  </si>
  <si>
    <t>Spheniscidae; threats; mitigation; pollution; climate change; fisheries</t>
  </si>
  <si>
    <t>PERSISTENT ORGANIC POLLUTANTS; SOUTHERN-OCEAN SEABIRDS; FEATHER-LOSS DISORDER; BARON OIL-SPILL; SPHENISCUS-DEMERSUS; AFRICAN PENGUINS; MAGELLANIC PENGUINS; CLIMATE-CHANGE; PYGOSCELIS-ADELIAE; BREEDING SUCCESS</t>
  </si>
  <si>
    <t>Penguins face a wide range of threats. Most observed population changes have been negative and have happened over the last 60 years. Today, populations of 11 penguin species are decreasing. Here we present a review that synthesizes details of threats faced by the world's 18 species of penguins. We discuss alterations to their environment at both breeding sites on land and at sea where they forage. The major drivers of change appear to be climate, and food web alterations by marine fisheries. In addition, we also consider other critical and/or emerging threats, namely human disturbance near nesting sites, pollution due to oil, plastics and chemicals such as mercury and persistent organic compounds. Finally, we assess the importance of emerging pathogens and diseases on the health of penguins. We suggest that in the context of climate change, habitat degradation, introduced exotic species and resource competition with fisheries, successful conservation outcomes will require new and unprecedented levels of science and advocacy. Successful conservation stories of penguin species across their geographical range have occurred where there has been concerted effort across local, national and international boundaries to implement effective conservation planning.</t>
  </si>
  <si>
    <t>[Ropert-Coudert, Yan; Kato, Akiko] Ctr Etud Biol Chize, UMR7372, Villiers En Bois, France; [Chiaradia, Andre; McIntosh, Rebecca Ruth] Phillip Isl Nat Parks, Conservat Dept, Cowes, Vic, Australia; [Ainley, David] HT Harvey &amp; Associates Ecol Consultants, Los Gatos, CA USA; [Barbosa, Andres] CSIC, Museo Nacl Ciencias Natur, Dept Ecol Evolut, Madrid, Spain; [Boersma, P. Dee] Univ Washington, Dept Biol, Global Penguin Soc, Seattle, WA 98195 USA; [Boersma, P. Dee] Univ Washington, Dept Biol, Ctr Ecosyst Sentinels, Seattle, WA 98195 USA; [Brasso, Rebecka] Weber State Univ, Dept Zool, Ogden, UT 84408 USA; [Dewar, Meagan] Federat Univ Australia, Sch Hlth &amp; Life Sci, Berwick, Vic, Australia; [Ellenberg, Ursula] La Trobe Univ, Global Penguin Soc, Melbourne, Vic, Australia; [Ellenberg, Ursula] La Trobe Univ, Dept Ecol Environm &amp; Evolut, Melbourne, Vic, Australia; [Garcia-Borboroglu, Pablo] Global Penguin Soc, Puerto Madryn, Argentina; [Garcia-Borboroglu, Pablo] Ctr Nacl Patagon CONICET, Puerto Madryn, Argentina; [Emmerson, Louise] Australian Govt, Dept Environm &amp; Energy, Australian Antarct Div, Kingston, Tas, Australia; [Hickcox, Rachel; Seddon, Philip J.] Univ Otago, Dept Zool, Dunedin, New Zealand; [Jenouvrier, Stephanie] Woods Hole Oceanog Inst, Woods Hole, MA 02543 USA; [Lewis, Phoebe] RMIT Univ, Ctr Environm Sustainabil &amp; Remediat, Sch Sci, Melbourne, Vic, Australia; [Ramirez, Francisco] Univ Barcelona, Dept Biol Evolut Ecol &amp; Ciencies Ambientals, Barcelona, Spain; [Ruoppolo, Valeria] Aiuka, Praia Grande, Brazil; [Ruoppolo, Valeria] IFAW, Yarmouth Port, MA USA; [Ryan, Peter G.] Univ Cape Town, FitzPatrick Inst African Ornithol, DST NRF Ctr Excellence, Rondebosch, South Africa; [Sherley, Richard Brain] Univ Exeter, Environm &amp; Sustainabil Inst, Penryn, England; [Sherley, Richard Brain] Bristol Zool Soc, Bristol, Avon, England; [Vanstreels, Ralph E. T.] Inst Res &amp; Rehabil Marine Anim, Cariacica, Brazil; [Vanstreels, Ralph E. T.] Univ Calif Davis, Davis, CA 95616 USA; [Waller, Lauren J.] Univ Western Cape, Dept Biodivers &amp; Conservat Biol, Bellville, South Africa; [Waller, Lauren J.] Southern African Fdn Conservat Coastal Birds, Cape Town, South Africa; [Woehler, Eric J.] Univ Tasmania, Inst Marine &amp; Antarctic Studies, Marine &amp; Antarctic Futures Ctr, Hobart, Tas, Australia; [Woehler, Eric J.] BirdLife Tasmania, Hobart, Tas, Australia; [Trathan, Phil N.] NERC, British Antarct Survey, Cambridge, England</t>
  </si>
  <si>
    <t>Centre National de la Recherche Scientifique (CNRS); CNRS - Institute of Ecology &amp; Environment (INEE); Consejo Superior de Investigaciones Cientificas (CSIC); CSIC - Museo Nacional de Ciencias Naturales (MNCN); University of Washington; University of Washington Seattle; University of Washington; University of Washington Seattle; Utah System of Higher Education; Weber State University; Federation University Australia; La Trobe University; Melbourne Genomics Health Alliance; La Trobe University; Melbourne Genomics Health Alliance; Consejo Nacional de Investigaciones Cientificas y Tecnicas (CONICET); Centro Nacional Patagonico (CENPAT); Australian Antarctic Division; University of Otago; Woods Hole Oceanographic Institution; Royal Melbourne Institute of Technology (RMIT); Melbourne Genomics Health Alliance; University of Barcelona; National Research Foundation - South Africa; University of Cape Town; University of Exeter; University of California System; University of California Davis; University of the Western Cape; University of Tasmania; UK Research &amp; Innovation (UKRI); Natural Environment Research Council (NERC); NERC British Antarctic Survey</t>
  </si>
  <si>
    <t>Ropert-Coudert, Y (corresponding author), Ctr Etud Biol Chize, UMR7372, Villiers En Bois, France.</t>
  </si>
  <si>
    <t>yan.ropert-coudert@cebc.cnrs.fr</t>
  </si>
  <si>
    <t>Hickcox, Rachel P/AAA-3880-2020; Sherley, Richard B/D-7507-2012; Kato, Akiko/W-2447-2019; Dewar, Meagan/AAI-3969-2021; Seddon, Philip/G-8659-2011; Chiaradia, Andre/AAG-4928-2022; Brasso, Rebecka L/I-7014-2013; Ellenberg, Ursula/AAF-7317-2020; Chiaradia, Andre/AFK-6634-2022; Ramírez, Francisco/I-3553-2014; , Ralph ET Vanstreels/H-8029-2015</t>
  </si>
  <si>
    <t>Hickcox, Rachel P/0000-0002-2982-4244; Sherley, Richard B/0000-0001-7367-9315; Seddon, Philip/0000-0001-9076-9566; Chiaradia, Andre/0000-0002-6178-4211; Ellenberg, Ursula/0000-0002-3100-6742; Chiaradia, Andre/0000-0002-6178-4211; Ramírez, Francisco/0000-0001-9670-486X; Woehler, Eric/0000-0002-1125-0748; Boersma, Dee/0000-0002-8644-6059; Lewis, Phoebe/0000-0002-6162-850X; Dewar, Meagan/0000-0003-0581-2422</t>
  </si>
  <si>
    <t>WWF-UK; PEW Foundation; NSF OPP PICA [1643901]; NERC [bas0100035] Funding Source: UKRI</t>
  </si>
  <si>
    <t>WWF-UK; PEW Foundation; NSF OPP PICA; NERC(UK Research &amp; Innovation (UKRI)Natural Environment Research Council (NERC))</t>
  </si>
  <si>
    <t>This work was supported by the WWF-UK and PEW Foundation. SJ is supported by NSF OPP PICA #1643901.</t>
  </si>
  <si>
    <t>10.3389/fmars.2019.00248</t>
  </si>
  <si>
    <t>IA0OC</t>
  </si>
  <si>
    <t>WOS:000469255100001</t>
  </si>
  <si>
    <t>Druffel, ERM; Griffin, S; Wang, N; Garcia, NG; McNichol, AP; Key, RM; Walker, BD</t>
  </si>
  <si>
    <t>Druffel, Ellen R. M.; Griffin, Sheila; Wang, Ning; Garcia, Noreen G.; McNichol, Ann P.; Key, Robert M.; Walker, Brett D.</t>
  </si>
  <si>
    <t>Dissolved Organic Radiocarbon in the Central Pacific Ocean</t>
  </si>
  <si>
    <t>TEMPORAL VARIABILITY; CARBON; SAMPLES; MATTER; EXTRACTION</t>
  </si>
  <si>
    <t>We report marine dissolved organic carbon (DOC) concentrations, and DOC Delta C-14 and delta C-13 values in seawater collected from the central Pacific. Surface Delta C-14 values are low in equatorial and polar regions where upwelling occurs and high in subtropical regions dominated by downwelling. A core feature of these data is that 14 C aging of DOC (682 +/- 86 14 C years) and dissolved inorganic carbon (643 +/- 40 C-14 years) in Antarctic Bottom Water between 54.0 degrees S and 53.5 degrees N are similar. These estimates of aging are minimum values due to mixing with deep waters. We also observe minimum Delta C-14 values (-550%0 to - 570%0) between the depths of 2,000 and 3,500 m in the North Pacific, though the source of the low values cannot be determined at this time. Plain Language Summary Most of the organic carbon in ocean water is in the dissolved form, like the broth in chicken soup. Even though it is believed that dissolved organic carbon (DOC) is formed during photosynthesis in the surface ocean using modern carbon, its radiocarbon age is surprisingly thousands of years old. We present the first transect of radiocarbon in DOC for the Pacific Ocean. We find that the radiocarbon age of DOC in the bottom waters decreases similarly to that found in the more abundant dissolved inorganic carbon. We conclude that DOC ages in the bottom water as it flows northward toward Alaska.</t>
  </si>
  <si>
    <t>[Druffel, Ellen R. M.; Griffin, Sheila; Wang, Ning; Garcia, Noreen G.; Walker, Brett D.] Univ Calif Irvine, Dept Earth Syst Sci, Irvine, CA 92697 USA; [Wang, Ning] Chinese Acad Sci, Guangzhou Inst Geochem, State Key Lab Isotope Geochem, Guangzhou, Guangdong, Peoples R China; [McNichol, Ann P.] Woods Hole Oceanog Inst, Natl Ocean Sci Accelerator Mass Spectrometry, Woods Hole, MA 02543 USA; [Key, Robert M.] Princeton Univ, Atmospher &amp; Ocean Sci Program, Princeton, NJ 08544 USA; [Walker, Brett D.] Univ Ottawa, Dept Earth &amp; Environm Sci, Ottawa, ON, Canada</t>
  </si>
  <si>
    <t>University of California System; University of California Irvine; Chinese Academy of Sciences; Guangzhou Institute of Geochemistry, CAS; Woods Hole Oceanographic Institution; National Oceanic Atmospheric Admin (NOAA) - USA; Princeton University; University of Ottawa</t>
  </si>
  <si>
    <t>Druffel, ERM (corresponding author), Univ Calif Irvine, Dept Earth Syst Sci, Irvine, CA 92697 USA.</t>
  </si>
  <si>
    <t>edruffel@uci.edu</t>
  </si>
  <si>
    <t>Walker, Brett/AFO-9332-2022</t>
  </si>
  <si>
    <t>Walker, Brett/0000-0003-4904-826X; Druffel, Ellen/0000-0002-7139-1075; Wang, Ning/0000-0002-6450-0421</t>
  </si>
  <si>
    <t>NSF [OCE-141458941, OCE-0824864, OCE-1558654, OCE1239667]; Fred Kavli Foundation; Keck Carbon Cycle AMS Laboratory; NSF/NOAA; Canada Research Chairs program; American Chemical Society Petroleum Research Fund New Directions grant [55430-ND2]</t>
  </si>
  <si>
    <t>NSF(National Science Foundation (NSF)); Fred Kavli Foundation; Keck Carbon Cycle AMS Laboratory; NSF/NOAA(National Oceanic Atmospheric Admin (NOAA) - USA); Canada Research Chairs program(Canada Research Chairs); American Chemical Society Petroleum Research Fund New Directions grant</t>
  </si>
  <si>
    <t>We thank Jennifer Walker, Xiaomei Xu, and Dachun Zhang for their help with the stable carbon isotope measurements; John Southon and staff of the Keck Carbon Cycle AMS Laboratory for their assistance and advice; the support of chief scientists Samantha Siedlecki, Molly Baringer, Alison Macdonald, and Sabine Mecking; the guidance of Jim Swift and Dennis Hansell for shared ship time; and Sarah Bercovici for collecting water on the GoA cruise. We appreciate the comments of Christian Lewis and Niels Hauksson on this manuscript. This work was supported by NSF (OCE-141458941 to E. R. M. D. and OCE-0824864, OCE-1558654, and Cooperative Agreement OCE1239667 to R. M. K. and A. P. M.), the Fred Kavli Foundation, the Keck Carbon Cycle AMS Laboratory, and the NSF/NOAA-funded GO-SHIP Program. This research was undertaken, in part, thanks to funding from the Canada Research Chairs program (to B. D. W.) and an American Chemical Society Petroleum Research Fund New Directions grant (55430-ND2 to E. R. M. D. and B. D. W.). Data from the P16N cruises are available in Table S2 in the Supporting Information and at the Repeat Hydrography Data Center at the CCHDO website (http://cdiac.esd.ornl.gov/oceans/index.html) using the expo codes 3RO20150329, 3RO20150410, and 3RO20150525. There are no real or perceived financial conflicts of interests for any author.</t>
  </si>
  <si>
    <t>10.1029/2019GL083149</t>
  </si>
  <si>
    <t>WOS:000471237500043</t>
  </si>
  <si>
    <t>Francis, D; Eayrs, C; Cuesta, J; Holland, D</t>
  </si>
  <si>
    <t>Francis, Diana; Eayrs, Clare; Cuesta, Juan; Holland, David</t>
  </si>
  <si>
    <t>Polar Cyclones at the Origin of the Reoccurrence of the Maud Rise Polynya in Austral Winter 2017</t>
  </si>
  <si>
    <t>Antarctica; storms; cyclones; polynya; sea ice; cyclonic winds</t>
  </si>
  <si>
    <t>ANTARCTIC SEA-ICE; SOUTHERN-HEMISPHERE; WEDDELL SEA; ATMOSPHERIC CIRCULATION; GLOBAL CLIMATOLOGY; TRENDS; CYCLOGENESIS; MECHANISMS; CONVECTION; BEHAVIOR</t>
  </si>
  <si>
    <t>This study examines the role of atmospheric forcings in the occurrence of open-ocean polynyas by investigating the case of the austral winter 2017's polynya located in the Lazarev Sea sector to the east of the Weddell Sea, known as the Maud Rise polynya or the Weddell Polynya. The ice-free zone appeared in mid-September 2017 and grew to as large as 80,000 km(2) by the end of October 2017 before merging with the open ocean after the sea ice started to retreat at the beginning of the austral summer. Using a combination of satellite observations and reanalysis data at high spatiotemporal resolution, we found that severe cyclones, occurring over the ice pack, have a deterministic role in creating strong divergence in the sea ice field through strong cyclonic surface winds leading to the opening of the polynya. The occurrence of intense and frequent cyclones over the ice pack during austral winter 2017 was unusual, and it occurred under an enhanced strong positive meridional transport of heat flux and moisture toward Antarctica associated with an amplification of the atmospheric zonal wave 3 and a strong positive Southern Annular Mode index. We found that the opening of the polynya was not primarily due to direct ice melt by thermodynamic effects but rather to strong dynamical forcing by the winds on the sea ice, as in the case of coastal polynyas. Indeed, the meridional transport of heat toward Antarctica occurred over the Weddell Sea sector (i.e., to the east of the Lazarev Sea sector where the polynya is located) whereas the Lazarev Sea sector was under the influence of equatorward transport of cold air masses at that time. Our results show that the supply of warm and moist air coming from the west side of the South Atlantic Ocean into the Weddell Sea significantly increased the potential for cyclone formation as measured by the Eady growth rate leading to intense and frequent cyclogenesis over the ice pack, far south from the ice edge. After cyclogenesis in the Weddell Sea, these cyclones intensified as they moved eastward spinning over the Lazarev Sea with intensity comparable to category 11violent stormsin the Beaufort scale. The cyclonic winds generated sea ice divergence by pushing the ice away from the cyclone center: To the east, north of it and to the west, south of it, which led to the reoccurrence of the Maud Rise polynya in mid-September 2017.</t>
  </si>
  <si>
    <t>[Francis, Diana; Eayrs, Clare; Holland, David] New York Univ Abu Dhabi, Res Inst, Ctr Global Sea Level Change, Abu Dhabi, U Arab Emirates; [Cuesta, Juan] CNRS, Lab Interuniv Syst Atmospher, Paris, France; [Cuesta, Juan] Univ Paris Est Creteil Val Marne, Paris, France; [Holland, David] NYU, Courant Inst Math Sci, Ctr Atmosphere Ocean Sci, New York, NY USA</t>
  </si>
  <si>
    <t>New York University Abu Dhabi; Universite Paris-Est-Creteil-Val-de-Marne (UPEC); Centre National de la Recherche Scientifique (CNRS); Universite Paris Cite; Universite Paris-Est-Creteil-Val-de-Marne (UPEC); New York University</t>
  </si>
  <si>
    <t>Francis, D (corresponding author), New York Univ Abu Dhabi, Res Inst, Ctr Global Sea Level Change, Abu Dhabi, U Arab Emirates.</t>
  </si>
  <si>
    <t>diana.francis@nyu.edu</t>
  </si>
  <si>
    <t>Eayrs, Clare/T-7969-2019; FRANCIS, Diana/N-3729-2018</t>
  </si>
  <si>
    <t>Eayrs, Clare/0000-0003-3129-7604; Cuesta, Juan/0000-0001-9330-6401; FRANCIS, Diana/0000-0002-7587-0006</t>
  </si>
  <si>
    <t>NYU Abu Dhabi Research Institute in the UAE [1204]</t>
  </si>
  <si>
    <t>NYU Abu Dhabi Research Institute in the UAE</t>
  </si>
  <si>
    <t>The European Centre for Medium-Range Weather Forecasts (ECMWF) is acknowledged for making the meteorological analyses available from their data server (https://apps.ecmwf.int/datasets/). The National Snow and Ice Data Center (NSIDC) is acknowledged for making the satellite observations on sea ice available from their data server (https://nsidc.org/data/icesat/data.html). The CALIPSO data used in this study are available at the website (https://www-calipso.larc.nasa.gov/tools/data_avail/). We acknowledge the use of imagery provided by services from the Global Imagery Browse Services (GIBS), operated by NASA's Earth Science Data and Information System (ESDIS) Project. The authors wish to thank two anonymous reviewers for their valuable comments and suggestions. This research work was supported by the NYU Abu Dhabi Research Institute in the UAE, grant 1204.</t>
  </si>
  <si>
    <t>MAY 27</t>
  </si>
  <si>
    <t>10.1029/2019JD030618</t>
  </si>
  <si>
    <t>IC8NC</t>
  </si>
  <si>
    <t>WOS:000471237200007</t>
  </si>
  <si>
    <t>Wang, YT; Huai, BJ; Thomas, ER; van den Broeke, MR; van Wessem, JM; Schlosser, E</t>
  </si>
  <si>
    <t>Wang, Yetang; Huai, Baojuan; Thomas, Elizabeth R.; van den Broeke, Michiel R.; van Wessem, J. Melchior; Schlosser, Elisabeth</t>
  </si>
  <si>
    <t>A New 200-Year Spatial Reconstruction of West Antarctic Surface Mass Balance</t>
  </si>
  <si>
    <t>SOUTHERN ANNULAR MODE; SNOW ACCUMULATION; CLIMATE; VARIABILITY; INCREASE; TRENDS; ENSO</t>
  </si>
  <si>
    <t>High-spatial resolution surface mass balance (SMB) over the West Antarctic Ice Sheet (WAIS) spanning 1800-2010 is reconstructed by means of ice core records combined with the outputs of the European Centre for Medium-Range Weather Forecasts Interim reanalysis (ERA-Interim) and the latest polar version of the Regional Atmospheric Climate Model (RACMO2.3p2). The reconstruction reveals a significant negative trend (-1.92.2Gt/yearper decade) in the SMB over the entire WAIS during the nineteenth century, but a statistically significant positive trend of 5.42.9Gt/yearper decade between 1900 and 2010, in contrast to insignificant WAIS SMB changes during the twentieth century reported earlier. At regional scales, the Antarctic Peninsula and western WAIS show opposite SMB trends, with different signs in the nineteenth and twentieth centuries. The annual resolution reconstruction allows us to examine the relationships between SMB and large-scale atmospheric oscillations. Although SMB over the Antarctic Peninsula and western WAIS correlates significantly with the Southern Annular Mode due to the influence of the Amundsen Sea Low, and El Nino/Southern Oscillation during 1800-2010, the significant correlations are temporally unstable, associated with the phase of Southern Annular Mode, El Nino/Southern Oscillation and the Pacific decadal oscillation. In addition, the two climate modes seem to contribute little to variability in SMB over the whole WAIS on decadal-centennial time scales. This new reconstruction also serves to identify unreliable precipitation trends in ERA-Interim and thus has potential for assessing the skill of other reanalyses or climate models to capture precipitation trends and variability.</t>
  </si>
  <si>
    <t>[Wang, Yetang; Huai, Baojuan] Shandong Normal Univ, Coll Geog &amp; Environm, Jinan, Shandong, Peoples R China; [Thomas, Elizabeth R.] British Antarctic Survey, Cambridge, England; [van den Broeke, Michiel R.; van Wessem, J. Melchior] Univ Utrecht, Inst Marine &amp; Atmospher Res Utrecht IMAU, Utrecht, Netherlands; [Schlosser, Elisabeth] Univ Innsbruck, Dept Atmospher &amp; Cryospher Sci, Innsbruck, Austria; [Schlosser, Elisabeth] Austrian Polar Res Inst, Vienna, Austria</t>
  </si>
  <si>
    <t>Shandong Normal University; UK Research &amp; Innovation (UKRI); Natural Environment Research Council (NERC); NERC British Antarctic Survey; Utrecht University; University of Innsbruck</t>
  </si>
  <si>
    <t>Wang, YT (corresponding author), Shandong Normal Univ, Coll Geog &amp; Environm, Jinan, Shandong, Peoples R China.</t>
  </si>
  <si>
    <t>wangyetang@163.com</t>
  </si>
  <si>
    <t>Thomas, Elizabeth Ruth/ADF-3660-2022; Van den Broeke, Michiel R./F-7867-2011; van Wessem, Melchior/AAB-1987-2019; IPO, PAGES/JXY-7546-2024</t>
  </si>
  <si>
    <t>Thomas, Elizabeth Ruth/0000-0002-3010-6493; Van den Broeke, Michiel R./0000-0003-4662-7565; van Wessem, Melchior/0000-0003-3221-791X; Schlosser, Elisabeth/0000-0003-3659-240X</t>
  </si>
  <si>
    <t>Strategic Priority Research Program of the Chinese Academy of Sciences [XAD19070103]; Outstanding Youth Fund of Shandong Provincial Universities [ZR2016JL030]; National Natural Science Foundation of China [41576182]; Netherlands Polar Program; Netherlands Earth System Science Center (NESSC); U.S. National Science Foundation; Swiss Academy of Sciences; NERC [bas0100034] Funding Source: UKRI</t>
  </si>
  <si>
    <t>Strategic Priority Research Program of the Chinese Academy of Sciences(Chinese Academy of Sciences); Outstanding Youth Fund of Shandong Provincial Universities; National Natural Science Foundation of China(National Natural Science Foundation of China (NSFC)); Netherlands Polar Program; Netherlands Earth System Science Center (NESSC); U.S. National Science Foundation(National Science Foundation (NSF)); Swiss Academy of Sciences; NERC(UK Research &amp; Innovation (UKRI)Natural Environment Research Council (NERC))</t>
  </si>
  <si>
    <t>This work was funded by the Strategic Priority Research Program of the Chinese Academy of Sciences (XAD19070103), the Outstanding Youth Fund of Shandong Provincial Universities (ZR2016JL030), and the National Natural Science Foundation of China (41576182). M. R. van den Broeke and J. M. van Wessem acknowledge support from the Netherlands Polar Program and the Netherlands Earth System Science Center (NESSC). Snow accumulation data is a contribution to the PAGES 2k Network through the Antarctica 2k and CLIVASH2k projects. Past Global Changes (PAGES) is funded by the U.S. National Science Foundation and the Swiss Academy of Sciences. Thanks to the three anonymous reviewers for their constructive and thoughtful comments and advice to improve this paper. ERA-Interim data are obtained from ECMWF data server (http://apps.ecmwf.int/datasets/). HadSLP2 data are provided by Met Office Hadley Centre observations datasets (http://www.metoffice.gov.uk/hadobs/hadslp2/). SAM index developed by Abram et al. (2014) comes from ftp://ftp.ncdc.noaa.gov/pub/data/paleo/contributions_by_author/abram2014/abram2014sam.txt. SOI developed by Allan et al. (1991) is available at http://www.cru.uea.ac.uk/cru/data/soi/. Ice core snow accumulation data are available at https://doi.org/10.5285/c4ecfe25-12f2-453b-ad19-49a19e90ee32. PDO data are hosted at http://research.jisao.washington.edu/data/pdo/website. RACMO2.3p2 accumulation fields can be obtained from M. R. van de Broeke and J. M. van Wessem without conditions. Snow accumulation data reconstructed by Medley and Thomas (2019) come from the NASA Goddard Cryosphere data portal (https://neptune.gsfc.nasa.gov/csb/). Our reconstructed WAIS SMB data are available at http://poles.tpdc.ac.cn/website.</t>
  </si>
  <si>
    <t>10.1029/2018JD029601</t>
  </si>
  <si>
    <t>WOS:000471237200009</t>
  </si>
  <si>
    <t>de Pascual-Collar, A; Sotillo, MG; Levier, B; Aznar, R; Lorente, P; Amo-Baladrón, A; Alvarez-Fanjul, E</t>
  </si>
  <si>
    <t>de Pascual-Collar, Alvaro; Sotillo, Marcos G.; Levier, Bruno; Aznar, Roland; Lorente, Pablo; Amo-Baladron, Arancha; Alvarez-Fanjul, Enrique</t>
  </si>
  <si>
    <t>Regional circulation patterns of Mediterranean Outflow Water near the Iberian and African continental slopes</t>
  </si>
  <si>
    <t>NORTH-ATLANTIC OCEAN; INTERMEDIATE WATER; OVERFLOW WATER; HYDROGRAPHY; GULF; PENETRATION; SIGNATURES; INSIGHTS; SYSTEMS; INFLOW</t>
  </si>
  <si>
    <t>The Mediterranean Outflow Water (MOW) is a dense water mass originated in the Strait of Gibraltar. Downstream of the Gulf of Cadiz, the MOW forms a reservoir region west of the Iberian continental slopes at a buoyant depth of approximately 1000 m. This region plays a key role as the main centre where the MOW is mixed and distributed into the North Atlantic. The seafloor in this area is characterized by the presence of a complex bathymetry with three abyssal plains separated by mountain chains. Although the topographic features do not reach the surface, they influence ocean flows at intermediate and deep ocean layers, conditioning the distribution and circulation of MOW. The Copernicus Marine Environmental Monitoring Service (CMEMS) Iberian-Biscay-Ireland (IBI) ocean reanalysis is used to provide a detailed view of the circulation and mixing processes of MOW near the Iberian and African continental slopes. This work emphasizes the relevance of the complex bathymetric features defining the circulation processes of MOW in this region. The high resolution of the IBI reanalysis allows us to make a description of the mesoscale features forced by the topography. The temperature, salinity, velocity, transport, and vorticity fields are analysed to understand the circulation patterns of MOW. The high-resolution circulation patterns reveal that Horseshoe Basin and the continental slope near Cape Ghir (a.k.a. Cap Rhir or Cabo de Aguer) are key areas controlling the mixing processes of MOW with the surrounding water masses, mainly North Atlantic Central Water (NACW) and Antarctic Intermediate Water (AAIW). The water mass variability is also analysed by means of composite analysis. Results indicate the existence of a variability in the MOW tongue which retracts and expands westwards in opposition to the movement of the underlying North Atlantic Deep Water.</t>
  </si>
  <si>
    <t>[de Pascual-Collar, Alvaro; Sotillo, Marcos G.; Aznar, Roland; Lorente, Pablo; Amo-Baladron, Arancha; Alvarez-Fanjul, Enrique] Puertos Estado, Ave Partenon 10, Madrid 28042, Spain; [de Pascual-Collar, Alvaro; Aznar, Roland; Lorente, Pablo; Amo-Baladron, Arancha] Nologin, Avda Ranillas 1D, Zaragoza 50018, Spain; [Levier, Bruno] Mercator Ocean, 8-10 Rue Hermes, F-31520 Ramonville St Agne, France</t>
  </si>
  <si>
    <t>Puertos del Estado</t>
  </si>
  <si>
    <t>de Pascual-Collar, A (corresponding author), Puertos Estado, Ave Partenon 10, Madrid 28042, Spain.;de Pascual-Collar, A (corresponding author), Nologin, Avda Ranillas 1D, Zaragoza 50018, Spain.</t>
  </si>
  <si>
    <t>alpascua@ucm.es</t>
  </si>
  <si>
    <t>Marcos G, Sotillo/0009-0006-1244-7848; Aznar, Roland/0000-0002-9793-1834</t>
  </si>
  <si>
    <t>10.5194/os-15-565-2019</t>
  </si>
  <si>
    <t>HZ9QP</t>
  </si>
  <si>
    <t>WOS:000469192300001</t>
  </si>
  <si>
    <t>Peng, YH; Ji, W; Zhang, D; Ji, HW; Liu, SC</t>
  </si>
  <si>
    <t>Peng, Yuanhuai; Ji, Wei; Zhang, Di; Ji, Hongwu; Liu, Shucheng</t>
  </si>
  <si>
    <t>Composition and content analysis of fluoride in inorganic salts of the integument of Antarctic krill (Euphausia superba)</t>
  </si>
  <si>
    <t>HYDROXYAPATITE; CHITIN; PROPERTY; SHELL</t>
  </si>
  <si>
    <t>Ash of Antarctic krill integument (AAKI) was prepared by sintering the integument at 550 degrees C under air atmosphere for 4 hours, and its composition was analyzed by X-ray diffraction (XRD), fourier transform infrared spectroscopy (FTIR) and electron dispersive spectroscopy (EDS). XRD results showed that the major phase in AAKI was ascribed to apatite. Besides, it was noticed that the (300) peak of AAKI shifted to 33.07 degrees, which was coincident with that of fluorapatite (FA). The FTIR results confirmed the presence of phosphate ions, and the absence of -OH. The EDS results confirmed the presence of Ca, P, O and F elements in the ash sample. The content of FA in the ash was determined to be 50.4%, and the proportion of fluorine in the form of FA to the total fluorine in the integument was 40.5%. Based on the XRD, FTIR and EDS results, it can be concluded that FA was the main form of fluoride in the integument of Antarctic krill.</t>
  </si>
  <si>
    <t>[Peng, Yuanhuai; Zhang, Di; Ji, Hongwu; Liu, Shucheng] Guangdong Ocean Univ, Coll Food Sci &amp; Technol, Guangdong Prov Key Lab Aquat Prod Proc &amp; Safety, Key Lab Adv Proc Aquat Prod Guangdong Higher Educ, Zhanjiang 524088, Peoples R China; [Ji, Wei] Guangdong Univ Educ, Coll Biol &amp; Food Engn, Guangzhou 510303, Guangdong, Peoples R China; [Peng, Yuanhuai] Lingnan Normal Univ, Sch Chem &amp; Chem Engn, Zhanjiang 524048, Peoples R China</t>
  </si>
  <si>
    <t>Guangdong Ocean University; LingNan Normal University</t>
  </si>
  <si>
    <t>Ji, HW (corresponding author), Guangdong Ocean Univ, Coll Food Sci &amp; Technol, Guangdong Prov Key Lab Aquat Prod Proc &amp; Safety, Key Lab Adv Proc Aquat Prod Guangdong Higher Educ, Zhanjiang 524088, Peoples R China.</t>
  </si>
  <si>
    <t>jihw62318@163.com</t>
  </si>
  <si>
    <t>National Natural Science Foundation of China [31801614]; Modern Agro-industry Technology Research System of China [CARS-48]</t>
  </si>
  <si>
    <t>National Natural Science Foundation of China(National Natural Science Foundation of China (NSFC)); Modern Agro-industry Technology Research System of China</t>
  </si>
  <si>
    <t>This work was supported by National Natural Science Foundation of China (Grant No. 31801614) and Modern Agro-industry Technology Research System of China (CARS-48). We also appreciate Weiming Su's technical assistance for this article.</t>
  </si>
  <si>
    <t>10.1038/s41598-019-44337-6</t>
  </si>
  <si>
    <t>HZ7DJ</t>
  </si>
  <si>
    <t>WOS:000469011800001</t>
  </si>
  <si>
    <t>Prasad, V; Kulkarni, AV; Pradeep, S; Pratibha, S; Tawde, SA; Shirsat, T; Arya, AR; Orr, A; Bannister, D</t>
  </si>
  <si>
    <t>Prasad, Veena; Kulkarni, Anil, V; Pradeep, S.; Pratibha, S.; Tawde, Sayli A.; Shirsat, Tejal; Arya, A. R.; Orr, Andrew; Bannister, Daniel</t>
  </si>
  <si>
    <t>Large losses in glacier area and water availability by the end of twenty-first century under high emission scenario, Satluj basin, Himalaya</t>
  </si>
  <si>
    <t>CURRENT SCIENCE</t>
  </si>
  <si>
    <t>Climate change; glacier; glacier melt runoff; Himalaya; mass balance; Satluj basin; water availability</t>
  </si>
  <si>
    <t>CHHOTA SHIGRI GLACIER; SEA-LEVEL RISE; MASS-BALANCE; WESTERN HIMALAYA; SCALE; FUTURE; MELT; RETREAT; CMIP5; INDIA</t>
  </si>
  <si>
    <t>Glaciers in the Satluj river basin are likely to lose 53% and 81% of area by the end of the century, if climate change followed RCP 8.5 scenario of CNRM-CM5 and GFDL-CM3 models respectively. The large variability in area loss can be due to difference in temperature and precipitation projections. Presently, Satluj basin has approximately 2000 glaciers, 1426 sq. km glacier area and 62.3 Gt glacier stored water. The current mean specific mass balance is -0.40 m.w.e. a(-1 )This will change to -0.42 and - 1.1 m.w.e. a(-1) by 2090, if climate data of CNRM-CM5 and GFDL-CM3 are used respectively. We have used an extreme scenario of GFDL-CM3 model to assess the changes in the contribution of glacier melt to the Bhakra reservoir. Mass balance model suggests that glaciers are contributing 2 km(3) a(-1) out of 14 km(3) of water. This will increase to 2.2 km(3) a(-1) by 2050, and then reduce to 1.5 km(3) a(-1) by the end of the century. In addition, loss in glacier area by the end of century, will also increase the vulnerability of mountain communities, suggesting need for better adaptation and water management practices.</t>
  </si>
  <si>
    <t>[Prasad, Veena; Kulkarni, Anil, V; Pradeep, S.; Pratibha, S.; Shirsat, Tejal; Arya, A. R.] Divecha Ctr Climate Change, Bengaluru, India; [Tawde, Sayli A.] Indian Inst Sci, Ctr Atmospher &amp; Ocean Sci, Bengaluru 560012, India; [Orr, Andrew; Bannister, Daniel] British Antarctic Survey, Cambridge CB3 0ET, England</t>
  </si>
  <si>
    <t>Indian Institute of Science (IISC) - Bangalore; UK Research &amp; Innovation (UKRI); Natural Environment Research Council (NERC); NERC British Antarctic Survey</t>
  </si>
  <si>
    <t>Kulkarni, AV (corresponding author), Divecha Ctr Climate Change, Bengaluru, India.</t>
  </si>
  <si>
    <t>anilkulkarni@iisc.ac.in</t>
  </si>
  <si>
    <t>Department of Science and Technology, Govt. of India; Divecha Centre for Climate Change, Indian Institute of Science, Bangalore; Sustaining Himalayan Water Resources in a Changing Climate (SusHi-Wat) project, India-UK Water Centre and Impacting Research Innovation and Technology (IMPRINT) programme, Government of India; NERC [bas0100032, NE/N016394/1, NE/R000107/1] Funding Source: UKRI</t>
  </si>
  <si>
    <t>Department of Science and Technology, Govt. of India(Department of Science &amp; Technology (India)); Divecha Centre for Climate Change, Indian Institute of Science, Bangalore; Sustaining Himalayan Water Resources in a Changing Climate (SusHi-Wat) project, India-UK Water Centre and Impacting Research Innovation and Technology (IMPRINT) programme, Government of India; NERC(UK Research &amp; Innovation (UKRI)Natural Environment Research Council (NERC))</t>
  </si>
  <si>
    <t>We thank the Department of Science and Technology, Govt. of India; Divecha Centre for Climate Change, Indian Institute of Science, Bangalore; Sustaining Himalayan Water Resources in a Changing Climate (SusHi-Wat) project, India-UK Water Centre and Impacting Research Innovation and Technology (IMPRINT) programme, Government of India for the financial support.</t>
  </si>
  <si>
    <t>0011-3891</t>
  </si>
  <si>
    <t>CURR SCI INDIA</t>
  </si>
  <si>
    <t>Curr. Sci.</t>
  </si>
  <si>
    <t>MAY 25</t>
  </si>
  <si>
    <t>10.18520/cs/v116/i10/1721-1730</t>
  </si>
  <si>
    <t>HZ1MU</t>
  </si>
  <si>
    <t>WOS:000468611700029</t>
  </si>
  <si>
    <t>Bell, PR; Brougham, T; Herne, MC; Frauenfelder, T; Smith, ET</t>
  </si>
  <si>
    <t>Bell, Phil R.; Brougham, Tom; Herne, Matthew C.; Frauenfelder, Timothy; Smith, Elizabeth T.</t>
  </si>
  <si>
    <t>Fostoria dhimbangunmal, gen. et sp. nov., a new iguanodontian (Dinosauria, Ornithopoda) from the mid-Cretaceous of Lightning Ridge, New South Wales, Australia</t>
  </si>
  <si>
    <t>JOURNAL OF VERTEBRATE PALEONTOLOGY</t>
  </si>
  <si>
    <t>CENTRAL-WESTERN QUEENSLAND; WINTON FORMATION; LARK QUARRY; ORNITHISCHIA; DIVERSITY; BRAINCASE; DISCOVERY; PATAGONIA; STAMPEDE; ONTOGENY</t>
  </si>
  <si>
    <t>Globally, non-hadrosauroid iguanodontians ('basal iguanodontians') reached their acme in terms of diversity during the Early Cretaceous. However, Gondwanan representatives of this clade are rare and are represented in Australia only by the enigmatic Muttaburrasaurus langdoni (upper Albian; Mackunda Formation). Here, we describe a new iguanodontian, Fostoria dhimbangunmal, gen. et sp. nov., from the Cenomanian Griman Creek Formation at Lightning Ridge, New South Wales, Australia. The holotype and referred specimens, preserved entirely in opal, pertain to at least four individuals from a monodominant bone bed excavated from an underground opal mine. This deposit constitutes the first ornithopod-dominated bone bed from Australia. Elements from most parts of the body are represented, including the first partial skull of a dinosaur recovered from New South Wales. The new taxon is identified by a number of autapomorphies that include, but are not restricted to, a stepped lateral margin of the frontal in dorsal view and a stout protuberance on the anterolateral corner of the frontal. Phylogenetic analysis based on a recently published data set recovers Fostoria as the sister taxon to a clade of Gondwanan iguanodontians that includes Anabisetia saldiviai, Talenkauen santacrucensis, and Muttaburrasaurus langdoni. The new taxon and M. langdoni represent the sole iguanodontians known from the eastern margin of the epeiric Eromanga Sea, whereas the group is conspicuously absent from the contemporaneous ornithopod-dominated ecosystems of the Australian-Antarctic rift valley in Victoria.</t>
  </si>
  <si>
    <t>[Bell, Phil R.; Brougham, Tom; Herne, Matthew C.; Frauenfelder, Timothy] Univ New England, Armidale, NSW 2351, Australia; [Smith, Elizabeth T.] Australian Opal Ctr, 3-11 Morilla St, Lightning Ridge, NSW 2834, Australia</t>
  </si>
  <si>
    <t>University of New England</t>
  </si>
  <si>
    <t>Bell, PR (corresponding author), Univ New England, Armidale, NSW 2351, Australia.</t>
  </si>
  <si>
    <t>pbell23@une.edu.au</t>
  </si>
  <si>
    <t>Frauenfelder, Timothy/HGC-1677-2022</t>
  </si>
  <si>
    <t>Birch, Sienna/0000-0002-2771-536X; Frauenfelder, Timothy George/0000-0003-3773-211X</t>
  </si>
  <si>
    <t>Australian Research Council Discovery Early Career Researcher Award [DE170101325]</t>
  </si>
  <si>
    <t>Australian Research Council Discovery Early Career Researcher Award(Australian Research Council)</t>
  </si>
  <si>
    <t>We are indebted to R. Foster who discovered the specimen and shared valuable information on its history. Specimens were donated through the Australian Government's Cultural Gift Program by G. and J. Foster. We thank J. Brammall (AOC), M. McCurry (AM), S. Hocknull (QM), and C. Levitt (UMNH) for kind access to their collections; K. Little and everyone at Armidale Radiology for facilitating CT scanning; S. Wroe (FEAR lab, UNE) for assistance with scanning and access to Mimics software; M. Goodwin for skilful preparation of some of the material; J. Nair (UQ) for providing a preliminary phylogenetic analysis; and R. Smith for photographs in Figure 8. A. Ritchie, R. Jones (formerly Australian Museum), and members of the Australian Armed Forces are gratefully acknowledged for their role in the excavations and preparation of specimens while at the AM. B. McBride and J. and B. Foster are thanked for consulting on the local Yuwaalaraay, Yuwaalayaay, and Gamilaraay languages. Access to TNT is courtesy of the Willi Hennig Society. A. McDonald, an anonymous reviewer, and M. D'Emic (editor) are thanked for their thoughtful reviews that improved the final version. This research was funded under an Australian Research Council Discovery Early Career Researcher Award (project ID: DE170101325) to P.R.B.</t>
  </si>
  <si>
    <t>0272-4634</t>
  </si>
  <si>
    <t>1937-2809</t>
  </si>
  <si>
    <t>J VERTEBR PALEONTOL</t>
  </si>
  <si>
    <t>J. Vertebr. Paleontol.</t>
  </si>
  <si>
    <t>e1564757</t>
  </si>
  <si>
    <t>10.1080/02724634.2019.1564757</t>
  </si>
  <si>
    <t>MAY 2019</t>
  </si>
  <si>
    <t>IR4RD</t>
  </si>
  <si>
    <t>WOS:000471530900001</t>
  </si>
  <si>
    <t>Song, M; Zhao, J; Wen, HS; Li, Y; Li, JF; Li, LM; Tao, YX</t>
  </si>
  <si>
    <t>Song, Min; Zhao, Ji; Wen, Hai-Shen; Li, Yun; Li, Ji-Fang; Li, Lan-Min; Tao, Ya-Xiong</t>
  </si>
  <si>
    <t>The impact of acute thermal stress on the metabolome of the black rockfish (Sebastes schlegelii)</t>
  </si>
  <si>
    <t>FATTY-ACID-COMPOSITION; GENE-EXPRESSION; RAINBOW-TROUT; SKELETAL-MUSCLE; LOW-TEMPERATURE; ANTARCTIC FISH; RESPONSES; HYPOXIA; COLD; OXYGEN</t>
  </si>
  <si>
    <t>Acute change in water temperature causes heavy economic losses in the aquaculture industry. The present study investigated the metabolic and molecular effects of acute thermal stress on black rockfish (Sebastes schlegelii). Gas chromatography time-of-flight mass spectrometry (GC-TOF-MS)-based metabolomics was used to investigate the global metabolic response of black rockfish at a high water temperature (27 degrees C), low water temperature (5 degrees C) and normal water temperature (16 degrees C). Metabolites involved in energy metabolism and basic amino acids were significantly increased upon acute exposure to 27 degrees C (P &lt; 0.05), and no change in metabolite levels occurred in the low water temperature group. However, certain fatty acid levels were elevated after cold stress (P &lt; 0.05), and this effect was not observed in the 27 degrees C group, suggesting that acute high and low temperature exposures caused different physiological responses. Using quantitative real-time PCR, we analyzed the expression of ubiquitin (ub), hypoxia-inducible factor (hif), lactate dehydrogenase (ldh), and acetyl-CoA carboxylase (acac). Higher expression levels of ub, hif, and ldh (P &lt; 0.05) were observed in the high water temperature group, but no changes in these expression levels occurred in the low water temperature group. Our findings provide a potential metabolic profile for black rockfish when exposed to acute temperature stress and provide some insights into host metabolic and molecular responses to thermal stress.</t>
  </si>
  <si>
    <t>[Song, Min; Zhao, Ji; Wen, Hai-Shen; Li, Yun; Li, Ji-Fang; Li, Lan-Min] Ocean Univ China, Minist Educ, Key Lab Mariculture, Qingdao, Shandong, Peoples R China; [Tao, Ya-Xiong] Auburn Univ, Coll Vet Med, Dept Anat Physiol &amp; Pharmacol, Auburn, AL 36849 USA</t>
  </si>
  <si>
    <t>Ocean University of China; Auburn University System; Auburn University</t>
  </si>
  <si>
    <t>Wen, HS; Li, Y (corresponding author), Ocean Univ China, Minist Educ, Key Lab Mariculture, Qingdao, Shandong, Peoples R China.</t>
  </si>
  <si>
    <t>wenhaishen@ouc.edu.cn; yunli0116@ouc.edu.cn</t>
  </si>
  <si>
    <t>Tao, Ya-Xiong/K-4939-2019</t>
  </si>
  <si>
    <t>Tao, Ya-Xiong/0000-0003-4737-749X</t>
  </si>
  <si>
    <t>National Natural Science Foundation of China [41476110]; Fundamental Research Funds for the Central Universities in China [841712004]</t>
  </si>
  <si>
    <t>National Natural Science Foundation of China(National Natural Science Foundation of China (NSFC)); Fundamental Research Funds for the Central Universities in China</t>
  </si>
  <si>
    <t>This study was supported by The National Natural Science Foundation of China (41476110) and the Fundamental Research Funds for the Central Universities in China (841712004). HW, YL, JZ, MS has been funded by this grant. The funders had no role in study design, data collection and analysis, decision to publish, or preparation of the manuscript.</t>
  </si>
  <si>
    <t>MAY 24</t>
  </si>
  <si>
    <t>e0217133</t>
  </si>
  <si>
    <t>10.1371/journal.pone.0217133</t>
  </si>
  <si>
    <t>HZ5BN</t>
  </si>
  <si>
    <t>WOS:000468865700021</t>
  </si>
  <si>
    <t>Duncan, DI; Eriksson, P; Pfreundschuh, S; Klepp, C; Jones, DC</t>
  </si>
  <si>
    <t>Duncan, David Ian; Eriksson, Patrick; Pfreundschuh, Simon; Klepp, Christian; Jones, Daniel C.</t>
  </si>
  <si>
    <t>On the distinctiveness of observed oceanic raindrop distributions</t>
  </si>
  <si>
    <t>SIZE DISTRIBUTION; RAINFALL; DISDROMETER; GAMMA; REPRESENT; SPECTRA; REGIMES</t>
  </si>
  <si>
    <t>Representation of the drop size distribution (DSD) of rainfall is a key element of characterizing precipitation in models and observations, with a functional form necessary to calculate the precipitation flux and the drops' interaction with radiation. With newly available oceanic disdrometer measurements, this study investigates the validity of commonly used DSDs, potentially useful a priori constraints for retrievals, and the impacts of DSD variability on radiative transfer. These data are also compared with leading satellite-based estimates over ocean, with the disdrometers observing a larger number of small drops and significantly more variability in number concentrations. This indicates that previous appraisals of raindrop variability over ocean may have been underestimates. Forward model errors due to DSD variability are shown to be significant for both active and passive sensors. The modified gamma distribution is found to be generally adequate to describe rain DSDs but may cause systematic errors for high-latitude or stratocumulus rain retrievals. Depending on the application, an exponential or generalized gamma function may be preferable for representing oceanic DSDs. An unsupervised classification algorithm finds a variety of DSD shapes that differ from commonly used DSDs but does not find a singular set that best describes the global variability.</t>
  </si>
  <si>
    <t>[Duncan, David Ian; Eriksson, Patrick; Pfreundschuh, Simon] Chalmers Univ Technol, Dept Earth Space &amp; Environm, S-41296 Gothenburg, Sweden; [Klepp, Christian] Univ Hamburg, Inst Meteorol, CEN, CliSAP, D-20146 Hamburg, Germany; [Jones, Daniel C.] British Antarctic Survey, Cambridge CB3 0ET, England; [Duncan, David Ian] European Ctr Medium Range Weather Forecasts, Shinfield Pk, Reading RG2 9AX, Berks, England</t>
  </si>
  <si>
    <t>Chalmers University of Technology; University of Hamburg; UK Research &amp; Innovation (UKRI); Natural Environment Research Council (NERC); NERC British Antarctic Survey; European Centre for Medium-Range Weather Forecasts (ECMWF)</t>
  </si>
  <si>
    <t>Duncan, DI (corresponding author), Chalmers Univ Technol, Dept Earth Space &amp; Environm, S-41296 Gothenburg, Sweden.;Duncan, DI (corresponding author), European Ctr Medium Range Weather Forecasts, Shinfield Pk, Reading RG2 9AX, Berks, England.</t>
  </si>
  <si>
    <t>david.duncan@ecmwf.in</t>
  </si>
  <si>
    <t>Eriksson, Patrick/A-5321-2009; Duncan, David/P-4981-2019</t>
  </si>
  <si>
    <t>Eriksson, Patrick/0000-0002-8475-0479; Duncan, David/0000-0002-1955-4391; Jones, Dani/0000-0002-8701-4506</t>
  </si>
  <si>
    <t>Swedish National Space Agency [169/16]; NERC [bas0100033, NE/N018001/1] Funding Source: UKRI; Swedish National Space Agency (SNSA) [169/16, 169/16] Funding Source: Swedish National Space Agency (SNSA)</t>
  </si>
  <si>
    <t>Swedish National Space Agency(Swedish National Space Agency (SNSA)); NERC(UK Research &amp; Innovation (UKRI)Natural Environment Research Council (NERC)); Swedish National Space Agency (SNSA)(Swedish National Space Agency (SNSA))</t>
  </si>
  <si>
    <t>This research has been supported by the Swedish National Space Agency (grant no. 169/16).</t>
  </si>
  <si>
    <t>10.5194/acp-19-6969-2019</t>
  </si>
  <si>
    <t>HZ5UC</t>
  </si>
  <si>
    <t>WOS:000468917200001</t>
  </si>
  <si>
    <t>Orellana-Saez, M; Pacheco, N; Costa, JI; Mendez, KN; Miossec, MJ; Meneses, C; Castro-Nallar, E; Marcoleta, AE; Poblete-Castro, I</t>
  </si>
  <si>
    <t>Orellana-Saez, Matias; Pacheco, Nicolas; Costa, Jose, I; Mendez, Katterinne N.; Miossec, Matthieu J.; Meneses, Claudio; Castro-Nallar, Eduardo; Marcoleta, Andres E.; Poblete-Castro, Ignacio</t>
  </si>
  <si>
    <t>In-Depth Genomic and Phenotypic Characterization of the Antarctic Psychrotolerant Strain Pseudomonas sp. MPC6 Reveals Unique Metabolic Features, Plasticity, and Biotechnological Potential</t>
  </si>
  <si>
    <t>Pseudomonas; genome sequencing; aromatic compounds; poly(3-hydroxyalkanoates); low temperature; heavy metals; extremophile</t>
  </si>
  <si>
    <t>LOW-TEMPERATURE; RESISTANT PSEUDOMONAS; ARSENIC TOLERANCE; ESCHERICHIA-COLI; CADMIUM TOXICITY; MULTIDRUG EFFLUX; GENE-EXPRESSION; PUTIDA KT2440; SCALE MODELS; HEAVY-METAL</t>
  </si>
  <si>
    <t>We obtained the complete genome sequence of the psychrotolerant extremophile Pseudomonas sp. MPC6, a natural Polyhydroxyalkanoates (PHAs) producing bacterium able to rapidly grow at low temperatures. Genomic and phenotypic analyses allowed us to situate this isolate inside the Pseudomonas fluorescens phylogroup of pseudomonads as well as to reveal its metabolic versatility and plasticity. The isolate possesses the gene machinery for metabolizing a variety of toxic aromatic compounds such as toluene, phenol, chloroaromatics, and TNT. In addition, it can use both C6- and C5-carbon sugars like xylose and arabinose as carbon substrates, an uncommon feature for bacteria of this genus. Furthermore, Pseudomonas sp. MPC6 exhibits a high-copy number of genes encoding for enzymes involved in oxidative and cold-stress response that allows it to cope with high concentrations of heavy metals (As, Cd, Cu) and low temperatures, a finding that was further validated experimentally. We then assessed the growth performance of MPC6 on glycerol using a temperature range from 0 to 45 degrees C, the latter temperature corresponding to the limit at which this Antarctic isolate was no longer able to propagate. On the other hand, the MPC6 genome comprised considerably less virulence and drug resistance factors as compared to pathogenic Pseudomonas strains, thus supporting its safety. Unexpectedly, we found five PHA synthases within the genome of MPC6, one of which clustered separately from the other four. This PHA synthase shared only 40% sequence identity at the amino acid level against the only PHA polymerase described for Pseudomonas (63-1 strain) able to produce copolymers of short- and medium-chain length PHAs. Batch cultures for PHA synthesis in Pseudomonas sp. MPC6 using sugars, decanoate, ethylene glycol, and organic acids as carbon substrates result in biopolymers with different monomer compositions. This indicates that the PHA synthases play a critical role in defining not only the final chemical structure of the biosynthesized PHA, but also the employed biosynthetic pathways. Based on the results obtained, we conclude that Pseudomonas sp. MPC6 can be exploited as a bioremediator and biopolymer factory, as well as a model strain to unveil molecular mechanisms behind adaptation to cold and extreme environments.</t>
  </si>
  <si>
    <t>[Orellana-Saez, Matias; Pacheco, Nicolas; Poblete-Castro, Ignacio] Univ Andres Bello, Fac Life Sci, Ctr Bioinformat &amp; Integrat Biol, Biosyst Engn Lab, Santiago, Chile; [Costa, Jose, I; Marcoleta, Andres E.] Univ Chile, Fac Ciencias, Dept Biol, Integrat Microbiol Grp, Santiago, Chile; [Mendez, Katterinne N.; Castro-Nallar, Eduardo] Univ Andres Bello, Fac Life Sci, Ctr Bioinformat &amp; Integrat Biol, Santiago, Chile; [Miossec, Matthieu J.] Univ Andres Bello, Fac Life Sci, Ctr Bioinformat &amp; Integrat Biol, Computat Genom Lab, Santiago, Chile; [Meneses, Claudio] Univ Andres Bello, Fac Ciencias Vida, Ctr Biotecnol Vegetal, Santiago, Chile; [Meneses, Claudio] FONDAP Ctr Genome Regulat, Santiago, Chile</t>
  </si>
  <si>
    <t>Universidad Andres Bello; Universidad de Chile; Universidad Andres Bello; Universidad Andres Bello; Universidad Andres Bello</t>
  </si>
  <si>
    <t>Poblete-Castro, I (corresponding author), Univ Andres Bello, Fac Life Sci, Ctr Bioinformat &amp; Integrat Biol, Biosyst Engn Lab, Santiago, Chile.;Marcoleta, AE (corresponding author), Univ Chile, Fac Ciencias, Dept Biol, Integrat Microbiol Grp, Santiago, Chile.</t>
  </si>
  <si>
    <t>amarcoleta@uchile.cl; ignacio.poblete@unab.cl</t>
  </si>
  <si>
    <t>Miossec, Matthieu/T-3491-2019; Caldera, Andrés Marcoleta/AFN-3162-2022; Castro-Nallar, Eduardo/I-5925-2019; Poblete-Castro, Ignacio/J-2755-2019</t>
  </si>
  <si>
    <t>Miossec, Matthieu/0000-0001-8148-7890; Castro-Nallar, Eduardo/0000-0003-4384-8661; Meneses, Claudio/0000-0002-6452-8950; Poblete-Castro, Ignacio/0000-0001-6649-0389; Marcoleta Caldera, Andres Esteban/0000-0003-2950-7510</t>
  </si>
  <si>
    <t>INACH [RT_51-16]; CONICYT-FONDECYT de iniciacion en la investigacion [11160905]</t>
  </si>
  <si>
    <t>INACH; CONICYT-FONDECYT de iniciacion en la investigacion</t>
  </si>
  <si>
    <t>This work was financed by a grant from INACH (RT_51-16) to AM. EC-N was funded by CONICYT-FONDECYT de iniciacion en la investigacion 11160905.</t>
  </si>
  <si>
    <t>10.3389/fmicb.2019.01154</t>
  </si>
  <si>
    <t>HZ5TG</t>
  </si>
  <si>
    <t>WOS:000468914900001</t>
  </si>
  <si>
    <t>Su, CH; Eizenberg, N; Steinle, P; Jakob, D; Fox-Hughes, P; White, CJ; Rennie, S; Franklin, C; Dharssi, I; Zhu, HY</t>
  </si>
  <si>
    <t>Su, Chun-Hsu; Eizenberg, Nathan; Steinle, Peter; Jakob, Dorte; Fox-Hughes, Paul; White, Christopher J.; Rennie, Susan; Franklin, Charmaine; Dharssi, Imtiaz; Zhu, Hongyan</t>
  </si>
  <si>
    <t>BARRA v1.0: the Bureau of Meteorology Atmospheric high-resolution Regional Reanalysis for Australia</t>
  </si>
  <si>
    <t>TRACKED-BALLOON ARCHIVE; OFFICE UNIFIED MODEL; DATA ASSIMILATION; CLIMATE MODEL; BIAS CORRECTION; WIND-SPEED; GLOBAL RADIOSONDE; BOUNDARY-LAYER; SIMULATION; WEATHER</t>
  </si>
  <si>
    <t>The Bureau of Meteorology Atmospheric high-resolution Regional Reanalysis for Australia (BARRA) is the first atmospheric regional reanalysis over a large region covering Australia, New Zealand, and Southeast Asia. The production of the reanalysis with approximately 12 km horizontal resolution - BARRA-R - is well underway with completion expected in 2019. This paper describes the numerical weather forecast model, the data assimilation methods, the forcing and observational data used to produce BARRA-R, and analyses results from the 2003-2016 reanalysis. BARRA-R provides a realistic depiction of the meteorology at and near the surface over land as diagnosed by temperature, wind speed, surface pressure, and precipitation. Comparing against the global reanalyses ERA-Interim and MERRA-2, BARRA-R scores lower root mean square errors when evaluated against (point-scale) 2m temperature, 10m wind speed, and surface pressure observations. It also shows reduced biases in daily 2m temperature maximum and minimum at 5 km resolution and a higher frequency of very heavy precipitation days at 5 and 25 km resolution when compared to gridded satellite and gauge analyses. Some issues with BARRA-R are also identified: biases in 10m wind, lower precipitation than observed over the tropical oceans, and higher precipitation over regions with higher elevations in south Asia and New Zealand. Some of these issues could be improved through dynamical downscaling of BARRA-R fields using convective-scale (&lt; 2 km) models.</t>
  </si>
  <si>
    <t>[Su, Chun-Hsu; Eizenberg, Nathan; Steinle, Peter; Jakob, Dorte; Rennie, Susan; Franklin, Charmaine; Dharssi, Imtiaz; Zhu, Hongyan] Bur Meteorol, Docklands, Vic 3008, Australia; [Fox-Hughes, Paul] Bur Meteorol, Hobart, Tas 7000, Australia; [White, Christopher J.] Univ Strathclyde, Dept Civil &amp; Environm Engn, Glasgow, Lanark, Scotland; [White, Christopher J.] Antarctic Climate &amp; Ecosyst Cooperat Res Ctr, Hobart, Tas, Australia</t>
  </si>
  <si>
    <t>Bureau of Meteorology - Australia; Bureau of Meteorology - Australia; University of Strathclyde; Antarctic Climate &amp; Ecosystems Cooperative Research Centre (ACE CRC)</t>
  </si>
  <si>
    <t>Su, CH (corresponding author), Bur Meteorol, Docklands, Vic 3008, Australia.</t>
  </si>
  <si>
    <t>chunhsu.su@bom.gov.au</t>
  </si>
  <si>
    <t>; Su, Chun-Hsu/C-2076-2014; Fox-Hughes, Paul/G-8731-2013</t>
  </si>
  <si>
    <t>Franklin, Charmaine/0000-0003-0237-4033; Eizenberg, Nathan/0000-0002-7731-5006; Dharssi, Imtiaz/0000-0003-4112-2699; Rennie, Susan/0000-0002-6111-8497; Su, Chun-Hsu/0000-0003-2504-0466; Fox-Hughes, Paul/0000-0002-0083-9928; Steinle, Peter/0000-0002-0996-3386</t>
  </si>
  <si>
    <t>New SouthWales Rural Fire Service; Western Australia Department of Fire and Emergency Services; South Australia Country Fire Service; South Australia Department of Environment, Water and National Resources; Antarctic Climate and Ecosystems Cooperative Research Centre (ACE CRC); University of Tasmania; Tasmanian Government; Australian Government under the Tasmanian Bushfire Mitigation Grants Program; Australian Government</t>
  </si>
  <si>
    <t>New SouthWales Rural Fire Service; Western Australia Department of Fire and Emergency Services; South Australia Country Fire Service; South Australia Department of Environment, Water and National Resources; Antarctic Climate and Ecosystems Cooperative Research Centre (ACE CRC)(Australian GovernmentDepartment of Industry, Innovation and ScienceCooperative Research Centres (CRC) Programme); University of Tasmania; Tasmanian Government; Australian Government under the Tasmanian Bushfire Mitigation Grants Program(Australian Government); Australian Government(Australian Government)</t>
  </si>
  <si>
    <t>Funding for this work was provided by emergency service agencies (New SouthWales Rural Fire Service, Western Australia Department of Fire and Emergency Services, South Australia Country Fire Service, South Australia Department of Environment, Water and National Resources) and research institutions (Antarctic Climate and Ecosystems Cooperative Research Centre (ACE CRC) and University of Tasmania). Funding from Tasmania is supported by the Tasmanian Government and the Australian Government, provided under the Tasmanian Bushfire Mitigation Grants Program.; BARRA-R is set up with assistance from the UKMO reanalysis team (Richard Renshaw, Peter Jermey, Jemma Davie) and colleagues (Adam Maycock, David Walters, Ian Boutle), as well as many colleagues at the Bureau of Meteorology (Tan Le, Ilia Bermous, Lawrie Rikus, Fiona Smith, Charles Sanders, Jin Lee, Gary Dietachmayer, John Le Marshall, Xudong Sun, Jim Fraser, Greg Kociuba, Chris Tingwell, Huqiang Zhang), the Commonwealth Scientific and Industrial Research Organisation (CSIRO; Martin Dix), and National Computational Infrastructure (NCI; Dale Roberts). We thank the following people: Richard Renshaw for providing the observational data from the UKMO and ECMWF archives; Stuart Moore and Trevor Carey-Smith at the National Institute of Water and Atmospheric Research (NIWA) for providing additional local observations over New Zealand; Robert Smalley and David Jones for their advice on AWAP; and Peter May, Elizabeth Ebert, Andrew Dowdy, and Tony Hirst for their feedback on early drafts of paper. BARRA-R uses the ERA-Interim data provided through the ARC Centre of Excellence for Climate System Science (Paola Petrelli) at NCI. Many of the observational datasets were provided by the ECMWF, UKMO, and NIWA. The radio occultation data (CDR v1.0 beta release) were provided by the Radio Occultation Meteorology Satellite Application Facility (ROM SAF; through K. B. Lauritsen and H. Gleisner, Danish Meteorological Institute), which is a decentralized operational RO processing centre under EUMETSAT. RO data are available at http://www.romsaf.org (last access: 23 May 2019). The BARRA project was undertaken with the assistance of resources and services from NCI, which is supported by the Australian Government.</t>
  </si>
  <si>
    <t>10.5194/gmd-12-2049-2019</t>
  </si>
  <si>
    <t>HZ5UY</t>
  </si>
  <si>
    <t>WOS:000468919400002</t>
  </si>
  <si>
    <t>de Araujo, GG; Rodrigues, F; Gonçalves, FLT; Galante, D</t>
  </si>
  <si>
    <t>de Araujo, Gabriel Guarany; Rodrigues, Fabio; Teixeira Goncalves, Fabio Luiz; Galante, Douglas</t>
  </si>
  <si>
    <t>Survival and ice nucleation activity of Pseudomonas syringae strains exposed to simulated high-altitude atmospheric conditions</t>
  </si>
  <si>
    <t>AIRBORNE BACTERIA; AERIAL DISPERSAL; ATACAMA DESERT; FUNGAL SPORES; CLOUD; NUCLEI; RADIATION; MICROORGANISMS; WATER; RAIN</t>
  </si>
  <si>
    <t>Pseudomonas syringae produces highly efficient biological ice nuclei (IN) that were proposed to influence precipitation by freezing water in clouds. This bacterium may be capable of dispersing through the atmosphere, having been reported in rain, snow, and cloud water samples. This study assesses its survival and maintenance of IN activity under stressing conditions present at high altitudes, such as UV radiation within clouds. Strains of the pathovars syringae and garcae were compared to Escherichia coli. While UV-C effectively inactivated these cells, the Pseudomonas were much more tolerant to UV-B. The P. syringae strains were also more resistant to radiation from a solar simulator, composed of UV-A and UV-B, while only one of them suffered a decline in IN activity at -5 degrees C after long exposures. Desiccation at different relative humidity values also affected the IN, but some activity at -5 degrees C was always maintained. The pathovar garcae tended to be more resistant than the pathovar syringae, particularly to desiccation, though its IN were found to be generally more sensitive. Compared to E. coli, the P. syringae strains appear to be better adapted to survival under conditions present at high altitudes and in clouds.</t>
  </si>
  <si>
    <t>[de Araujo, Gabriel Guarany] Univ Sao Paulo, Interun Grad Program Biotechnol, Ave Prof Lineu Prestes 2415, BR-05508900 Sao Paulo, SP, Brazil; [Rodrigues, Fabio] Univ Sao Paulo, Dept Fundamental Chem, Inst Chem, Ave Prof Lineu Prestes 748, BR-05508000 Sao Paulo, SP, Brazil; [Teixeira Goncalves, Fabio Luiz] Univ Sao Paulo, Dept Atmospher Sci, Inst Astron Geophys &amp; Atmospher Sci, Rua Matao 1226, BR-05508090 Sao Paulo, SP, Brazil; [Galante, Douglas] Brazilian Ctr Res Energy &amp; Mat, Brazilian Synchrotron Light Lab, Ave Giuseppe Maximo Scolfaro 10000, BR-13083100 Campinas, SP, Brazil</t>
  </si>
  <si>
    <t>Galante, D (corresponding author), Brazilian Ctr Res Energy &amp; Mat, Brazilian Synchrotron Light Lab, Ave Giuseppe Maximo Scolfaro 10000, BR-13083100 Campinas, SP, Brazil.</t>
  </si>
  <si>
    <t>douglas.galante@lnls.br</t>
  </si>
  <si>
    <t>Araujo, Gabriel/JPK-1798-2023; Galante, Douglas/G-8752-2011; Araujo, Gabriel G./GQH-4938-2022; Rodrigues, Fabio/D-2249-2017</t>
  </si>
  <si>
    <t>Galante, Douglas/0000-0002-3265-2527; Araujo, Gabriel G./0000-0002-6907-1929; Rodrigues, Fabio/0000-0002-1422-5660</t>
  </si>
  <si>
    <t>Brazilian Federal Agency for Support and Evaluation of Graduate Education CAPES; Sao Paulo Research Foundation - FAPESP [2016/06160-8, 2012/18936-0]; Microsfera project of the Brazilian Antarctic Program (ProAntar) [407816/2013-5]; Brazilian National Council of Technological and Scientific Development - CNPq [CNPq 424367/2016-5]; INCT-Criosfera [CNPq 028306/2009]; University of Sao Paulo - USP, through the Brazilian Research Unity in Astrobiology NAP/Astrobio</t>
  </si>
  <si>
    <t>Brazilian Federal Agency for Support and Evaluation of Graduate Education CAPES(Coordenacao de Aperfeicoamento de Pessoal de Nivel Superior (CAPES)); Sao Paulo Research Foundation - FAPESP(Fundacao de Amparo a Pesquisa do Estado de Sao Paulo (FAPESP)); Microsfera project of the Brazilian Antarctic Program (ProAntar); Brazilian National Council of Technological and Scientific Development - CNPq(Conselho Nacional de Desenvolvimento Cientifico e Tecnologico (CNPQ)); INCT-Criosfera; University of Sao Paulo - USP, through the Brazilian Research Unity in Astrobiology NAP/Astrobio</t>
  </si>
  <si>
    <t>This work was sponsored by the Brazilian Federal Agency for Support and Evaluation of Graduate Education CAPES, the Sao Paulo Research Foundation - FAPESP (Projects 2016/06160-8 and 2012/18936-0), the Microsfera project (407816/2013-5) of the Brazilian Antarctic Program (ProAntar), the Brazilian National Council of Technological and Scientific Development - CNPq (CNPq 424367/2016-5), INCT-Criosfera (CNPq 028306/2009), and the University of Sao Paulo - USP, through the Brazilian Research Unity in Astrobiology NAP/Astrobio. The authors would also like to thank Professor Josef Wilhelm Baader (IQ-USP) for lending the low temperature bath with which the ice nucleation experiments were performed.</t>
  </si>
  <si>
    <t>MAY 23</t>
  </si>
  <si>
    <t>10.1038/s41598-019-44283-3</t>
  </si>
  <si>
    <t>HZ3TG</t>
  </si>
  <si>
    <t>WOS:000468770600033</t>
  </si>
  <si>
    <t>Dornan, T; Fielding, S; Saunders, RA; Genner, MJ</t>
  </si>
  <si>
    <t>Dornan, Tracey; Fielding, Sophie; Saunders, Ryan A.; Genner, Martin J.</t>
  </si>
  <si>
    <t>Swimbladder morphology masks Southern Ocean mesopelagic fish biomass</t>
  </si>
  <si>
    <t>ecosystem; myctophid; mesopelagic fish; acoustics; biomass; Southern Ocean</t>
  </si>
  <si>
    <t>SCOTIA SEA; MYCTOPHID FISHES; CLIMATE-CHANGE; SCATTERING; SCALE; PATTERNS; KRILL; COMMUNITIES; TEMPERATURE; SHIFTS</t>
  </si>
  <si>
    <t>Within the twilight of the oceanic mesopelagic realm, 200-1000 m below sea level, are potentially vast resources of fish. Collectively, these mesopelagic fishes are the most abundant vertebrates on Earth, and this global fish community plays a vital role in the function of oceanic ecosystems. The biomass of these fishes has recently been estimated using acoustic survey methods, which rely on echosounder-generated signals being reflected from gas-filled swimbladders and detected by transducers on vessels. Here, we use X-ray computed tomography scans to demonstrate that several of the most abundant species of mesopelagic fish in the Southern Ocean lack gas-filled swimbladders. We also show using catch data from survey trawls that the fish community switches from fish possessing gas-filled swimbladders to those lacking swimbladders as latitude increases towards the Antarctic continent. Thus, the acoustic surveys that repeatedly show a decrease in mesopelagic fish biomass towards polar environments systematically overlook a large proportion of fish species that dominate polar seas. Importantly, this includes lanternfish species that are key prey items for top predators in the region, including king penguins and elephant seals. This latitudinal community switch, from gas to non-gas dominance, has considerable implications for acoustic biomass estimation, ecosystem modelling and long-term monitoring of species at risk from climate change and potential exploitation.</t>
  </si>
  <si>
    <t>[Dornan, Tracey; Fielding, Sophie; Saunders, Ryan A.] British Antarctic Survey, High Cross,Madingley Rd, Cambridge CB3 0ET, England; [Dornan, Tracey; Genner, Martin J.] Univ Bristol, Sch Biol Sci, Life Sci Bldg,24 Tyndall Ave, Bristol BS8 1TQ, Avon, England</t>
  </si>
  <si>
    <t>UK Research &amp; Innovation (UKRI); Natural Environment Research Council (NERC); NERC British Antarctic Survey; University of Bristol</t>
  </si>
  <si>
    <t>Dornan, T (corresponding author), British Antarctic Survey, High Cross,Madingley Rd, Cambridge CB3 0ET, England.;Dornan, T (corresponding author), Univ Bristol, Sch Biol Sci, Life Sci Bldg,24 Tyndall Ave, Bristol BS8 1TQ, Avon, England.</t>
  </si>
  <si>
    <t>td15166@bristol.ac.uk</t>
  </si>
  <si>
    <t>Fielding, Sophie/E-5137-2012</t>
  </si>
  <si>
    <t>Dornan, Tracey/0000-0001-8265-286X</t>
  </si>
  <si>
    <t>Ecosystems Programme at the British Antarctic Survey, Natural Environment Research Council, UK Research and Innovation; NERC GW4+ Doctoral Training Partnership from the Natural Environment Research Council [NE/L002434/1]; European H2020 International Cooperation project MESOPP (Mesopelagic Southern Ocean Prey and Predators); NERC [bas0100035] Funding Source: UKRI</t>
  </si>
  <si>
    <t>Ecosystems Programme at the British Antarctic Survey, Natural Environment Research Council, UK Research and Innovation; NERC GW4+ Doctoral Training Partnership from the Natural Environment Research Council(UK Research &amp; Innovation (UKRI)Natural Environment Research Council (NERC)); European H2020 International Cooperation project MESOPP (Mesopelagic Southern Ocean Prey and Predators); NERC(UK Research &amp; Innovation (UKRI)Natural Environment Research Council (NERC))</t>
  </si>
  <si>
    <t>The scientific cruises (the Polar Ocean Ecosystem Time Series-Western Core Box), R.A.S. and S.F. are funded as part of the Ecosystems Programme at the British Antarctic Survey, Natural Environment Research Council, a part of UK Research and Innovation. T.D. is supported by a NERC GW4+ Doctoral Training Partnership studentship from the Natural Environment Research Council award NE/L002434/1. Stewardship of the acoustic data received support from the European H2020 International Cooperation project MESOPP (Mesopelagic Southern Ocean Prey and Predators, www.mesopp.eu).</t>
  </si>
  <si>
    <t>MAY 22</t>
  </si>
  <si>
    <t>10.1098/rspb.2019.0353</t>
  </si>
  <si>
    <t>IB2QX</t>
  </si>
  <si>
    <t>WOS:000470114900006</t>
  </si>
  <si>
    <t>Beeman, JC; Gest, L; Parrenin, F; Raynaud, D; Fudge, TJ; Buizert, C; Brook, EJ</t>
  </si>
  <si>
    <t>Beeman, Jai Chowdhry; Gest, Lea; Parrenin, Frederic; Raynaud, Dominique; Fudge, Tyler J.; Buizert, Christo; Brook, Edward J.</t>
  </si>
  <si>
    <t>Antarctic temperature and CO2: near-synchrony yet variable phasing during the last deglaciation</t>
  </si>
  <si>
    <t>DEEP SOUTHERN-OCEAN; ATMOSPHERIC CO2; CARBON-DIOXIDE; ICE CORE; GREENLAND; CONSTRAINTS; RECORD; DIFFERENCE; CHRONOLOGY; INSOLATION</t>
  </si>
  <si>
    <t>The last deglaciation, which occurred from 18 000 to 11 000 years ago, is the most recent large natural climatic variation of global extent. With accurately dated paleoclimate records, we can investigate the timings of related variables in the climate system during this major transition. Here, we use an accurate relative chronology to compare temperature proxy data and global atmospheric CO2 as recorded in Antarctic ice cores. In addition to five regional records, we compare a delta O-18 stack, representing Antarctic climate variations with the high-resolution robustly dated WAIS Divide CO2 record (West Antarctic Ice Sheet). We assess the CO2 and Antarctic temperature phase relationship using a stochastic method to accurately identify the probable timings of changes in their trends. Four coherent changes are identified for the two series, and synchrony between CO2 and temperature is within the 95% uncertainty range for all of the changes except the end of glacial termination 1 (T1). During the onset of the last deglaciation at 18 ka and the deglaciation end at 11.5 ka, Antarctic temperature most likely led CO2 by several centuries (by 570 years, within a range of 127 to 751 years, 68% probability, at the T1 onset; and by 532 years, within a range of 337 to 629 years, 68% probability, at the deglaciation end). At 14.4 ka, the onset of the Antarctic Cold Reversal (ACR) period, our results do not show a clear lead or lag (Antarctic temperature leads by 50 years, within a range of -137 to 376 years, 68% probability). The same is true at the end of the ACR (CO2 leads by 65 years, within a range of 211 to 117 years, 68% probability). However, the timings of changes in trends for the individual proxy records show variations from the stack, indicating regional differences in the pattern of temperature change, particularly in the WAIS Divide record at the onset of the deglaciation; the Dome Fuji record at the deglaciation end; and the EDML record after 16 ka (EPICA Dronning Maud Land, where EPICA is the European Project for Ice Coring in Antarctica). In addition, two changes - one at 16 ka in the CO2 record and one after the ACR onset in three of the isotopic temperature records - do not have high-probability counterparts in the other record. The likely-variable phasing we identify testify to the complex nature of the mechanisms driving the carbon cycle and Antarctic temperature during the deglaciation.</t>
  </si>
  <si>
    <t>[Beeman, Jai Chowdhry; Gest, Lea; Parrenin, Frederic; Raynaud, Dominique] Univ Grenoble Alpes, CNRS, IRD, IGE, F-38000 Grenoble, France; [Fudge, Tyler J.] Univ Washington, Dept Earth &amp; Space Sci, Seattle, WA 98195 USA; [Buizert, Christo; Brook, Edward J.] Oregon State Univ, Coll Earth Ocean &amp; Atmospher Sci, Corvallis, OR 97331 USA</t>
  </si>
  <si>
    <t>Institut de Recherche pour le Developpement (IRD); Communaute Universite Grenoble Alpes; Universite Grenoble Alpes (UGA); Centre National de la Recherche Scientifique (CNRS); University of Washington; University of Washington Seattle; Oregon State University</t>
  </si>
  <si>
    <t>Parrenin, F (corresponding author), Univ Grenoble Alpes, CNRS, IRD, IGE, F-38000 Grenoble, France.</t>
  </si>
  <si>
    <t>frederic.parrenin@univ-grenoble-alpes.fr</t>
  </si>
  <si>
    <t>raynaud, dominique/ABG-4718-2020; Brook, Edward/AAB-7807-2021; Parrenin, Frédéric/H-3054-2014</t>
  </si>
  <si>
    <t>Parrenin, Frédéric/0000-0002-9489-3991; Fudge, Tyler/0000-0002-6818-7479; Chowdhry Beeman, Jai/0000-0003-1984-4484</t>
  </si>
  <si>
    <t>Centre National de la Recherche Scientifique (grant LEFE IceChrono); Fondation Ars et Cuttoli (grant CO2Role); Centre National de la Recherche Scientifique (LEFE CO2Role)</t>
  </si>
  <si>
    <t>This research has been supported by the Centre National de la Recherche Scientifique (grant LEFE IceChrono and LEFE CO2Role) and the Fondation Ars et Cuttoli (grant CO2Role).</t>
  </si>
  <si>
    <t>10.5194/cp-15-913-2019</t>
  </si>
  <si>
    <t>HZ3PZ</t>
  </si>
  <si>
    <t>WOS:000468762100001</t>
  </si>
  <si>
    <t>Borsetto, C; Amos, GCA; da Rocha, UN; Mitchell, AL; Finn, RD; Laidi, RF; Vallin, C; Pearce, DA; Newsham, KK; Wellington, EMH</t>
  </si>
  <si>
    <t>Borsetto, Chiara; Amos, Gregory C. A.; da Rocha, Ulisses Nunes; Mitchell, Alex L.; Finn, Robert D.; Laidi, Rabah Forar; Vallin, Carlos; Pearce, David A.; Newsham, Kevin K.; Wellington, Elizabeth M. H.</t>
  </si>
  <si>
    <t>Microbial community drivers of PK/NRP gene diversity in selected global soils</t>
  </si>
  <si>
    <t>MICROBIOME</t>
  </si>
  <si>
    <t>16S rRNA gene; PKS; NRPS; Natural product; BGCs; Soil; Biogeography; Endemicity; Antarctica</t>
  </si>
  <si>
    <t>SECONDARY METABOLISM; NATURAL-PRODUCTS; HIGH-THROUGHPUT; BIOSYNTHESIS; METAGENOMICS; BIOGEOGRAPHY; DISCOVERY; LIBRARIES; RESOURCE; INSIGHTS</t>
  </si>
  <si>
    <t>BackgroundThe emergence of antibiotic-resistant pathogens has created an urgent need for novel antimicrobial treatments. Advances in next-generation sequencing have opened new frontiers for discovery programmes for natural products allowing the exploitation of a larger fraction of the microbial community. Polyketide (PK) and non-ribosomal pepetide (NRP) natural products have been reported to be related to compounds with antimicrobial and anticancer activities. We report here a new culture-independent approach to explore bacterial biosynthetic diversity and determine bacterial phyla in the microbial community associated with PK and NRP diversity in selected soils.ResultsThrough amplicon sequencing, we explored the microbial diversity (16S rRNA gene) of 13 soils from Antarctica, Africa, Europe and a Caribbean island and correlated this with the amplicon diversity of the adenylation (A) and ketosynthase (KS) domains within functional genes coding for non-ribosomal peptide synthetases (NRPSs) and polyketide synthases (PKSs), which are involved in the production of NRP and PK, respectively. Mantel and Procrustes correlation analyses with microbial taxonomic data identified not only the well-studied phyla Actinobacteria and Proteobacteria, but also, interestingly, the less biotechnologically exploited phyla Verrucomicrobia and Bacteroidetes, as potential sources harbouring diverse A and KS domains. Some soils, notably that from Antarctica, provided evidence of endemic diversity, whilst others, such as those from Europe, clustered together. In particular, the majority of the domain reads from Antarctica remained unmatched to known sequences suggesting they could encode enzymes for potentially novel PK and NRP.ConclusionsThe approach presented here highlights potential sources of metabolic novelty in the environment which will be a useful precursor to metagenomic biosynthetic gene cluster mining for PKs and NRPs which could provide leads for new antimicrobial metabolites.</t>
  </si>
  <si>
    <t>[Borsetto, Chiara; Amos, Gregory C. A.; Wellington, Elizabeth M. H.] Univ Warwick, Sch Life Sci, Coventry, W Midlands, England; [da Rocha, Ulisses Nunes] UFZ Helmholtz Ctr Environm Res, Dept Environm Microbiol, Leipzig, Germany; [Mitchell, Alex L.; Finn, Robert D.] EMBL EBI European Bioinformat Inst, Wellcome Trust Genome Campus, Cambridge, England; [Laidi, Rabah Forar] ENS, Algiers, Algeria; [Vallin, Carlos] Ctr Pharmaceut Chem, Havana, Cuba; [Pearce, David A.] Northumbria Univ Newcastle, Fac Hlth &amp; Life Sci, Appl Sci, Ellison Bldg,Northumberland Rd, Newcastle Upon Tyne NE1 8ST, Tyne &amp; Wear, England; [Pearce, David A.; Newsham, Kevin K.] British Antarctic Survey, Nat Environm Res Council, Cambridge, England; [Amos, Gregory C. A.] GCAA Natl Inst Biol Stand &amp; Control NIBSC, Potters Bar, Herts, England</t>
  </si>
  <si>
    <t>University of Warwick; Helmholtz Association; Helmholtz Center for Environmental Research (UFZ); Wellcome Trust Sanger Institute; European Molecular Biology Laboratory (EMBL); Northumbria University; UK Research &amp; Innovation (UKRI); Natural Environment Research Council (NERC); NERC British Antarctic Survey</t>
  </si>
  <si>
    <t>Wellington, EMH (corresponding author), Univ Warwick, Sch Life Sci, Coventry, W Midlands, England.</t>
  </si>
  <si>
    <t>C.borsetto@warwick.ac.uk; E.M.H.Wellington@warwick.ac.uk</t>
  </si>
  <si>
    <t>Borsetto, Chiara/AAA-7315-2022; Rocha, Ulisses/AAE-5158-2021; Amos, Gregory/C-8790-2014</t>
  </si>
  <si>
    <t>Borsetto, Chiara/0000-0003-4848-9522; Rocha, Ulisses/0000-0001-6972-6692; Amos, Gregory/0000-0001-9748-1813; Mitchell, Alex/0000-0001-8655-7966; Pearce, David/0000-0001-5292-4596; Wellington, ELizabeth/0000-0002-4329-0699; Finn, Robert D./0000-0001-8626-2148</t>
  </si>
  <si>
    <t>European Union [289285]; Marie Curie Fellowship; NERC [My3820]; Warwick Ventures; Natural Environment Research Council through the British Antarctic Survey's Long Term Monitoring and Survey Programme; Biotechnology and Biological Sciences Research Council; European Nucleotide Archive repository under the BioProject [PRJEB11689]; BBSRC [BB/L027801/1] Funding Source: UKRI; NERC [bas0100036] Funding Source: UKRI</t>
  </si>
  <si>
    <t>European Union(European Union (EU)); Marie Curie Fellowship(European Union (EU)); NERC(UK Research &amp; Innovation (UKRI)Natural Environment Research Council (NERC)); Warwick Ventures; Natural Environment Research Council through the British Antarctic Survey's Long Term Monitoring and Survey Programme(UK Research &amp; Innovation (UKRI)Natural Environment Research Council (NERC)); Biotechnology and Biological Sciences Research Council(UK Research &amp; Innovation (UKRI)Biotechnology and Biological Sciences Research Council (BBSRC)); European Nucleotide Archive repository under the BioProject; BBSRC(UK Research &amp; Innovation (UKRI)Biotechnology and Biological Sciences Research Council (BBSRC)); NERC(UK Research &amp; Innovation (UKRI)Natural Environment Research Council (NERC))</t>
  </si>
  <si>
    <t>We gratefully acknowledge the support of European Union Seventh Framework Programme grant agreement No. 289285 and Marie Curie Fellowship for CB, NERC Innovation Fund A My3820 award joint with Warwick Ventures to EMHW and Natural Environment Research Council funding through the British Antarctic Survey's Long Term Monitoring and Survey Programme to DAP. EMHW acknowledges the support of Biotechnology and Biological Sciences Research Council network grant 'The exploitation of metagenomics and metaomics approaches in life science research ComMet'.; Availability of data and materials; The datasets generated and analysed during the current study are available in the European Nucleotide Archive repository under the BioProject PRJEB11689 (https://www.ebi.ac.uk/ena/data/view/PRJEB11689) and in the MGnify website under the study MGYS00000573 (https://www.ebi.ac.uk/metagenomics/studies/MGYS00000573).</t>
  </si>
  <si>
    <t>2049-2618</t>
  </si>
  <si>
    <t>Microbiome</t>
  </si>
  <si>
    <t>10.1186/s40168-019-0692-8</t>
  </si>
  <si>
    <t>HZ5BP</t>
  </si>
  <si>
    <t>WOS:000468865900001</t>
  </si>
  <si>
    <t>Listowski, C; Delanoë, J; Kirchgaessner, A; Lachlan-Cope, T; King, J</t>
  </si>
  <si>
    <t>Listowski, Constantino; Delanoe, Julien; Kirchgaessner, Amelie; Lachlan-Cope, Tom; King, John</t>
  </si>
  <si>
    <t>Antarctic clouds, supercooled liquid water and mixed phase, investigated with DARDAR: geographical and seasonal variations</t>
  </si>
  <si>
    <t>ARCTIC SEA-ICE; SOUTHERN-OCEAN; DUMONT DURVILLE; BOUNDARY-LAYER; BLOWING SNOW; SATELLITE-OBSERVATIONS; RADIATIVE PROPERTIES; WEST ANTARCTICA; ADELIE LAND; A-TRAIN</t>
  </si>
  <si>
    <t>Antarctic tropospheric clouds are investigated using the DARDAR (raDAR/liDAR)-MASK products between 60 and 82 degrees S. The cloud fraction (occurrence frequency) is divided into the supercooled liquid-water-containing cloud (SLC) fraction and its complementary part called the all-ice cloud fraction. A further distinction is made between SLC involving ice (mixed-phase clouds, MPC) or not (USLC, for unglaciated SLC). The low-level (&lt; 3 km above surface level) SLC fraction is larger over seas (20 %-60 %), where it varies according to sea ice fraction, than over continental regions (0 %-35 %). The total SLC fraction is much larger over West Antarctica (10 %-40 %) than it is over the Antarctic Plateau (0 %-10 %). In East Antarctica the total SLC fraction - in summer for instance - decreases sharply polewards with increasing surface height (decreasing temperatures) from 40 % at the coast to &lt; 5% at 82 degrees S on the plateau. The geographical distribution of the continental total all-ice fraction is shaped by the interaction of the main low-pressure systems surrounding the continent and the orography, with little association with the sea ice fraction. Opportunistic comparisons with published ground-based supercooled liquidwater observations at the South Pole in 2009 are made with our SLC fractions at 82 degrees S in terms of seasonal variability, showing good agreement. We demonstrate that the largest impact of sea ice on the low-level SLC fraction (and mostly through the MPC) occurs in autumn and winter (22 % and 18 % absolute decrease in the fraction between open water and sea ice-covered regions, respectively), while it is almost null in summer and intermediate in spring (11 %). Monthly variability of the MPC fraction over seas shows a maximum at the end of summer and a minimum in winter. Conversely, the USLC fraction has a maximum at the beginning of summer. However, monthly evolutions of MPC and USLC fractions do not differ on the continent. This suggests a seasonality in the glaciation process in marine liquid-bearing clouds. From the literature, we identify the pattern of the monthly evolution of the MPC fraction as being similar to that of the aerosols in coastal regions, which is related to marine biological activity. Marine bioaerosols are known to be efficient ice-nucleating particles (INPs). The emission of these INPs into the atmosphere from open waters would add to the temperature and sea ice fraction seasonalities as factors explaining the MPC fraction monthly evolution.</t>
  </si>
  <si>
    <t>[Listowski, Constantino; Delanoe, Julien] UPMC Univ Paris 06, LATMOS IPSL, UVSQ Univ Paris Saclay, Sorbonne Univ,CNRS, Guyancourt, France; [Kirchgaessner, Amelie; Lachlan-Cope, Tom; King, John] British Antarctic Survey, Nat Environm Res Council, Madingley Rd, Cambridge CB3 OET, England</t>
  </si>
  <si>
    <t>Sorbonne Universite; Universite Paris Saclay; Centre National de la Recherche Scientifique (CNRS); UK Research &amp; Innovation (UKRI); Natural Environment Research Council (NERC); NERC British Antarctic Survey</t>
  </si>
  <si>
    <t>Listowski, C (corresponding author), UPMC Univ Paris 06, LATMOS IPSL, UVSQ Univ Paris Saclay, Sorbonne Univ,CNRS, Guyancourt, France.</t>
  </si>
  <si>
    <t>constantino.listowski@latmos.ipsl.fr</t>
  </si>
  <si>
    <t>Kirchgaessner, Amelie/JGL-9010-2023; Listowski, Constantino/X-8595-2019</t>
  </si>
  <si>
    <t>Kirchgaessner, Amelie/0000-0001-7483-3652; Listowski, Constantino/0000-0001-8693-8689; King, John/0000-0003-3315-7568</t>
  </si>
  <si>
    <t>CNES; UK Natural Environment Research Council [NE/K01305X/1]; CNRS; UPMC; Labex L-IPSL; Ecole Polytechnique; NERC [bas0100032, NE/K01305X/1] Funding Source: UKRI</t>
  </si>
  <si>
    <t>CNES(Centre National D'etudes Spatiales); UK Natural Environment Research Council(UK Research &amp; Innovation (UKRI)Natural Environment Research Council (NERC)); CNRS(Centre National de la Recherche Scientifique (CNRS)); UPMC; Labex L-IPSL; Ecole Polytechnique; NERC(UK Research &amp; Innovation (UKRI)Natural Environment Research Council (NERC))</t>
  </si>
  <si>
    <t>We thank two anonymous reviewers, who helped clarify the manuscript and improve the presentation and the discussion of the method through their constructive comments. Constantino Listowski thanks CNES for postdoctoral fellowship funding. Amelie Kirchgaessner, Tom Lachlan-Cope and John King acknowledge the Microphysics of Antarctic Clouds project grant (NE/K01305X/1) funded by the UK Natural Environment Research Council. We thank the Aeris/ICARE data infrastructure for providing access to the DARDAR products used in this study, as well as for the processing of this data and for providing assistance (http://www.icare.univ-lille1.fr/, last access: December 2017). We thank the NASA CloudSat Project and NASA/LaRC/ASDC for making available the CloudSat and CALIPSO products, respectively, which are used to build the synergetic DARDAR products. We thank NOAA and NSIDC for making available the Climate Data Record of sea ice concentration. We thank the mesocentre ESPRI facility for distributing ERAI products in netcdf format, and which is supported by CNRS, UPMC, Labex L-IPSL, CNES and Ecole Polytechnique.</t>
  </si>
  <si>
    <t>MAY 21</t>
  </si>
  <si>
    <t>10.5194/acp-19-6771-2019</t>
  </si>
  <si>
    <t>HZ1EZ</t>
  </si>
  <si>
    <t>WOS:000468590900003</t>
  </si>
  <si>
    <t>Illuminati, S; Annibaldi, A; Truzzi, C; Tercier-Waeber, ML; Nöel, S; Braungardt, CB; Achterberg, EP; Howell, KA; Turner, D; Marini, M; Romagnoli, T; Totti, C; Confalonieri, F; Graziottin, F; Buffle, J; Scarponi, G</t>
  </si>
  <si>
    <t>Illuminati, Silvia; Annibaldi, Anna; Truzzi, Cristina; Tercier-Waeber, Mary-Lou; Noel, Stephane; Braungardt, Charlotte B.; Achterberg, Eric P.; Howell, Kate A.; Turner, David; Marini, Mauro; Romagnoli, Tiziana; Totti, Cecilia; Confalonieri, Fabio; Graziottin, Flavio; Buffle, Jacques; Scarponi, Giuseppe</t>
  </si>
  <si>
    <t>In-situ trace metal (Cd, Pb, Cu) speciation along the Po River plume (Northern Adriatic Sea) using submersible systems</t>
  </si>
  <si>
    <t>Metals; Speciation; Adriatic Sea; Voltainmetry</t>
  </si>
  <si>
    <t>ANODIC-STRIPPING VOLTAMMETRY; CHEMICAL SPECIATION; COASTAL WATERS; ORGANIC-CARBON; COPPER COMPLEXATION; DISSOLVED CADMIUM; CONTINENTAL-SHELF; ANTARCTIC AEROSOL; LIQUID-MEMBRANE; BENTHIC FLUXES</t>
  </si>
  <si>
    <t>Information on the distribution and speciation of trace metals is of critical importance for our ability to interpret the links between the bioavailability and uptake of an element, and its biogeochemical cycle in coastal environments. Within the framework of the European Project In-situ automated Monitoring of Trace metal speciation in Estuaries and Coastal zones in relation with the biogeochemical processes (IMTEC), the chemical speciation of Cd, Pb and Cu was carried out along the Po River plume in the period 27 October - 2 November 2002. During the cruise, five Voltammetric In-situ Profiling systems and one Multi Physical Chemical Profiler, as well as conventional voltammetric instruments, were successfully applied in order to evaluate the distribution of Cd, Pb and Cu between different fractions (free ion, dynamic, colloidal, dissolved and particulate fractions) and to assess the evolution of these fractions during estuarine mixing and in the water column. Dynamic concentrations were 0.05-0.2 nmol L-1 Cd, 0.02-0.2 nmol L-1 Pb, and 0.15-4.0 nmol L-1 Cu. Cd was mainly present as dynamic fraction (40-100% of the dissolved Cd). High proportions of Pb (similar to 70%) and Cu (similar to 80%) were present as colloids probably of biogenic origin. Principal components analysis reveals a strong influence of the Po River discharge on the spatial and vertical distributions of metal species. Almost all the metal fractions globally decreased following the salinity gradient. Metal concentrations are far below (at least one order of magnitude lower) the Environmental Quality Standard established by the Italian law. However, the Cu dynamic fraction showed concentrations likely to be toxic to sensitive phytoplankton community and to have negative effects on larva development of coastal macroinvertebrate species (toxicity data extracted from literature).</t>
  </si>
  <si>
    <t>[Illuminati, Silvia; Annibaldi, Anna; Truzzi, Cristina; Romagnoli, Tiziana; Totti, Cecilia; Scarponi, Giuseppe] Univ Politecn Marche, Dept Life &amp; Environm Sci, Via Brecce Bianche, I-60131 Ancona, Italy; [Tercier-Waeber, Mary-Lou; Noel, Stephane; Buffle, Jacques] Univ Geneva, CABE, Dept Inorgan &amp; Analyt Chem, Geneva, Switzerland; [Braungardt, Charlotte B.; Howell, Kate A.] Univ Plymouth, Sch Earth Ocean &amp; Environm, Plymouth, Devon, England; [Achterberg, Eric P.] Helmholtz Ctr Ocean Res Kiel, GEOMAR, Kiel, Germany; [Howell, Kate A.] Nanotecture Ltd, Epsilon House,Sci Pk, Southampton, Hants, England; [Turner, David] Univ Gothenburg, Dept Marine Sci, Gothenburg, Sweden; [Marini, Mauro] CNR IRBIM, Natl Res Council, Inst Marine Sci, Ancona, Italy; [Confalonieri, Fabio; Graziottin, Flavio] Idronaut Srl, Brugherio, MI, Italy</t>
  </si>
  <si>
    <t>Marche Polytechnic University; University of Geneva; University of Plymouth; Helmholtz Association; GEOMAR Helmholtz Center for Ocean Research Kiel; University of Gothenburg; Consiglio Nazionale delle Ricerche (CNR); Istituto di Scienze Marine (ISMAR-CNR); Istituto per le Risorse Biologiche Biotecnologie Marine (IRBIM-CNR)</t>
  </si>
  <si>
    <t>Truzzi, C (corresponding author), Univ Politecn Marche, Dept Life &amp; Environm Sci, Via Brecce Bianche, I-60131 Ancona, Italy.</t>
  </si>
  <si>
    <t>c.truzzi@univpm.it</t>
  </si>
  <si>
    <t>Scarponi, Giuseppe/AAQ-6394-2021; Achterberg, Eric P/C-5820-2009; Marini, Mauro/A-6477-2012; Illuminati, Silvia/GXZ-5038-2022; Illuminati, Silvia/T-7873-2019; Marini, Mauro/AAE-9399-2020; TOTTI, Cecilia Maria/A-9178-2016</t>
  </si>
  <si>
    <t>Scarponi, Giuseppe/0000-0003-2932-0596; Illuminati, Silvia/0000-0001-6465-5477; Marini, Mauro/0000-0002-9674-7197; TOTTI, Cecilia Maria/0000-0002-1532-6009; Romagnoli, Tiziana/0009-0009-5181-987X</t>
  </si>
  <si>
    <t>European IMTEC Project (In -situ Monitoring of Trace metal speciation in Estuaries and Coastal zones in relation with the biogeochemical processes) [EVK3-CT-2000-00036]</t>
  </si>
  <si>
    <t>European IMTEC Project (In -situ Monitoring of Trace metal speciation in Estuaries and Coastal zones in relation with the biogeochemical processes)</t>
  </si>
  <si>
    <t>The authors gratefully acknowledge financial support from the European IMTEC Project (In -situ Monitoring of Trace metal speciation in Estuaries and Coastal zones in relation with the biogeochemical processes, contract no. EVK3-CT-2000-00036). Many thanks are also due to Dr. Luca Lambertucci for his technical assistance.</t>
  </si>
  <si>
    <t>MAY 20</t>
  </si>
  <si>
    <t>10.1016/j.marchem.2019.04.001</t>
  </si>
  <si>
    <t>HZ9DL</t>
  </si>
  <si>
    <t>WOS:000469155900003</t>
  </si>
  <si>
    <t>Pardo, PC; Tilbrook, B; van Ooijen, E; Passmore, A; Neill, C; Jansen, P; Sutton, AJ; Trull, TW</t>
  </si>
  <si>
    <t>Pardo, Paula C.; Tilbrook, Bronte; van Ooijen, Erik; Passmore, Abraham; Neill, Craig; Jansen, Peter; Sutton, Adrienne J.; Trull, Thomas W.</t>
  </si>
  <si>
    <t>Surface ocean carbon dioxide variability in South Pacific boundary currents and Subantarctic waters</t>
  </si>
  <si>
    <t>TIME-SERIES; INORGANIC CARBON; SEAWATER PCO(2); LEEUWIN CURRENT; GLOBAL OCEAN; CO2; AUSTRALIA; CIRCULATION; GAS; TEMPERATURE</t>
  </si>
  <si>
    <t>To improve estimates of the long-term response of the marine carbon system to climate change a better understanding of the seasonal and interannual variability is needed. We use high-frequency multi-year data at three locations identified as climate change hotspots: two sites located close to South Pacific boundary currents and one in the Subantarctic Zone (SAZ). We investigate and identify the main drivers involved in the seasonal an interannual (2012-2016) variability of the carbon system. The seasonal variability at boundary current sites is temporally different and highly controlled by sea surface temperature. Advection processes also play a significant role on the monthly changes of the carbon system at the western boundary current site. The interannual variability at these sites most likely responds to long-term variability in oceanic circulation ultimately related to climatic indices such as the El Nino Southern Oscillation, the Pacific Decadal Oscillation and the Southern Annular Mode (SAM). In the SAZ, advection and entrainment processes drive most of the seasonality, augmented by the action of biological processes in spring. Given the relevance of advection and entrainment processes at SAZ, the interannual variability is most probably modulated by changes in the regional winds linked to the variability of the SAM.</t>
  </si>
  <si>
    <t>[Pardo, Paula C.; Tilbrook, Bronte; Trull, Thomas W.] ACE CRC, Hobart, Tas, Australia; [Tilbrook, Bronte; van Ooijen, Erik; Passmore, Abraham; Neill, Craig; Jansen, Peter; Trull, Thomas W.] CSIRO Oceans &amp; Atmosphere, Hobart, Tas, Australia; [Sutton, Adrienne J.] NOAA, Pacific Marine Environm Lab, 7600 Sand Point Way Ne, Seattle, WA 98115 USA</t>
  </si>
  <si>
    <t>Antarctic Climate &amp; Ecosystems Cooperative Research Centre (ACE CRC); Commonwealth Scientific &amp; Industrial Research Organisation (CSIRO); National Oceanic Atmospheric Admin (NOAA) - USA</t>
  </si>
  <si>
    <t>Pardo, PC (corresponding author), ACE CRC, Hobart, Tas, Australia.</t>
  </si>
  <si>
    <t>paula.condepardo@csiro.au</t>
  </si>
  <si>
    <t>van Ooijen, Eikbert D/C-9502-2009; Tilbrook, Bronte/W-4007-2019; C. Pardo, Paula/A-8217-2019; Sutton, Adrienne/C-7725-2015</t>
  </si>
  <si>
    <t>Tilbrook, Bronte/0000-0001-9385-3827; C. Pardo, Paula/0000-0001-6348-2332; Sutton, Adrienne/0000-0002-7414-7035; van Ooijen, Erik/0000-0002-5059-5271</t>
  </si>
  <si>
    <t>ACE-CRC Project: Carbon uptake and chemical change [R2.1]; Australian Integrated Marine Observing System (IMOS); Australian Marine National Facility (MNF)</t>
  </si>
  <si>
    <t>ACE-CRC Project: Carbon uptake and chemical change; Australian Integrated Marine Observing System (IMOS); Australian Marine National Facility (MNF)</t>
  </si>
  <si>
    <t>We thank Kate Berry for high quality DIC and AT data from the NRS stations and CTDs at SOTS as well as the scientific and engineering staff from CSIRO and NOAA/PMEL and the ship crews involved in the deployment and recovery of the moorings and the data quality control. This is PMEL contribution #4876. Paula C. Pardo is a postdoctoral fellow supported by the ACE-CRC Project R2.1: Carbon uptake and chemical change. All three time series sites are supported by the Australian Integrated Marine Observing System (IMOS). Annual SOTS voyages are supported by the Australian Marine National Facility (MNF), with backup provided by the Australian Antarctic Science program.</t>
  </si>
  <si>
    <t>10.1038/s41598-019-44109-2</t>
  </si>
  <si>
    <t>HY7AA</t>
  </si>
  <si>
    <t>WOS:000468281500022</t>
  </si>
  <si>
    <t>Bokhorst, S; Convey, P; Aerts, R</t>
  </si>
  <si>
    <t>Bokhorst, Stef; Convey, Peter; Aerts, Rien</t>
  </si>
  <si>
    <t>Nitrogen Inputs by Marine Vertebrates Drive Abundance and Richness in Antarctic Terrestrial Ecosystems</t>
  </si>
  <si>
    <t>CURRENT BIOLOGY</t>
  </si>
  <si>
    <t>LONG-TERM; PENGUIN POPULATIONS; SOIL RESPIRATION; ISLAND; PLANT; COMMUNITIES; GRASSLAND; DIVERSITY; DYNAMICS; NUNATAK</t>
  </si>
  <si>
    <t>Biodiversity is threatened by climate change and other human activities [1], but to assess impacts, we also need to identify the current distribution of species on Earth. Predicting abundance and richness patterns is difficult in many regions and especially so on the remote Antarctic continent, due to periods of snow cover, which limit remote sensing, and the small size of the biota present. As the Earth's coldest continent, temperature and water availability have received particular attention in understanding patterns of Antarctic biodiversity [2], whereas nitrogen availability has received less attention [3]. Nitrogen input by birds is a major nutrient source in many regions on Earth [4-7], and input from penguins and seals is associated with increased plant growth [8-10] and soil respiration [11-13] at some Antarctic locations. However, the consequences of increased nitrogen concentrations in Antarctic mosses and lichens for their associated food web has hardly been addressed [14, 15], despite the fact that nutrient status of primary producers affects the abundance and diversity of higher trophic levels [16, 17]. We show that nitrogen input and delta N-15 signatures from marine vertebrates are associated with terrestrial biodiversity hotspots well beyond (&gt;1,000 m) their immediate colony borders along the Antarctic Peninsula. Invertebrate abundance and richness was two to eight times higher under penguin and elephant seal influence. The nitrogen footprint area was correlated with the vertebrate population size. These findings improve our ability to predict biogeographical patterns of Antarctic terrestrial biodiversity through knowledge of the location and size of penguin and elephant seal concentrations.</t>
  </si>
  <si>
    <t>[Bokhorst, Stef; Aerts, Rien] Vrije Univ Amsterdam, Dept Ecol Sci, De Boelelaan 1085, NL-1081 HV Amsterdam, Netherlands; [Convey, Peter] British Antarctic Survey, Nat Environm Res Council, Madingley Rd, Cambridge CB3 0ET, England</t>
  </si>
  <si>
    <t>Vrije Universiteit Amsterdam; UK Research &amp; Innovation (UKRI); Natural Environment Research Council (NERC); NERC British Antarctic Survey</t>
  </si>
  <si>
    <t>Bokhorst, S (corresponding author), Vrije Univ Amsterdam, Dept Ecol Sci, De Boelelaan 1085, NL-1081 HV Amsterdam, Netherlands.</t>
  </si>
  <si>
    <t>s.f.bokhorst@vu.nl</t>
  </si>
  <si>
    <t>Bokhorst, Stef/D-1858-2009; Convey, Peter/AAV-5728-2020</t>
  </si>
  <si>
    <t>Convey, Peter/0000-0001-8497-9903; Aerts, Rien/0000-0001-6694-0669; Bokhorst, Stef/0000-0003-0184-1162</t>
  </si>
  <si>
    <t>Netherlands Polar Programme [NPP-NWO 851.20.016]; Natural Environment Research Council; NERC [bas0100036] Funding Source: UKRI</t>
  </si>
  <si>
    <t>Netherlands Polar Programme; Natural Environment Research Council(UK Research &amp; Innovation (UKRI)Natural Environment Research Council (NERC)); NERC(UK Research &amp; Innovation (UKRI)Natural Environment Research Council (NERC))</t>
  </si>
  <si>
    <t>We are grateful for the logistical support given by the British Antarctic Survey, the Spanish Antarctic program, and HMS Protector during the fieldwork. We would like to thank all colleagues, field assistants, and boating personnel who supported our field campaigns and laboratory work and provided statistical support, particularly Richard van Logtestijn, James Weedon, Rob Broekman, Hans Cornelissen, Stacey Adlard, Mairi Fenton, Ali Massey, Scott Webster, Alistair Docherty, Emily Davey, and Inge Bokhorst de Vries. We are very grateful to Laura Gerrish (BAS Mapping and Geographic Information Centre) for her assistance in preparation of Figure 3. This work was funded by a grant from the Netherlands Polar Programme (NPP-NWO 851.20.016) and by Natural Environment Research Council core funding to the British Antarctic Survey Biodiversity, Evolution, and Adaptation team. This manuscript was improved by constructive comments from three anonymous reviewers.</t>
  </si>
  <si>
    <t>CELL PRESS</t>
  </si>
  <si>
    <t>50 HAMPSHIRE ST, FLOOR 5, CAMBRIDGE, MA 02139 USA</t>
  </si>
  <si>
    <t>0960-9822</t>
  </si>
  <si>
    <t>1879-0445</t>
  </si>
  <si>
    <t>CURR BIOL</t>
  </si>
  <si>
    <t>Curr. Biol.</t>
  </si>
  <si>
    <t>10.1016/j.cub.2019.04.038</t>
  </si>
  <si>
    <t>Biochemistry &amp; Molecular Biology; Biology; Cell Biology</t>
  </si>
  <si>
    <t>Biochemistry &amp; Molecular Biology; Life Sciences &amp; Biomedicine - Other Topics; Cell Biology</t>
  </si>
  <si>
    <t>HY8RW</t>
  </si>
  <si>
    <t>WOS:000468409100033</t>
  </si>
  <si>
    <t>Josso, P; Parkinson, I; Horstwood, M; Lusty, P; Chenery, S; Murton, B</t>
  </si>
  <si>
    <t>Josso, Pierre; Parkinson, Ian; Horstwood, Matthew; Lusty, Paul; Chenery, Simon; Murton, Bramley</t>
  </si>
  <si>
    <t>Improving confidence in ferromanganese crust age models: A composite geochemical approach</t>
  </si>
  <si>
    <t>Age model; Fe-Mn crust; Tropic seamount; Os isotopes; Co-chronometer; U-Pb LA-ICP-MS; Statistical modelling; Markov Chain Monte Carlo simulation</t>
  </si>
  <si>
    <t>CENTRAL NORTH PACIFIC; FE-MN CRUSTS; DEEP-WATER; ND ISOTOPES; GROWTH-RATES; NE ATLANTIC; PB; SEAWATER; OSMIUM; OCEAN</t>
  </si>
  <si>
    <t>Accurate age models for marine ferromanganese (Fe-Mn) crusts are essential to understand paleoceanographic changes and variations in local environmental factors affecting crust growth rate and their lateral continuity. However, no absolute method exists for dating these deposits beyond the age of 10 Myr, which requires the combination of a number of approaches. Here, we present a composite age model for a 15 cm thick Fe-Mn crust sample obtained by unique core drilling using a remotely operated vehicle at a water depth of 1130 m, on the summit of Tropic Seamount, in the north-east Atlantic. The age model is based on cross-validation of laser-ablation U-Pb dating, Co-chronometry and Os isotopes. These enable robust calibration of the age-depth model using the Bayesian statistical modelling of Markov Chain Monte Carlo (MCMC) simulations. The results show that this Fe-Mn crust commenced growth in the Late Cretaceous between 73 and 77 Ma, and grew at a rate between 1 and 24 mm/Myr, averaging 4 mm/Myr. The phosphatised carbonate substrate, capping Tropic Seamount and underlying most of the Fe-Mn crusts, yields a U-Pb age of 84 +/- 4 Myr, and provides the upper age limit for the model. Less radiogenic excursions of Os-188/Os-187 in the vertical profile through the crust permit the identification of key inflection points in the Os isotope seawater curve at the Eocene-Oligocene and Cretaceous-Paleogene transitions. Growth rates estimated from the empirical Co-chronometer are combined with the age envelope defined by the Os data and used to validate the MCMC simulations. The model identifies five hiatuses that occurred during the Pliocene (2.5 +/- 1.9-5.3 +/- 1.7 Ma), Early Miocene (16 +/- 1-27 +/- 2 Ma), Oligocene (29 +/- 2-32 +/- 1 Ma), Eocene (41 +/- 2-52 +/- 0.6 Ma), and the Late Paleocene (55 +/- 1-59 +/- 1.4 Ma). A major phosphatisation event affecting the Fe-Mn core can be dated to the Late Eocene (38 +/- 1.2 Ma), which coincides with a recorded change in the global oceanic system, from warm and sluggish circulation to cold and vigorous thermohaline-driven meridional overturn at the onset of Antarctic glaciation.</t>
  </si>
  <si>
    <t>[Josso, Pierre; Horstwood, Matthew; Lusty, Paul; Chenery, Simon] British Geol Survey, Environm Sci Ctr, Nottingham NG12 5GG, England; [Parkinson, Ian] Univ Bristol, Sch Earth Sci, Wills Mem Bldg,Queens Rd, Clifton BS8 1RJ, England; [Murton, Bramley] Natl Oceanog Ctr, Waterfront Campus,European Way, Southampton SO14 3ZH, Hants, England</t>
  </si>
  <si>
    <t>UK Research &amp; Innovation (UKRI); Natural Environment Research Council (NERC); NERC British Geological Survey; University of Bristol; NERC National Oceanography Centre; University of Southampton</t>
  </si>
  <si>
    <t>Josso, P (corresponding author), British Geol Survey, Environm Sci Ctr, Nottingham NG12 5GG, England.</t>
  </si>
  <si>
    <t>piesso@bgs.ac.uk</t>
  </si>
  <si>
    <t>Parkinson, Ian J/C-7398-2009; Chenery, Simon/G-4733-2013</t>
  </si>
  <si>
    <t>Chenery, Simon/0000-0002-4096-0183; Horstwood, Matthew/0000-0003-4200-8193; Parkinson, Ian/0000-0001-6380-7061</t>
  </si>
  <si>
    <t>Natural Environmental Research Council (NERC) [NE/M011186/1, NE/M011151/1]; NERC [NE/M011186/1, bgs05010, NE/M011151/1, noc010011, NE/M011186/2, NE/R000123/1] Funding Source: UKRI</t>
  </si>
  <si>
    <t>Natural Environmental Research Council (NERC)(UK Research &amp; Innovation (UKRI)Natural Environment Research Council (NERC)); NERC(UK Research &amp; Innovation (UKRI)Natural Environment Research Council (NERC))</t>
  </si>
  <si>
    <t>PJ, PL, MH, SC, JR publish with the permission of the Executive Director, British Geological Survey (UKRI). This research was supported by Natural Environmental Research Council (NERC) grants NE/M011186/1 (awarded to B. Murton) and NE/M011151/1 (awarded to P. Lusty), which fund the MarineE-Tech project. We wish to thank the Editor, Dr. B. Peucker-Ehrenbrink, and another anonymous reviewer for their helpful comments to improve this manuscript. The authors gratefully thank the team involved in the RRS James Cook JC142 expedition to Tropic Seamount in 2016. Leanne Staddon is thanked for her help in the laboratory at the University of Bristol, and Christopher Williams, Diana Sahy and Tim Van Peer for their help in discussing the statistical modelling.</t>
  </si>
  <si>
    <t>10.1016/j.chemgeo.2019.03.003</t>
  </si>
  <si>
    <t>HS6UQ</t>
  </si>
  <si>
    <t>WOS:000464007200009</t>
  </si>
  <si>
    <t>Zhang, T; Zhou, CX; Zheng, L</t>
  </si>
  <si>
    <t>Zhang, Teng; Zhou, Chunxia; Zheng, Lei</t>
  </si>
  <si>
    <t>Analysis of the temporal-spatial changes in surface radiation budget over the Antarctic sea ice region</t>
  </si>
  <si>
    <t>Antarctic sea ice region; Surface radiation budget; Cloud fractional cover; Long wave radiation; Shortwave radiation</t>
  </si>
  <si>
    <t>AVHRR POLAR PATHFINDER; CLOUD COVER; LONGWAVE RADIATION; DYNAMIC THRESHOLDS; SOLAR IRRADIANCE; ENERGY BUDGET; NET-RADIATION; CLIMATE; TRENDS; ALBEDO</t>
  </si>
  <si>
    <t>The surface radiation budget (SRB) of the Antarctic sea ice region (ASIR) is important for the climate change in Antarctica, which partly explains the global warming. Long-term (1982-2015) satellite-derived (EUMETSAT Satellite Application Facility on Climate Monitoring, CLARA-A2) and reanalysis (European Centre for Medium-Range Weather Forecasts, ERA-Interim) datasets provided high qualify and global coverage surface radiation products, which enabled us to quantify the SRB of the ASIR and widen our understanding of the polar climate. The downwelling longwave (LW) and shortwave (SW) radiation from the two datasets were validated at two Baseline Surface Radiation Network Stations (i.e., Neumayer and Syowa). Cloud LW emission dominated over cloud SW reflection and absorption due to high-albedo over the sea ice surface, thereby leading to a positive all wave cloud radiative forcing (CRF) within 0-100 W m(-2). This result indicated a warming effect. on the surface of the ASIR, except during the austral summer. Compared with the all sky, substantial solar radiation was absorbed by the surface which under the clear sky will result in the increasing of temperature and sea ice melting during the austral summer; hence, the SW CRF had a major influence on all-wave CRF and caused more than -150 W m(-2) of cooling near the edge of the sea ice. The summer averages of all-wave CRF over the ASIR surface were -43.02 and -35.74 W m(-2) for the ERA-Interim and CLARA-A2 datasets, respectively. Contrary to the effect of CRF, the surface net LW radiation (LWnet) exhibited a cooling effect over the ASIR surface throughout the year and peaks at -47.21 W m(-2) for CLARA-A2 dataset in December. Meanwhile, a warming effect was caused by the surface net SW radiation (SWnet) peaks at 101.52 and 104.09 W m(-2) for the ERA-Interim and CLARA-A2 datasets, respectively. In summer, the warming effect caused by the surface net all-wave radiation in East Antarctica was deeper than that in West Antarctica. The time series and trend analysis showed that the surface net radiation and CRF over the entire ASIR basically exhibited a decreasing trend. The descending speed of SWnet (-3.652 W m(-2) decade(-1)) about five times faster than that of LWnet (-0.722 W m(-2) decade(-1)). Although a significant trough appeared in 1993/1994 of the time series curves of All-wave CRF, it had a deeply negative trend with about -3.443 W m(-2) decade(-1). Detailed analysis on the five longitudinal sectors around Antarctica (the Weddell Sea, the Indian Ocean, the Pacific Ocean, the Ross Sea, and the Bellingshausen-Amundsen Sea) can further help us understand the SRB of the ASIR. (C) 2019 Elsevier B.V. All rights reserved.</t>
  </si>
  <si>
    <t>[Zhang, Teng; Zhou, Chunxia; Zheng, Lei] Wuhan Univ, Chinese Antarctic Ctr Surveying &amp; Mappigg, Wuhan 430079, Hubei, Peoples R China</t>
  </si>
  <si>
    <t>Zhou, CX (corresponding author), Wuhan Univ, Chinese Antarctic Ctr Surveying &amp; Mappigg, Wuhan 430079, Hubei, Peoples R China.</t>
  </si>
  <si>
    <t>moxiaobei@whu.edu.cn; zhoucx@whu.edu.cn</t>
  </si>
  <si>
    <t>Zheng, Lei/AAU-3788-2020</t>
  </si>
  <si>
    <t>National Natural Science Foundation of China [41776200, 41531069, 41376187]; National Key Research and Development Program of China [2018YFC1406102]</t>
  </si>
  <si>
    <t>National Natural Science Foundation of China(National Natural Science Foundation of China (NSFC)); National Key Research and Development Program of China</t>
  </si>
  <si>
    <t>We sincerely thank the EUMETSAT Climate Monitoring Satellite Application Facility (CM SAF) project for providing the CLARA-A2 dataset. We are extremely grateful for the surface radiant fluxes provided by the ERA-Interim reanalysis dataset, which was produced by ECMWF. We are also thankful to the World Climate Research Programme BSRN for providing high quality and temporal resolution ground-based data. And, we are deeply thankful for the SIC products provided by the NSIDC. Thisworkwas supported by the National Natural Science Foundation of China (No. 41776200, 41531069 and 41376187) and the National Key Research and Development Program of China (2018YFC1406102).</t>
  </si>
  <si>
    <t>10.1016/j.scitotenv.2019.02.264</t>
  </si>
  <si>
    <t>HR5IQ</t>
  </si>
  <si>
    <t>WOS:000463180700108</t>
  </si>
  <si>
    <t>Puskic, PS; Lavers, JL; Adams, LR; Grünenwald, M; Hutton, I; Bond, AL</t>
  </si>
  <si>
    <t>Puskic, Peter S.; Lavers, Jennifer L.; Adams, Louise R.; Grunenwald, Martin; Hutton, Ian; Bond, Alexander L.</t>
  </si>
  <si>
    <t>Uncovering the sub-lethal impacts of plastic ingestion by shearwaters using fatty acid analysis</t>
  </si>
  <si>
    <t>CONSERVATION PHYSIOLOGY</t>
  </si>
  <si>
    <t>Marine debris; nutritional composition; plastic pollution; procellariiform; seabirds</t>
  </si>
  <si>
    <t>FLESH-FOOTED SHEARWATERS; ADIPOSE-TISSUE; MARINE DEBRIS; STOMACH OIL; DIET; ACCUMULATION; SIGNATURES; RESTRICTION; RESERVES; OBESITY</t>
  </si>
  <si>
    <t>Marine plastic pollution is increasing exponentially, impacting an expanding number of taxa each year across all trophic levels. Of all bird groups, seabirds display the highest plastic ingestion rates and are regarded as sentinels of pollution within their foraging regions. The consumption of plastic contributes to sub-lethal impacts (i.e. morbidity, starvation) in a handful of species. Additional data on these sub-lethal effects are needed urgently to better understand the scope and severity of the plastics issue. Here we explore the application of fatty acid (FA) analysis as a novel tool to investigate sub-lethal impacts of plastic ingestion on seabird body condition and health. Using gas chromatography-mass spectrometry, we identified 37 individual FAs within the adipose, breast muscle and liver of flesh-footed (Ardenna carneipes) and short-tailed (Ardenna tenuirostris) shearwaters. We found high amounts of FA 16 0, 18:0, 20:5n3 (eicosapentaenoic acid), 22: 6n3 (docosahexaenoic acid) and 18: 1n9 in both species; however, the overall FA composition of the two species differed significantly. In flesh-footed shearwaters, high amounts of saturated and mono-unsaturated FAs (needed for fast and slow release energy, respectively) in the adipose and muscle tissues were related to greater bird body mass. While total FAs were not related to the amount of plastic ingested in either species, these data are a valuable contribution to the limited literature on FAs in seabirds. We encourage studies to explore other analytical tools to detect these sub-lethal impacts of plastic.</t>
  </si>
  <si>
    <t>[Puskic, Peter S.; Adams, Louise R.; Grunenwald, Martin] Univ Tasmania, Inst Marine &amp; Antarctic Studies, Sch Rd, Newnham, Tas 7250, Australia; [Lavers, Jennifer L.; Bond, Alexander L.] Univ Tasmania, Inst Marine &amp; Antarctic Studies, 20 Castray Esplanade, Battery Point, Tas 7004, Australia; [Hutton, Ian] Lord Howe Isl Museum, POB 157, Lord Howe Isl, NSW 2898, Australia; [Bond, Alexander L.] Nat Hist Museum, Dept Life Sci, Bird Grp, Akeman St, Tring HP23 6AP, Herts, England</t>
  </si>
  <si>
    <t>University of Tasmania; University of Tasmania; Natural History Museum London</t>
  </si>
  <si>
    <t>Jennifer.lavers@utas.edu.au</t>
  </si>
  <si>
    <t>Adams, Louise/AAH-4511-2020; Puskic, Peter S/AAD-7887-2022; Lavers, Jennifer/O-4831-2017; Lavers, Jennifer/IWM-5417-2023; Puskic, Peter/AAT-9362-2020; Bond, Alexander L/A-3786-2010</t>
  </si>
  <si>
    <t>Adams, Louise/0000-0001-5535-5253; Puskic, Peter S/0000-0003-1352-8843; Lavers, Jennifer/0000-0001-7596-6588;</t>
  </si>
  <si>
    <t>Australian Wildlife Society; Living Ocean; BirdLife Tasmania; Detached Foundation; Sea World Research &amp; Rescue Foundation [SWR/4/2015]</t>
  </si>
  <si>
    <t>Australian Wildlife Society; Living Ocean; BirdLife Tasmania; Detached Foundation; Sea World Research &amp; Rescue Foundation</t>
  </si>
  <si>
    <t>Funding was provided by the Australian Wildlife Society, Living Ocean, BirdLife Tasmania, Detached Foundation, Sea World Research &amp; Rescue Foundation (SWR/4/2015), C. Noone and L. Bryce.</t>
  </si>
  <si>
    <t>2051-1434</t>
  </si>
  <si>
    <t>CONSERV PHYSIOL</t>
  </si>
  <si>
    <t>Conserv. Physiol.</t>
  </si>
  <si>
    <t>MAY 16</t>
  </si>
  <si>
    <t>coz017</t>
  </si>
  <si>
    <t>10.1093/conphys/coz017</t>
  </si>
  <si>
    <t>Biodiversity Conservation; Ecology; Environmental Sciences; Physiology</t>
  </si>
  <si>
    <t>Biodiversity &amp; Conservation; Environmental Sciences &amp; Ecology; Physiology</t>
  </si>
  <si>
    <t>IV8CI</t>
  </si>
  <si>
    <t>WOS:000484493000002</t>
  </si>
  <si>
    <t>Joughin, I; Smith, BE; Schoof, CG</t>
  </si>
  <si>
    <t>Joughin, Ian; Smith, Benjamin E.; Schoof, Christian G.</t>
  </si>
  <si>
    <t>Regularized Coulomb Friction Laws for Ice Sheet Sliding: Application to Pine Island Glacier, Antarctica</t>
  </si>
  <si>
    <t>WEST ANTARCTICA; STREAM-B; GREENLAND; FLOW; VELOCITY; THWAITES; SENSITIVITY; SYSTEM; MELT</t>
  </si>
  <si>
    <t>The choice of the best basal friction law to use in ice-sheet models remains a source of uncertainty in projections of sea level. The parameters in commonly used friction laws can produce a broad range of behavior and are poorly constrained. Here we use a time series of elevation and speed data to examine the simulated transient response of Pine Island Glacier, Antarctica, to a loss of basal traction as its grounding line retreats. We evaluate a variety of friction laws, which produces a diversity of responses, to determine which best reproduces the observed speedup when forced with the observed thinning. Forms of the commonly used power law friction provide much larger model-data disagreement than less commonly used regularized Coulomb friction in which cavitation effects yield an upper bound on basal friction. Thus, adoption of such friction laws could substantially improve the fidelity of large-scale simulations to determine future sea level. Plain Language Summary Although much effort has gone into improving numerical simulations of ice-sheet behavior for sea-level projection, the best choice for the friction law that governs the sliding of ice over its bed remains poorly known. As a consequence, a wide range of friction laws is used by the ice-sheet modeling community. Here we take advantage of several remotely sensed data sets to model the changes in speed of Pine Island Glacier, Antarctica, over nearly two decades, using a variety of existing friction laws. We find that the behavior of this glacier is simulated far more faithfully relative to observations when a regularized Coulomb friction law is used. This type of friction law accounts for the formation of pressurized basal water pockets (cavitation) that occur when ice slides rapidly over its bed, which limits friction in a way that may amplify ice-sheet instability. By contrast, low-order exponents in more traditional power law friction parameterizations yield unbounded basal friction as speed increases, placing a much stronger brake on unstable ice-sheet behavior. Thus, these results make a strong case for adopting bounded regularized Coulomb friction laws in place of the more commonly used unbounded friction laws.</t>
  </si>
  <si>
    <t>[Joughin, Ian; Smith, Benjamin E.] Univ Washington, Appl Phys Lab, Polar Sci Lerner, Seattle, WA 98105 USA; [Schoof, Christian G.] Univ British Columbia, Dept Earth Ocean &amp; Atmospher Sci, Vancouver, BC, Canada</t>
  </si>
  <si>
    <t>University of Washington; University of Washington Seattle; University of British Columbia</t>
  </si>
  <si>
    <t>Joughin, I (corresponding author), Univ Washington, Appl Phys Lab, Polar Sci Lerner, Seattle, WA 98105 USA.</t>
  </si>
  <si>
    <t>ian@apl.washington.edu</t>
  </si>
  <si>
    <t>Joughin, Ian/AAR-7778-2021</t>
  </si>
  <si>
    <t>Joughin, Ian/0000-0001-6229-679X</t>
  </si>
  <si>
    <t>National Aeronautics and Space Administration (NASA) [NNX17AG54G]; Natural Science and Engineering Research Council of Canada</t>
  </si>
  <si>
    <t>National Aeronautics and Space Administration (NASA)(National Aeronautics &amp; Space Administration (NASA)); Natural Science and Engineering Research Council of Canada(Natural Sciences and Engineering Research Council of Canada (NSERC))</t>
  </si>
  <si>
    <t>We acknowledge support for contributions by I. J. and B. S. from the National Aeronautics and Space Administration (NASA grant NNX17AG54G). Support for C. G. S. was provided by Natural Science and Engineering Research Council of Canada. The radar data used to derive velocities were provided by the Canadian Space Agency (RADARSAT), the Japanese Space Agency (PALSAR), the German Space Agency (TerraSAR-X), and the combined efforts of European Union's Copernicus Program and European Space Agency (ESA; ERS 1 &amp; 2; and Sentinel 1A/B). Surface elevation data were provided by NASA's ICESAT and Operation IceBridge programs, the Reference Elevation Model of Antarctic (REMA), and ESA's CryoSAT 2 instrument. The gridded velocity, surface and bed elevation, and height-above-flotation products used to constrain the model are permanently archived at the University of Washington ResearchWorks Archive (http://hdl.handle.net/1773/43479). M. Morlighem provided the bed topography map. Comments by M. Maki improved the readability of the manuscript. Comments by M. Morlighem and two anonymous reviewers led to further improvements.</t>
  </si>
  <si>
    <t>10.1029/2019GL082526</t>
  </si>
  <si>
    <t>HZ5CY</t>
  </si>
  <si>
    <t>WOS:000468869500024</t>
  </si>
  <si>
    <t>Guo, GJ; Shi, JX; Gao, LB; Tamura, T; Williams, GD</t>
  </si>
  <si>
    <t>Guo, Guijun; Shi, Jiuxin; Gao, Libao; Tamura, Takeshi; Williams, Guy D.</t>
  </si>
  <si>
    <t>Reduced Sea Ice Production Due to Upwelled Oceanic Heat Flux in Prydz Bay, East Antarctica</t>
  </si>
  <si>
    <t>BOTTOM WATER FORMATION; OCEANOGRAPHY; REGION; SUPPRESSION; POLYNYA</t>
  </si>
  <si>
    <t>The coastal shelf region of East Antarctica is hypothesized to be shielded from the offshore heat of Circumpolar Deep Water (CDW) due to the dynamic barrier of the Antarctic Slope Front. Yet modified CDW (mCDW) intrudes into the coastal environment in key locations, with impacts on dense shelf water formation and ocean/ice shelf interaction that remain largely unquantified. Using moored measurements and conductivity-temperature-depth-instrumented seal hydrographic data collected in Prydz Bay, East Antarctica, we find buoyancy-driven upwelling of mCDW into the subsurface (similar to 50 m) layer of the southeastern embayment. Wintertime convection extends as deep as 300 m, entraining heat of the upwelled mCDW to the surface. Accumulated sensible heat supply to the surface through deep convection during June-July reduces the potential sea ice production by 45% in the Davis Polynya, demonstrating that stronger/warmer mCDW intrusions onto the shelf will likely reduce the shelf water density and threaten Antarctic Bottom Water formation. Plain Language Summary Sea ice formation in key coastal polynyas (areas of open water or newly formed thin ice in the middle of the extensive pack ice) around Antarctica is critical to Antarctic Bottom Water (AABW) production. The intrusion of warm, modified Circumpolar Deep Water (mCDW) onto the continental shelf in East Antarctica conveys heat toward the shelf region at intermediate depth, capable of impacting sea ice formation in coastal polynyas. Here we use moored measurements and conductivity-temperature-depth-instrumented seal hydrographic data to shed new light on the interaction between sea ice formation and the heat flux from these mCDW intrusions. Due to the buoyancy contrast with the cold, dense shelf water, the warmer mCDW upwells to shallower depths in the coastal regions. When the winter freezing season begins, surface cooling and brine rejection due to sea ice formation drive convection, deepening the mixed layer and entraining heat of the upwelled mCDW to the surface, which results in a negative feedback that reduces sea ice production. The processes identified in this study have strong implications for AABW production, given the projected increase of mCDW intrusions in the future.</t>
  </si>
  <si>
    <t>[Guo, Guijun; Gao, Libao] First Inst Oceanog, Ctr Ocean &amp; Climate Xesearch, Qingdao, Shandong, Peoples R China; [Guo, Guijun; Shi, Jiuxin; Gao, Libao] Qingdao Natl Lab Marine Sci &amp; Technol, Qingdao, Shandong, Peoples R China; [Guo, Guijun; Shi, Jiuxin] Ocean Univ China, Key Lab Phys Oceanog, Qingdao, Shandong, Peoples R China; [Tamura, Takeshi] Natl Inst Polar Res, Tachikawa, Tokyo, Japan; [Tamura, Takeshi] Grad Univ Adv Studies, SOKENDAI, Tachikawa, Tokyo, Japan; [Tamura, Takeshi; Williams, Guy D.] Univ Tasmania, Antarctic Climate &amp; Ecosyst Cooperat Res Ctr, Hobart, Tas, Australia; [Williams, Guy D.] Univ Tasmania, Inst Marine &amp; Antarctic Studies, Hobart, Tas, Australia</t>
  </si>
  <si>
    <t>First Institute of Oceanography, Ministry of Natural Resources; Laoshan Laboratory; Ocean University of China; Research Organization of Information &amp; Systems (ROIS); National Institute of Polar Research (NIPR) - Japan; Graduate University for Advanced Studies - Japan; Antarctic Climate &amp; Ecosystems Cooperative Research Centre (ACE CRC); University of Tasmania; University of Tasmania</t>
  </si>
  <si>
    <t>Guo, GJ; Gao, LB (corresponding author), First Inst Oceanog, Ctr Ocean &amp; Climate Xesearch, Qingdao, Shandong, Peoples R China.;Guo, GJ; Shi, JX; Gao, LB (corresponding author), Qingdao Natl Lab Marine Sci &amp; Technol, Qingdao, Shandong, Peoples R China.;Guo, GJ; Shi, JX (corresponding author), Ocean Univ China, Key Lab Phys Oceanog, Qingdao, Shandong, Peoples R China.</t>
  </si>
  <si>
    <t>guoguijun@fio.org.cn; shijiuxin@ouc.edu.cn; gaolb@fio.org.cn</t>
  </si>
  <si>
    <t>Guo, Guijun/AAO-3686-2021; Shi, Jiuxin/AAK-5495-2021</t>
  </si>
  <si>
    <t>Shi, Jiuxin/0000-0002-5825-8894; Gao, Libao/0000-0002-0402-9340; Williams, Guy/0000-0002-3975-2977; Guo, Guijun/0000-0002-1437-1561</t>
  </si>
  <si>
    <t>National Key R&amp;D Program of China - Ministry of Science and Technology of the People's Republic of China (MOST) [2018YFA0605701]; National Natural Science Foundation of China [41706220, 41876231]; Basic Scientific Fund for National Public Research Institutes of China [2018S02]; Australian Research Council; Antarctic Climate and Ecosystems Cooperative Research Centre; Japanese Ministry of Education, Culture, Sports, Science and Technology [17H04710]; Grants-in-Aid for Scientific Research [17H04710] Funding Source: KAKEN</t>
  </si>
  <si>
    <t>National Key R&amp;D Program of China - Ministry of Science and Technology of the People's Republic of China (MOST); National Natural Science Foundation of China(National Natural Science Foundation of China (NSFC)); Basic Scientific Fund for National Public Research Institutes of China; Australian Research Council(Australian Research Council); Antarctic Climate and Ecosystems Cooperative Research Centre(Australian GovernmentDepartment of Industry, Innovation and ScienceCooperative Research Centres (CRC) Programme); Japanese Ministry of Education, Culture, Sports, Science and Technology(Ministry of Education, Culture, Sports, Science and Technology, Japan (MEXT)); Grants-in-Aid for Scientific Research(Ministry of Education, Culture, Sports, Science and Technology, Japan (MEXT)Japan Society for the Promotion of ScienceGrants-in-Aid for Scientific Research (KAKENHI))</t>
  </si>
  <si>
    <t>This work was supported by the National Key R&amp;D Program of China (2018YFA0605701) funded by the Ministry of Science and Technology of the People's Republic of China (MOST), National Natural Science Foundation of China (41706220 and 41876231), and Basic Scientific Fund for National Public Research Institutes of China (2018S02). G. Williams was supported through the Australian Research Council and Antarctic Climate and Ecosystems Cooperative Research Centre. T. Tamura was supported by funds from the Grant-in-Aids for Scientific Research (17H04710) of the Japanese Ministry of Education, Culture, Sports, Science and Technology. The mooring data of M10 are available at Chinese National Arctic and Antarctic Data Center (http://www.chinare.org.cn).Current measurements from mooring M03 (originally called 85/03) are available from https://data.aad.gov.au/metadata/records/AADC-00044 (Reeve, 1999). Elephant seal hydrographic data were collected and made freely available by the International MEOP Consortium and the national programs that contribute to it (http://www.meop.net).</t>
  </si>
  <si>
    <t>10.1029/2018GL081463</t>
  </si>
  <si>
    <t>WOS:000468869500026</t>
  </si>
  <si>
    <t>Núñez-Montero, K; Lamilla, C; Abanto, M; Maruyama, F; Jorquera, MA; Santos, A; Martinez-Urtaza, J; Barrientos, L</t>
  </si>
  <si>
    <t>Nunez-Montero, Kattia; Lamilla, Claudio; Abanto, Michel; Maruyama, Fumito; Jorquera, Milko A.; Santos, Andres; Martinez-Urtaza, Jaime; Barrientos, Leticia</t>
  </si>
  <si>
    <t>Antarctic Streptomyces fildesensis So13.3 strain as a promising source for antimicrobials discovery</t>
  </si>
  <si>
    <t>COMPLETE GENOME SEQUENCE; MICROBIAL GENOMES; NATURAL-PRODUCTS; SECONDARY METABOLISM; GENE CLUSTERS; ANTIBIOTICS; ANTIBACTERIAL; BIOSYNTHESIS; ACTINOBACTERIA; IDENTIFICATION</t>
  </si>
  <si>
    <t>Antarctic have been suggested as an attractive source for antibiotics discovery and members of Streptomyces genus have historically been studied as natural producers of antimicrobial metabolites. Nonetheless, our knowledge on antibiotic-producing Streptomyces from Antarctic is very limited. In this study, the antimicrobial activity of organic extracts from Antarctic Streptomyces strains was evaluated by disk diffusion assays and minimum inhibitory concentration. The strain Streptomyces sp. So13.3 showed the greatest antibiotic activity (MIC = 15.6 mu g/mL) against Gram-positive bacteria and growth reduction of Gram. negative pathogens. The bioactive fraction in the crude extract was revealed by TLC-bioautography at R-f = 0.78 with molecular weight between 148 and 624 m/z detected by LC-ESI-MS/MS. The strain So13.3 was taxonomically affiliated as Streptomyces fildesensis. Whole genome sequencing and analysis suggested a 9.47 Mb genome size with 42 predicted biosynthetic gene clusters (BGCs) and 56 putative clusters representing a 22% of total genome content. Interestingly, a large number of them (11 of 42 BGCs and 40 of 56 putative BGCs), did not show similarities with other known BGCs. Our results highlight the potential of the Antarctic Streptomyces strains as a promising source of novel antimicrobials, particularly the strain Streptomyces fildesensis So13.3, which first draft genome is reported in this work.</t>
  </si>
  <si>
    <t>[Nunez-Montero, Kattia; Lamilla, Claudio; Santos, Andres; Barrientos, Leticia] Univ La Frontera, Ctr Excelencia Med Traslac, Lab Biol Mol Aplicada, Temuco, Chile; [Nunez-Montero, Kattia; Lamilla, Claudio; Abanto, Michel; Maruyama, Fumito; Jorquera, Milko A.; Santos, Andres; Barrientos, Leticia] Univ La Frontera, Nucleo Cient &amp; Tecnol Biorecursos BIOREN, Temuco, Chile; [Nunez-Montero, Kattia] Inst Tecnol Costa Rica, Ctr Invest Biotecnol, Escuela Biol, Cartago, Costa Rica; [Maruyama, Fumito] Kyoto Univ, Grad Sch Med, Dept Microbiol, Sakyo Ku, Yoshida Konoe Cho, Kyoto, Japan; [Jorquera, Milko A.] Univ La Frontera, Dept Ciencias Quim &amp; Recursos Nat, Lab Ecol Microbiana Aplicada, Temuco, Chile; [Santos, Andres; Martinez-Urtaza, Jaime] CEFAS, Barrack Rd, Weymouth DT4 8UB, Dorset, England</t>
  </si>
  <si>
    <t>Universidad de La Frontera; Universidad de La Frontera; Instituto Tecnologico de Costa Rica; Kyoto University; Universidad de La Frontera; Centre for Environment Fisheries &amp; Aquaculture Science</t>
  </si>
  <si>
    <t>Barrientos, L (corresponding author), Univ La Frontera, Ctr Excelencia Med Traslac, Lab Biol Mol Aplicada, Temuco, Chile.;Barrientos, L (corresponding author), Univ La Frontera, Nucleo Cient &amp; Tecnol Biorecursos BIOREN, Temuco, Chile.</t>
  </si>
  <si>
    <t>leticia.barrientos@ufrontera.cl</t>
  </si>
  <si>
    <t>Marin, Michel Abanto/AAH-3245-2019; Lamilla, Claudio/HSF-0976-2023; Maruyama, Fumito/AAK-5928-2020; Jorquera, Milko Alberto/B-7378-2011; Martinez-Urtaza, Jaime/ABG-5429-2020; JORQUERA, MILKO/O-3038-2019; Santos, Andres/AAB-2096-2022; Barrientos, Leticia/R-6205-2017; Núñez-Montero, Kattia/AAM-6767-2021</t>
  </si>
  <si>
    <t>Marin, Michel Abanto/0000-0001-9136-0041; Maruyama, Fumito/0000-0003-2347-616X; Martinez-Urtaza, Jaime/0000-0001-6219-0418; JORQUERA, MILKO/0000-0003-4760-6379; Barrientos, Leticia/0000-0002-5344-054X; Núñez-Montero, Kattia/0000-0002-8629-5107; Lamilla, Claudio Andres/0000-0003-0490-6945</t>
  </si>
  <si>
    <t>Instituto Antartico Chileno (INACH) [INACH RT_ 14-12]; Universidad de La Frontera [DI17-0116]; Network for Extreme Environments Research [NXR17-0003]; Grant INACH [RT_02-16]; JST/JICA SATREPS; Comision Nacional de Investigacion Cientifica y Tecnologica (CONICYT) [CONICYT-PFCHA/Doctorado Nacional/2017-21170263, CONICYT-PFCHA/Doctorado Nacional/2017-21171392]</t>
  </si>
  <si>
    <t>Instituto Antartico Chileno (INACH); Universidad de La Frontera; Network for Extreme Environments Research; Grant INACH; JST/JICA SATREPS(Japan Science &amp; Technology Agency (JST)); Comision Nacional de Investigacion Cientifica y Tecnologica (CONICYT)(Comision Nacional de Investigacion Cientifica y Tecnologica (CONICYT))</t>
  </si>
  <si>
    <t>We thank Dr. Alejandro Cuevas and Dr. Monica Pavez for providing the pathogenic strains and Dr. Paris Lavin for providing the Decept Streptomyces strain. We also thank Judith Hoffman from Northern Light Translations for the English revision of this paper. L. Barrientos thanks to the Instituto Antartico Chileno (INACH) for Grant INACH RT_ 14-12, Universidad de La Frontera for Grant DI17-0116 and Network for Extreme Environments Research (NXR17-0003). M.A. Jorquera thanks to the Grant INACH (RT_02-16), F. Maruyama thanks to the Grant by JST/JICA SATREPS, K. Nunez-Montero thanks to Doctoral Grant CONICYT-PFCHA/Doctorado Nacional/2017-21170263 and A. Santos thanks to Doctoral Grant CONICYT-PFCHA/Doctorado Nacional/2017-21171392 from Comision Nacional de Investigacion Cientifica y Tecnologica (CONICYT).</t>
  </si>
  <si>
    <t>10.1038/s41598-019-43960-7</t>
  </si>
  <si>
    <t>HY3KT</t>
  </si>
  <si>
    <t>WOS:000468026100030</t>
  </si>
  <si>
    <t>Lavers, JL; Dicks, L; Dicks, MR; Finger, A</t>
  </si>
  <si>
    <t>Lavers, J. L.; Dicks, L.; Dicks, M. R.; Finger, A.</t>
  </si>
  <si>
    <t>Significant plastic accumulation on the Cocos (Keeling) Islands, Australia</t>
  </si>
  <si>
    <t>MARINE DEBRIS; BASE-LINE; MICROPLASTICS; POLLUTION; BEACHES; TOURISM; LITTER; IMPACT</t>
  </si>
  <si>
    <t>For over 60 years, our oceans have been a reservoir for exponentially increasing amounts of plastic waste. Plastic has been documented at all levels of the marine food web, from the deepest oceanic trenches to the most far-flung beaches. Here, we present data on the presence of significant quantities of plastic on the remote Cocos (Keeling) Island group, located 2,100 km off the northwest coast of Australia. From our comprehensive surveys of debris on the beach surface, buried, and beach-back vegetation, we estimate there are 414 million anthropogenic debris items, weighing 238 tonnes, currently deposited on the Cocos (Keeling) Island group. Of the identifiable items, similar to 25% were classified as disposable plastics, including straws, bags, and toothbrushes. Debris buried up to 10 cm below the surface is estimated to account for 93% (similar to 383 million items) of all debris present on Cocos, the majority of which (similar to 60%) is comprised of micro-debris (2-5 mm). In the absence of meaningful change, debris will accumulate rapidly on the world's beaches. Small, buried items pose considerable challenges for wildlife, and volunteers charged with the task of cleaning-up, thus preventing new items from entering the ocean remains key to addressing this issue.</t>
  </si>
  <si>
    <t>[Lavers, J. L.] Univ Tasmania, Inst Marine &amp; Antarctic Studies, 20 Castray Esplanade, Battery Point, Tas 7004, Australia; [Dicks, L.; Dicks, M. R.] Sea Shepherd Australia Marine Debris, POB 1215, Williamtown, Vic 3016, Australia; [Finger, A.] Victoria Univ, Inst Sustainable Ind &amp; Liveable Cities, POB 14428, Melbourne, Vic 8001, Australia</t>
  </si>
  <si>
    <t>University of Tasmania; Melbourne Genomics Health Alliance; Victoria University</t>
  </si>
  <si>
    <t>Dicks, Leon/X-6642-2019; Lavers, Jennifer/O-4831-2017; Lavers, Jennifer/IWM-5417-2023</t>
  </si>
  <si>
    <t>Lavers, Jennifer/0000-0001-7596-6588;</t>
  </si>
  <si>
    <t>Tangaroa Blue; Two Hands Project; Keep Australia Beautiful; Government of Western Australia (Dept. of Environment Regulation); Sea Shepherd Marine Debris Australia</t>
  </si>
  <si>
    <t>Our sincere thanks to Tangaroa Blue, the Two Hands Project, Government of Western Australia (Dept. of Environment Regulation), Keep Australia Beautiful, and Sea Shepherd Marine Debris Australia for generously providing accommodation, funding, or logistical support for this project. Samples were collected with approval from the Australian Director of National Parks (permit no. PKNP_2016_2). Assistance in the field was provided by a dedicated group of volunteers from the Two Hands Project (S. Stuckenbrock &amp; P. Sharp), Tangaroa Blue Foundation (especially H. Taylor, M. Wheldon, and C. McCartney), Plastic Free July (R. Prince-Ruiz), Keep Australia Beautiful (M. Maher), the local Cocos community (particularly E. Washer &amp; C. Edwards), and National Parks staff (T. Flores, M. Lenane, I. MacRae, &amp; G. Williams). Finally, our thanks to S. Bin Muzaffar, G. McClelland, C. Ratajczak, J. &amp; D. Rogers, S. Stuckenbrock (Two Hands Project), and the Seychelles Islands Foundation for generously providing photos for Figure 3. Comments from A. Bond, S. Claflin, and two anonymous reviewers improved earlier drafts.</t>
  </si>
  <si>
    <t>10.1038/s41598-019-43375-4</t>
  </si>
  <si>
    <t>HY3KQ</t>
  </si>
  <si>
    <t>WOS:000468025800001</t>
  </si>
  <si>
    <t>Anderson, K; Luckenbach, JA; Yamamoto, Y; Elizur, A</t>
  </si>
  <si>
    <t>Anderson, Kelli; Luckenbach, J. Adam; Yamamoto, Yoji; Elizur, Abigail</t>
  </si>
  <si>
    <t>Impacts of Fsh, Igf1, and high temperature on the expression of genes involved in steroidogenesis, cell communication, and apoptosis in isolated coho salmon previtellogenic ovarian follicles</t>
  </si>
  <si>
    <t>Ovarian steroidogenesis; Atresia; Apoptosis; Climate change; Hormonal rescue</t>
  </si>
  <si>
    <t>GROWTH-FACTOR-I; REPRODUCTIVE ENDOCRINE AXIS; FEMALE ATLANTIC SALMON; MESSENGER-RNA EXPRESSION; STIMULATING-HORMONE; TRANSCRIPTIONAL REGULATION; GONADOTROPIN RECEPTORS; ONCORHYNCHUS-KISUTCH; WATER TEMPERATURES; FOLLICULAR ATRESIA</t>
  </si>
  <si>
    <t>In salmonids, exposure to elevated temperature impairs oogenesis. As such, there is a need to understand the molecular mechanisms that underpin this process, and develop mitigation strategies that maintain or rescue reproductive development in broodstock. In this study, follicle stimulating hormone (Fsh) and/or insulin-like growth factor 1 (Igf1) treatment were assessed for their ability to promote reproductive function at 14 and 22 degrees C in ovarian follicles from coho salmon in vitro. Maintenance at 22 degrees C resulted in the downregulation of fsh receptor, 17 alpha-hydroxylase/C17,20-lyase and p450 aromatase a (cyp19a1a), and connexin 34.3 (cx34.3). While combined treatment with Fsh and Igf1 stimulated the expression of cyp19a1a at 14 degrees C, this treatment was not effective at 22 degrees C. Upregulation of cx34.3 occurred in response to treatments that contained Igf1 regardless of temperature, and there is evidence to suggest that apoptosis was inhibited to some extent at 22 degrees C following combined treatment with Fsh and Igf1. This study demonstrates the thermal impairment of key reproductive genes, and highlights the potential for novel hormone treatments to rescue oogenesis in salmonids.</t>
  </si>
  <si>
    <t>[Anderson, Kelli; Elizur, Abigail] Univ Sunshine Coast, Genecol Res Ctr, Locked Bag 4, Maroochydore, Qld 4558, Australia; [Anderson, Kelli] Univ Tasmania, Inst Marine &amp; Antarctic Studies, Newnham Campus,Private Bag 1345, Launceston, Tas 7001, Australia; [Luckenbach, J. Adam] NOAA, Environm &amp; Fisheries Sci Div, Northwest Fisheries Sci Ctr, Natl Marine Fisheries Serv, 2725 Montlake Blvd E, Seattle, WA 98112 USA; [Luckenbach, J. Adam] Washington State Univ, Ctr Reprod Biol, Pullman, WA 99164 USA; [Yamamoto, Yoji] Univ Washington, Sch Aquat &amp; Fishery Sci, Seattle, WA 98195 USA; [Yamamoto, Yoji] Tokyo Univ Marine Sci &amp; Technol, Dept Marine Biosci, Minato Ku, Tokyo 1088477, Japan</t>
  </si>
  <si>
    <t>University of the Sunshine Coast; University of Tasmania; National Oceanic Atmospheric Admin (NOAA) - USA; Washington State University; University of Washington; University of Washington Seattle; Tokyo University of Marine Science &amp; Technology</t>
  </si>
  <si>
    <t>Anderson, K (corresponding author), Inst Marine &amp; Antarctic Studies, Locked Bag 1345, Launceston, Tas 7001, Australia.</t>
  </si>
  <si>
    <t>kelli.anderson@utas.edu.au</t>
  </si>
  <si>
    <t>Yamamoto, Yoji/O-1958-2014; Elizur, Abigail/B-7708-2012</t>
  </si>
  <si>
    <t>Anderson, Kelli/0000-0001-7749-4641; Elizur, Abigail/0000-0002-2960-302X; Yamamoto, Yoji/0000-0002-9628-6706</t>
  </si>
  <si>
    <t>Australian Seafood Cooperative Research Centre [2008/762, 2010/719]; Australian Post Graduate Award through the University of the Sunshine Coast; National Research Initiative Competitive Grant from the USDA National Institute of Food and Agriculture [2007-35203-18082]; Australian Federal Government</t>
  </si>
  <si>
    <t>Australian Seafood Cooperative Research Centre(Australian GovernmentDepartment of Industry, Innovation and ScienceCooperative Research Centres (CRC) Programme); Australian Post Graduate Award through the University of the Sunshine Coast; National Research Initiative Competitive Grant from the USDA National Institute of Food and Agriculture; Australian Federal Government(Australian Government)</t>
  </si>
  <si>
    <t>This work was supported by the Australian Seafood Cooperative Research Centre (grants 2008/762 and 2010/719). KA was supported by an Australian Post Graduate Award through the University of the Sunshine Coast, and JAL was supported by National Research Initiative Competitive Grant No. 2007-35203-18082 from the USDA National Institute of Food and Agriculture. Australian Post Graduate Awards are funded by the Australian Federal Government but are provided by universities.</t>
  </si>
  <si>
    <t>MAY 15</t>
  </si>
  <si>
    <t>10.1016/j.aquaculture.2019.03.025</t>
  </si>
  <si>
    <t>IC6VT</t>
  </si>
  <si>
    <t>WOS:000471111300008</t>
  </si>
  <si>
    <t>Soppa, MA; Pefanis, V; Hellmann, S; Losa, SN; Hölemann, J; Martynov, F; Heim, B; Janout, MA; Dinter, T; Rozanov, V; Bracher, A</t>
  </si>
  <si>
    <t>Soppa, Mariana A.; Pefanis, Vasileios; Hellmann, Sebastian; Losa, Svetlana N.; Hoelemann, Jens; Martynov, Fedor; Heim, Birgit; Janout, Markus A.; Dinter, Tilman; Rozanov, Vladimir; Bracher, Astrid</t>
  </si>
  <si>
    <t>Assessing the Influence of Water Constituents on the Radiative Heating of Laptev Sea Shelf Waters</t>
  </si>
  <si>
    <t>radiative transfer modeling; remote sensing; MERIS; heat budget; optically active water constituents; CDOM; TSM; Arctic</t>
  </si>
  <si>
    <t>INHERENT OPTICAL-PROPERTIES; WESTERN ARCTIC-OCEAN; ORGANIC-MATTER; TRANSFER MODEL; LENA RIVER; ABSORPTION; ICE; ATMOSPHERE; SCATTERING; LIGHT</t>
  </si>
  <si>
    <t>The presence of optically active water constituents is known to attenuate the light penetration in the ocean and impact the ocean heat content. Here, we investigate the influence of colored dissolved organic matter (CDOM) and total suspended matter (TSM) on the radiative heating of the Laptev Sea shelf waters. The Laptev Sea region is heavily influenced by the Lena River, one of the largest river systems in the Arctic region. We simulate the radiative heating by using a coupled atmosphere-ocean radiative transfer model (RTM) and in situ measurements from the TRANSDRIFT XVII expedition carried out in September 2010. The results indicate that CDOM and TSM have significant influence on the energy budget of the Laptev Sea shelf waters, absorbing most of the solar energy in the first 2 m of the water column. In the station with the highest CDOM absorption (a(CDOM)(443) = 1.77 m(-1))similar to 43% more energy is absorbed in the surface layer compared to the station with the lowest a(CDOM)(443) (similar to 0.2 m(-1)), which translates to an increased radiative heating of similar to 0.6 degrees C/day. The increased absorbed energy by the water constituents also implies increased sea ice melt rate and changes in the surface heat fluxes to the atmosphere. By using satellite remote sensing and RTM we quantify the spatial distribution of the radiative heating in the Laptev Sea for a typical summer day. The combined use of satellite remote sensing, RT modeling and in situ observations can be used to improve parameterization schemes in atmosphere-ocean circulation models to assess the role of the ocean in the effect of Arctic amplification.</t>
  </si>
  <si>
    <t>[Soppa, Mariana A.; Pefanis, Vasileios; Hellmann, Sebastian; Losa, Svetlana N.; Hoelemann, Jens; Janout, Markus A.; Dinter, Tilman; Bracher, Astrid] Helmholtz Ctr Polar &amp; Marine Res, Dept Climate Sci, Alfred Wegener Inst, Bremerhaven, Germany; [Pefanis, Vasileios; Rozanov, Vladimir; Bracher, Astrid] Univ Bremen, Inst Environm Phys, Dept Phys &amp; Elect Engn, Bremen, Germany; [Hellmann, Sebastian] Swiss Fed Inst Technol, Lab Hydraul Hydrol &amp; Glaciol VAW, Zurich, Switzerland; [Martynov, Fedor] Arctic &amp; Antarctic Res Inst, Otto Schmidt Lab Marine &amp; Polar Res, St Petersburg, Russia; [Heim, Birgit] Helmholtz Ctr Polar &amp; Marine Res, Alfred Wegener Inst, Dept Geosci, Potsdam, Germany</t>
  </si>
  <si>
    <t>Helmholtz Association; Alfred Wegener Institute, Helmholtz Centre for Polar &amp; Marine Research; University of Bremen; Swiss Federal Institutes of Technology Domain; ETH Zurich; Arctic &amp; Antarctic Research Institute; Helmholtz Association; Alfred Wegener Institute, Helmholtz Centre for Polar &amp; Marine Research</t>
  </si>
  <si>
    <t>Soppa, MA (corresponding author), Helmholtz Ctr Polar &amp; Marine Res, Dept Climate Sci, Alfred Wegener Inst, Bremerhaven, Germany.</t>
  </si>
  <si>
    <t>msoppa@awi.de</t>
  </si>
  <si>
    <t>Bracher, Astrid/B-7805-2013; Loza, Svetlana N./E-3099-2019; Bracher, Astrid/I-2672-2013; amplification, ³ - Arctic/AAU-6640-2020; Soppa, Mariana A./F-3878-2011; Janout, Markus/AAI-7219-2020; Hoelemann, Jens/N-3608-2016; Heim, Birgit/B-2815-2017</t>
  </si>
  <si>
    <t>Loza, Svetlana N./0000-0003-2153-1954; Bracher, Astrid/0000-0003-3025-5517; Hoelemann, Jens/0000-0001-5102-4086; Hellmann, Sebastian/0000-0002-2365-7369; Pefanis, Vasileios/0000-0002-9082-7153; Heim, Birgit/0000-0003-2614-9391; Altenburg Soppa, Mariana/0000-0002-5100-8809</t>
  </si>
  <si>
    <t>Deutsche Forschungsgemeinschaft (DFG, German Research Foundation), within the Transregional Collaborative Research Center ArctiC Amplification: Climate Relevant Atmospheric and SurfaCe Processes, and Feedback Mechanisms (AC)3 [268020496-TRR 172]; Helmholtz Climate Initiative REKLIM (regional climate changes); Federal Ministry of Economics and Technology (BMWi); German Aerospace Centre [50 EE 1620]; German Federal Ministry of Education and Research [03G0833, 03F0776]; Russian Ministry of Education and Science</t>
  </si>
  <si>
    <t>Deutsche Forschungsgemeinschaft (DFG, German Research Foundation), within the Transregional Collaborative Research Center ArctiC Amplification: Climate Relevant Atmospheric and SurfaCe Processes, and Feedback Mechanisms (AC)3(German Research Foundation (DFG)); Helmholtz Climate Initiative REKLIM (regional climate changes); Federal Ministry of Economics and Technology (BMWi)(Federal Ministry for Economic Affairs and Energy (BMWi)); German Aerospace Centre; German Federal Ministry of Education and Research(Federal Ministry of Education &amp; Research (BMBF)); Russian Ministry of Education and Science(Ministry of Education and Science, Russian Federation)</t>
  </si>
  <si>
    <t>We gratefully acknowledge the funding by the Deutsche Forschungsgemeinschaft (DFG, German Research Foundation)-Projektnummer 268020496-TRR 172, within the Transregional Collaborative Research Center ArctiC Amplification: Climate Relevant Atmospheric and SurfaCe Processes, and Feedback Mechanisms (AC)3 (Projects C3, B1, and B2). We also thank the funding by the Helmholtz Climate Initiative REKLIM (regional climate changes) and by the Federal Ministry of Economics and Technology (BMWi) and the German Aerospace Centre grant number 50 EE 1620. The long-term Russian-German TRANSDRIFT expeditions in the Laptev Sea region were supported by the German Federal Ministry of Education and Research project numbers (03G0833, 03F0776) and the Russian Ministry of Education and Science.</t>
  </si>
  <si>
    <t>10.3389/fmars.2019.00221</t>
  </si>
  <si>
    <t>HY2BD</t>
  </si>
  <si>
    <t>WOS:000467920700001</t>
  </si>
  <si>
    <t>Li, W; Morgan-Kiss, RM</t>
  </si>
  <si>
    <t>Li, Wei; Morgan-Kiss, Rachael M.</t>
  </si>
  <si>
    <t>Influence of Environmental Drivers and Potential Interactions on the Distribution of Microbial Communities From Three Permanently Stratified Antarctic Lakes</t>
  </si>
  <si>
    <t>aquatic protists; heterotrophic bacteria; interactions; environmental drivers; McMurdo Dry Valley lakes</t>
  </si>
  <si>
    <t>MCMURDO DRY VALLEYS; SP NOV.; TAYLOR VALLEY; MIXOTROPHIC CRYPTOPHYTES; POLAR NIGHT; ICE; DIVERSITY; BACTERIA; CARBON; FRYXELL</t>
  </si>
  <si>
    <t>The McMurdo Dry Valley (MDV) lakes represent unique habitats in the microbial world. Perennial ice covers protect liquid water columns from either significant allochthonous inputs or seasonal mixing, resulting in centuries of stable biogeochemistry. Extreme environmental conditions including low seasonal photosynthetically active radiation (PAR), near freezing temperatures, and oligotrophy have precluded higher trophic levels from the food webs. Despite these limitations, diverse microbial life flourishes in the stratified water columns, including Archaea, bacteria, fungi, protists, and viruses. While a few recent studies have applied next generation sequencing, a thorough understanding of the MDV lake microbial diversity and community structure is currently lacking. Here we used Illumina MiSeq sequencing of the 16S and 18S rRNA genes combined with a microscopic survey of key eukaryotes to compare the community structure and potential interactions among the bacterial and eukaryal communities within the water columns of Lakes Bonney (east and west lobes, ELB, and WLB, respectively) and Fryxell (FRX). Communities were distinct between the upper, oxic layers and the dark, anoxic waters, particularly among the bacterial communities residing in WLB and FRX. Both eukaryal and bacterial community structure was influenced by different biogeochemical parameters in the oxic and anoxic zones. Bacteria formed complex interaction networks which were lake-specific. Several eukaryotes exhibit potential interactions with bacteria in ELB and WLB, while interactions between these groups in the more productive FRX were relatively rare.</t>
  </si>
  <si>
    <t>[Li, Wei] Montana State Univ, Dept Land Resources &amp; Environm Sci, Bozeman, MT 59717 USA; [Morgan-Kiss, Rachael M.] Miami Univ, Dept Microbiol, Oxford, OH 45056 USA</t>
  </si>
  <si>
    <t>Montana State University System; Montana State University Bozeman; University System of Ohio; Miami University</t>
  </si>
  <si>
    <t>Morgan-Kiss, RM (corresponding author), Miami Univ, Dept Microbiol, Oxford, OH 45056 USA.</t>
  </si>
  <si>
    <t>NSF Office of Polar Programs [OPP-1056396, OPP-1637708]</t>
  </si>
  <si>
    <t>NSF Office of Polar Programs(National Science Foundation (NSF))</t>
  </si>
  <si>
    <t>This work was supported by NSF Office of Polar Programs Grants OPP-1056396 and OPP-1637708.</t>
  </si>
  <si>
    <t>10.3389/fmicb.2019.01067</t>
  </si>
  <si>
    <t>HY2NA</t>
  </si>
  <si>
    <t>WOS:000467958000001</t>
  </si>
  <si>
    <t>Bell, ST; Brown, SG; Mitchell, T</t>
  </si>
  <si>
    <t>Bell, Suzanne T.; Brown, Shanique G.; Mitchell, Tyree</t>
  </si>
  <si>
    <t>What We Know About Team Dynamics for Long-Distance Space Missions: A Systematic Review of Analog Research</t>
  </si>
  <si>
    <t>FRONTIERS IN PSYCHOLOGY</t>
  </si>
  <si>
    <t>team dynamics/processes; space exploration; astronaut; conflict; small sample; analog; over time changes; teams and groups</t>
  </si>
  <si>
    <t>PSYCHOLOGICAL ADAPTATION; CREW; PERFORMANCE; MOOD; BEHAVIOR; METAANALYSIS; LEADERSHIP; EXPEDITION; COHESION; EXTREME</t>
  </si>
  <si>
    <t>Background: To anticipate the dynamics of future long-distance space exploration mission (LDSEM) teams, research is conducted in analog environments (e.g., Antarctic expeditions, space chamber simulations), or environments that share key contextual features of LDSEM such as isolation and confinement. We conducted a systematic review of research conducted on teams in LDSEM-analog environments to identify which factors have been examined with quantitative research, and to summarize what the studies reveal about team dynamics in LDSEM-analog environments. Methods: We used a comprehensive search strategy to identify research on teams that lived and worked together. Data on team dynamics were extracted where possible, and sources were coded for key contextual features. The data did not lend themselves to traditional meta-analysis. We used two approaches to summarize the data: a weighted averages approach when the study reported enough data to calculate an effect size, and descriptive figures when data across studies were directly comparable. Results: Seventy-two sources met our inclusion criteria, yielding 253 effect sizes and 1,150 data points. Results from our weighted averages approach suggested that the team cohesion and performance relationship may be operating differently in isolated and confined environments than other teams that lived and worked together (e.g., military teams), and that, given the available data, we can say very little about the magnitude and direction of the relationship. Our descriptive figures revealed important trends: (a) team members in longer missions generally spent less social time together than shorter missions; (b) consistent team efficiency over time was typical, whereas decreased team efficiency over time was atypical; (c) by 40% of mission completion or 90 days, all teams reported at least one conflict, (d) commanders' written communication with mission control decreased in length over time, and (e) team mood dynamics did not consistently support the third-quarter phenomenon. Conclusions: There are inherent limitations to our study, given the nature of the analog research (e.g., correlational studies, small sample size). Even so, our systematic review provides key insights into team dynamics in LDSEM-analog environments. We discuss the implications of our research for managing future space crews. Importantly, we also provide guidance for future research.</t>
  </si>
  <si>
    <t>[Bell, Suzanne T.] DePaul Univ, Dept Psychol, Chicago, IL 60604 USA; [Brown, Shanique G.] Wayne State Univ, Dept Psychol, 71 W Warren Ave, Detroit, MI 48202 USA; [Mitchell, Tyree] Louisiana State Univ, Sch Leadership &amp; Human Resource Dev, Baton Rouge, LA 70803 USA</t>
  </si>
  <si>
    <t>DePaul University; Wayne State University; Louisiana State University System; Louisiana State University</t>
  </si>
  <si>
    <t>Bell, ST (corresponding author), DePaul Univ, Dept Psychol, Chicago, IL 60604 USA.</t>
  </si>
  <si>
    <t>sbell11@depaul.edu</t>
  </si>
  <si>
    <t>Brown, Shanique/0000-0002-6885-2811</t>
  </si>
  <si>
    <t>National Aeronautics and Space Administration (NASA) [NNJ15HK18P]; [NASA/TM-2016-219280]</t>
  </si>
  <si>
    <t>National Aeronautics and Space Administration (NASA)(National Aeronautics &amp; Space Administration (NASA));</t>
  </si>
  <si>
    <t>This work was supported by contract NNJ15HK18P awarded to the first author from the National Aeronautics and Space Administration (NASA). There are some similarities between this article and our longer technical report submitted to the funding agency, NASA/TM-2016-219280. All opinions expressed herein are strictly those of the authors and not necessarily those of the sponsoring organization.</t>
  </si>
  <si>
    <t>1664-1078</t>
  </si>
  <si>
    <t>FRONT PSYCHOL</t>
  </si>
  <si>
    <t>Front. Psychol.</t>
  </si>
  <si>
    <t>10.3389/fpsyg.2019.00811</t>
  </si>
  <si>
    <t>Psychology, Multidisciplinary</t>
  </si>
  <si>
    <t>Psychology</t>
  </si>
  <si>
    <t>HY2ON</t>
  </si>
  <si>
    <t>WOS:000467962500001</t>
  </si>
  <si>
    <t>Hayashida, H; Christian, JR; Holdsworth, AM; Hui, XM; Monahan, AH; Mortenson, E; Myers, PG; Riche, OGJ; Sou, T; Steiner, NS</t>
  </si>
  <si>
    <t>Hayashida, Hakase; Christian, James R.; Holdsworth, Amber M.; Hui, Xianmin; Monahan, Adam H.; Mortenson, Eric; Myers, Paul G.; Riche, Olivier G. J.; Sou, Tessa; Steiner, Nadja S.</t>
  </si>
  <si>
    <t>CSIB v1 (Canadian Sea-ice Biogeochemistry): a sea-ice biogeochemical model for the NEMO community ocean modelling framework</t>
  </si>
  <si>
    <t>ARCTIC-OCEAN; VARIABILITY; SENSITIVITY; DIFFUSION; THICKNESS; GROWTH; BASIN</t>
  </si>
  <si>
    <t>Process-based numerical models are a useful tool for studying marine ecosystems and associated biogeochemical processes in ice-covered regions where observations are scarce. To this end, CSIB v1 (Canadian Sea-ice Biogeochemistry version 1), a new sea-ice biogeochemical model, has been developed and embedded into the Nucleus for European Modelling of the Ocean (NEMO) modelling system. This model consists of a three-compartment (ice algae, nitrate, and ammonium) sea-ice ecosystem and a two-compartment (dimethylsulfoniopropionate and dimethylsulfide) sea-ice sulfur cycle which are coupled to pelagic ecosystem and sulfur-cycle models at the sea-ice-ocean interface. In addition to biological and chemical sources and sinks, the model simulates the horizontal transport of biogeochemical state variables within sea ice through a one-way coupling to a dynamic-thermodynamic sea-ice model (LIM2; the Louvain-la-Neuve Sea Ice Model version 2). The model results for 1979 (after a decadal spin-up) are presented and compared to observations and previous model studies for a brief discussion on the model performance. Furthermore, this paper provides discussion on technical aspects of implementing the sea-ice biogeochemistry and assesses the model sensitivity to (1) the temporal resolution of the snowfall forcing data, (2) the representation of light penetration through snow, (3) the horizontal transport of sea-ice biogeochemical state variables, and (4) light attenuation by ice algae. The sea-ice biogeochemical model has been developed within the generic framework of NEMO to facilitate its use within different configurations and domains, and can be adapted for use with other NEMO-based sub-models such as LIM3 (the Louvain-la-Neuve Sea Ice Model version 3) and PISCES (Pelagic Interactions Scheme for Carbon and Ecosystem Studies).</t>
  </si>
  <si>
    <t>[Hayashida, Hakase; Christian, James R.; Monahan, Adam H.; Mortenson, Eric; Steiner, Nadja S.] Univ Victoria, Sch Earth &amp; Ocean Sci, Victoria, BC, Canada; [Christian, James R.; Holdsworth, Amber M.; Riche, Olivier G. J.; Sou, Tessa; Steiner, Nadja S.] Fisheries &amp; Oceans Canada, Inst Ocean Sci, Sidney, BC, Canada; [Hui, Xianmin] Bedford Inst Oceanog, Fisheries &amp; Oceans Canada, Dartmouth, NS, Canada; [Myers, Paul G.] Univ Alberta, Dept Earth &amp; Atmospher Sci, Edmonton, AB, Canada; [Hayashida, Hakase] Univ Tasmania, Inst Marine &amp; Antarctic Studies, Hobart, Tas, Australia</t>
  </si>
  <si>
    <t>University of Victoria; Fisheries &amp; Oceans Canada; Bedford Institute of Oceanography; Fisheries &amp; Oceans Canada; University of Alberta; University of Tasmania</t>
  </si>
  <si>
    <t>Steiner, NS (corresponding author), Univ Victoria, Sch Earth &amp; Ocean Sci, Victoria, BC, Canada.;Steiner, NS (corresponding author), Fisheries &amp; Oceans Canada, Inst Ocean Sci, Sidney, BC, Canada.</t>
  </si>
  <si>
    <t>nadja.steiner@canada.ca</t>
  </si>
  <si>
    <t>Hayashida, Hakase/AAY-4151-2020; Hu, Xianmin/I-7069-2018</t>
  </si>
  <si>
    <t>Hayashida, Hakase/0000-0002-6349-4947; Holdsworth, Amber/0000-0002-6857-7258; Hu, Xianmin/0000-0001-5925-7634; Steiner, Nadja/0000-0001-7456-3437</t>
  </si>
  <si>
    <t>Natural Sciences and Engineering Research Council (NETCARE); Arctic-Net; Fisheries and Oceans Canada; Environment and Climate Change Canada</t>
  </si>
  <si>
    <t>This research has been supported by the Natural Sciences and Engineering Research Council (NETCARE), Arctic-Net, Fisheries and Oceans Canada, and Environment and Climate Change Canada.</t>
  </si>
  <si>
    <t>10.5194/gmd-12-1965-2019</t>
  </si>
  <si>
    <t>HY5XE</t>
  </si>
  <si>
    <t>WOS:000468201400001</t>
  </si>
  <si>
    <t>Li, J; Xie, MS; Gao, Y</t>
  </si>
  <si>
    <t>Li, Jiang; Xie, Maisheng; Gao, Yang</t>
  </si>
  <si>
    <t>Identification and biochemical characterization of a novel exo-type β-agarase Aga3463 from an Antarctic Pseudoalteromonas sp. strain</t>
  </si>
  <si>
    <t>Antarctic bacterium; Exo-type beta-agarase; Neoagarobiose; GH86 family</t>
  </si>
  <si>
    <t>ENZYMATIC-PROPERTIES; BACILLUS-SUBTILIS; CLONING; EXPRESSION; BACTERIUM; GENE; FAMILY; PURIFICATION; HYDROLASES; BINDING</t>
  </si>
  <si>
    <t>An agar-degrading Antarctic bacterium was isolated and identified as Pseudoalteromonas sp. NJ21. This strain showed strong agarolytic activity and could use agar as the sole carbon source for growth. A novel beta-agarase gene aga3463 was cloned and identified from the genomic library of Pseudoalteromonas sp. NJ21. It was predicted to encode a peptide of 366 amino acids, including a 21-amino-acid signal peptide. BLAST analysis revealed the deduced amino acid sequence of aga3463 shared less than 36% similarity with any characterized agarase, and phylogenetic analysis showed it belonged to the glycoside hydrolase GH86 family. The recombinant Aga3463 protein had optimal temperature and pH of 50 degrees C and 7.0, respectively, and retained more than 60% activity from 10 to 50 degrees C. The metal ions Cd2+, Ca2+, Fe3+, and Mn2+ increased Aga3463 activity, whereas Cu2+, Si2+, Fe2+, and Ni2+ decreased Aga3463 activity. Notably, Aga3463 exhibited good thermostability in the presence of Ca2+; however, Ca2+ was not necessary for its catalytic activity. The K-m and V-max values for Aga3463 were 6.17 mg/ml and 557 U/mg, respectively. Thin layer chromatography, liquid chromatography-mass spectrometry, nuclear magnetic resonance spectroscopy, and enzyme assay using p-nitrophenyl-alpha/beta-D-galactopyranoside revealed Aga3463 as an exo-type beta-agarase with the ability to degrade agarose to neoagarobiose as the major end product. (C) 2019 Elsevier B.V. All rights reserved.</t>
  </si>
  <si>
    <t>[Li, Jiang; Xie, Maisheng] State Ocean Adm, Inst Oceanog 1, Key Lab Marine Bioact Subst, Qingdao 266061, Shandong, Peoples R China; [Li, Jiang; Xie, Maisheng] Key Lab Marine Nat Prod Qingdao, Qingdao 266061, Shandong, Peoples R China; [Gao, Yang] Qingdao Univ Sci &amp; Technol, Coll Marine Sci &amp; Biol Engn, Qingdao 266042, Shandong, Peoples R China</t>
  </si>
  <si>
    <t>First Institute of Oceanography, Ministry of Natural Resources; Qingdao University of Science &amp; Technology</t>
  </si>
  <si>
    <t>Li, J (corresponding author), State Ocean Adm, Inst Oceanog 1, Key Lab Marine Bioact Subst, Qingdao 266061, Shandong, Peoples R China.</t>
  </si>
  <si>
    <t>lijiang@fio.org.cn</t>
  </si>
  <si>
    <t>, lijiang/AAD-4033-2021</t>
  </si>
  <si>
    <t>National Key Research and Development Project of China [2018YFC1406704]; Public Science and Technology Research Funds Project of Ocean [201505026-4]; Chinese Polar Environment Comprehensive Investigation &amp; Assessment Programs [CHINARE2017-01-05]</t>
  </si>
  <si>
    <t>National Key Research and Development Project of China; Public Science and Technology Research Funds Project of Ocean; Chinese Polar Environment Comprehensive Investigation &amp; Assessment Programs</t>
  </si>
  <si>
    <t>This study was financially supported by the National Key Research and Development Project of China [grant number 2018YFC1406704]; Public Science and Technology Research Funds Project of Ocean [grant number 201505026-4]; the Chinese Polar Environment Comprehensive Investigation &amp; Assessment Programs [grant number CHINARE2017-01-05.</t>
  </si>
  <si>
    <t>10.1016/j.ijbiomac.2019.01.204</t>
  </si>
  <si>
    <t>HW3VQ</t>
  </si>
  <si>
    <t>WOS:000466621200018</t>
  </si>
  <si>
    <t>Wang, YF; Hou, YH; Wang, YT; Lu, ZB; Song, C; Xu, YF; Wei, NN; Wang, QF</t>
  </si>
  <si>
    <t>Wang, Yifan; Hou, Yanhua; Wang, Yatong; Lu, Zongbao; Song, Chi; Xu, Yifeng; Wei, Nana; Wang, Quanfu</t>
  </si>
  <si>
    <t>Cloning, expression and enzymatic characteristics of a 2-Cys peroxiredoxin from Antarctic sea-ice bacterium Psychrobacter sp. ANT206</t>
  </si>
  <si>
    <t>Peroxiredoxin; Characterization; Cold-adapted</t>
  </si>
  <si>
    <t>BIOCHEMICAL-CHARACTERIZATION; MOLECULAR CHARACTERIZATION; KINETIC-PARAMETERS; HYDROGEN-PEROXIDE; PROTEIN; PURIFICATION; ADAPTATION; GENE; MECHANISM; STRESS</t>
  </si>
  <si>
    <t>Peroxiredoxin (Prx, EC 1.11.1.15) is a family of the thiol-dependent antioxidant enzyme. In this study, a cold-adapted Prx gene from Antarctic psychrophilic bacterium Psychrobacter sp. ANT206 (PsPrx) consisted of an open reading frame (ORF) of 567 bp was cloned. Amino acid sequence analysis revealed that PsPrx contained one catalytic site (Thr45, Cys48 and Arg121) and could be categorized as a typical 2-Cys Prx. Compared with the mesophilic StPrx, PsPrx with a reduced amount of hydrogen bonds and salt bridges and other characteristics, may be responsible for its enzymatic stability and flexibility at low temperature. The recombinant PsPrx (rPsPrx) was purified to homogeneity by Ni-NTA and its enzymatic characterization was described. Interestingly, rPsPrx exhibited the maximum activity at 30 degrees C and remained 42.6% of its maximum activity at 0 degrees C. rPsPrx was a salt-tolerance enzyme that showed 42.2% of its maximum activity under 2.5 M NaCl. The kinetic parameters of different substrates revealed that it could efficiently catalyze the peroxides, especially H2O2 and t-BOOH (tent-butyl hydroperoxide). Moreover, rPsPrx exhibited the ability to protect super-coiled DNA from oxidative damage. These results indicated that rPsPrx has special catalytic properties and may be a promising candidate for food and industrial applications. (C) 2018 Published by Elsevier B.V.</t>
  </si>
  <si>
    <t>[Wang, Yifan; Wang, Quanfu] Harbin Inst Technol, Sch Environm, Harbin 150090, Heilongjiang, Peoples R China; [Hou, Yanhua; Wang, Yatong; Lu, Zongbao; Song, Chi; Xu, Yifeng; Wei, Nana; Wang, Quanfu] Harbin Inst Technol, Sch Marine Sci &amp; Technol, Weihai 264209, Peoples R China</t>
  </si>
  <si>
    <t>Harbin Institute of Technology; Harbin Institute of Technology</t>
  </si>
  <si>
    <t>Wang, QF (corresponding author), Harbin Inst Technol, Sch Environm, Harbin 150090, Heilongjiang, Peoples R China.;Wang, QF (corresponding author), Harbin Inst Technol, Sch Marine Sci &amp; Technol, Weihai 264209, Peoples R China.</t>
  </si>
  <si>
    <t>wangquanfu2000@126.com</t>
  </si>
  <si>
    <t>wang, yatong/KDN-3824-2024; wang, yi fan/L-1193-2018</t>
  </si>
  <si>
    <t>wang, yi fan/0000-0001-7360-2422</t>
  </si>
  <si>
    <t>National Natural Science Foundation of China, China [41876149]; Key Research and Development Plan of Shandong Province, China [2018GHY115021]; Natural Science Foundation of Shandong Province, China [ZR2017MC046]</t>
  </si>
  <si>
    <t>National Natural Science Foundation of China, China(National Natural Science Foundation of China (NSFC)); Key Research and Development Plan of Shandong Province, China; Natural Science Foundation of Shandong Province, China(Natural Science Foundation of Shandong Province)</t>
  </si>
  <si>
    <t>This study was supported by the National Natural Science Foundation of China, China (41876149), the Key Research and Development Plan of Shandong Province, China (2018GHY115021) and the Natural Science Foundation of Shandong Province, China (ZR2017MC046).</t>
  </si>
  <si>
    <t>10.1016/j.ijbiomac.2018.09.103</t>
  </si>
  <si>
    <t>WOS:000466621200111</t>
  </si>
  <si>
    <t>Androsiuk, P; Koc, J; Chwedorzewska, KJ; Górecki, R; Gielwanowska, I</t>
  </si>
  <si>
    <t>Androsiuk, Piotr; Koc, Justyna; Chwedorzewska, Katarzyna Joanna; Gorecki, Ryszard; Gielwanowska, Irena</t>
  </si>
  <si>
    <t>Retrotransposon-based genetic variation of Poa annua populations from contrasting climate conditions</t>
  </si>
  <si>
    <t>Annual bluegrass; Adaptation; Genetic diversity; Genetic structure; iPBS</t>
  </si>
  <si>
    <t>FULL-GLACIAL FORESTS; PHENOTYPIC PLASTICITY; L.; DIVERSITY; EVOLUTION; SOFTWARE; COLD; DIFFERENTIATION; VARIABILITY; ADAPTATION</t>
  </si>
  <si>
    <t>Background: Poa annua L. is an example of a plant characterized by abundant, worldwide distribution from polar to equatorial regions. Due to its high plasticity and extraordinary expansiveness, P. annua is considered an invasive species capable of occupying and surviving in a wide range of habitats including pioneer zones, areas intensively transformed by human activities, remote subarctic meadows and even the Antarctic Peninsula region. Methods: In the present study, we evaluated the utility of inter-primer binding site (iPBS) markers for assessing the genetic variation of P. annua populations representing contrasting environments from the worldwide range of this species. The electrophoretic patterns of polymerase chain reaction products obtained for each individual were used to estimate the genetic diversity and differentiation between populations. Results: iPBS genotyping revealed a pattern of genetic variation differentiating the six studied P. annua populations characterized by their different climatic conditions. According to the analysis of molecular variance, the greatest genetic variation was recorded among populations, whereas 41.75% was observed between individuals within populations. The results of principal coordinates analysis (PCoA) and model-based clustering analysis showed a clear subdivision of analyzed populations. According to PCoA, populations from Siberia and the Kola Peninsula were the most different from each other and showed the lowest genetic variability. The application of STRUCTURE software confirmed the unique character of the population from the Kola Peninsula. Discussion: The lowest variability of the Siberia population suggested that it was subjected to genetic drift. However, although demographic expansion was indicated by negative values of Fu's F-S statistic and analysis of mismatch distribution, it was not followed by significant traces of a bottleneck or a founder effect. For the Antarctic population, the observed level of genetic variation was surprisingly high, despite the observed significant traces of bottleneck/founder effect following demographic expansion, and was similar to that observed in populations from Poland and the Balkans. For the Antarctic population, the multiple introduction events from different sources are considered to be responsible for such an observation. Moreover, the results of STRUCTURE and PCoA showed that the P. annua from Antarctica has the highest genetic similarity to populations from Europe. Conclusions: The observed polymorphism should be considered as a consequence of the joint influence of external abiotic stress and the selection process. Environmental changes, due to their ability to induce transposon activation, lead to the acceleration of evolutionary processes through the production of genetic variability.</t>
  </si>
  <si>
    <t>[Androsiuk, Piotr; Koc, Justyna; Gorecki, Ryszard; Gielwanowska, Irena] Univ Warmia &amp; Mazury, Dept Plant Physiol Genet &amp; Biotechnol, Olsztyn, Poland; [Chwedorzewska, Katarzyna Joanna] Warsaw Univ Life Sci SGGW, Dept Agron, Warsaw, Poland</t>
  </si>
  <si>
    <t>University of Warmia &amp; Mazury; Warsaw University of Life Sciences</t>
  </si>
  <si>
    <t>Androsiuk, P (corresponding author), Univ Warmia &amp; Mazury, Dept Plant Physiol Genet &amp; Biotechnol, Olsztyn, Poland.</t>
  </si>
  <si>
    <t>piotr.androsiuk@uwm.edu.pl</t>
  </si>
  <si>
    <t>Androsiuk, Piotr/M-6175-2019; Chwedorzewska, Katarzyna/M-9721-2019; Chwedorzewska, Katarzyna J/A-9480-2008</t>
  </si>
  <si>
    <t>Androsiuk, Piotr/0000-0002-1851-3192; Chwedorzewska, Katarzyna/0000-0001-6860-3666; Gielwanowska, Irena/0000-0002-9001-1285</t>
  </si>
  <si>
    <t>e6888</t>
  </si>
  <si>
    <t>10.7717/peerj.6888</t>
  </si>
  <si>
    <t>HY3KY</t>
  </si>
  <si>
    <t>WOS:000468026600005</t>
  </si>
  <si>
    <t>McCave, IN; Andrews, JT</t>
  </si>
  <si>
    <t>McCave, I. N.; Andrews, J. T.</t>
  </si>
  <si>
    <t>Distinguishing current effects in sediments delivered to the ocean by ice. I. Principles, methods and examples</t>
  </si>
  <si>
    <t>Ice-rafting; Sortable silt; Fine sediment; Laser sizers; Downcore correlation; East Greenland current; Labrador current; Ice-rafted debris; IRD; End member</t>
  </si>
  <si>
    <t>GRAIN-SIZE; SEA-ICE; GLACIMARINE SEDIMENTS; PALEOCURRENT SPEED; FJORD GLACIATIONS; LABRADOR CURRENT; EAST GREENLAND; IRD-DEPOSITION; SORTABLE SILT; CENTRAL-ASIA</t>
  </si>
  <si>
    <t>There are climatically important ocean flow systems in high latitudes, for example the East and West Greenland and Labrador Currents and Nordic Sea overflows in the North, and Antarctic Circumpolar Current in the South, for which it would be useful to know history of flow strength. Most of the sediment records under these flows contain evidence of supply from glacial sources, which has led to the supposition that fine sediment records, which in other settings provide evidence of vigour of flow from the sortable silt proxy, are fatally contaminated by unsorted glacial silt. It is suggested here that if the fine fraction (&lt;63 mu m) has been transported and sorted, then it does not matter that it may have been released from icebergs, sea ice or meltwater plumes. Here we show that correlation between sortable silt mean and percentage provides a good indicator of whether a fine sediment record has been sufficiently well current-sorted to provide a reliable flow history. The running downcore correlation (r(run)) (5 to 9-point depending on sampling interval) is found to be optimal, and a value of r(run) &lt; 0.5 is proposed as an indicator of sufficiently poor sorting to invalidate a section of mean size record. More than 40 grainsize records determined by laser particle sizers from over 30 core sites have been processed and examined for evidence of sorting. As expected, there is a tendency for poor sorting and unreliable records at points where the flow speed has decreased to very low values. There is no consistent relationship between the sorting of the fine fraction and the content of coarse ice-rafted debris (as long as the IRD fraction is not &gt; 50%) because the two are not related. End member (EM) decomposition of several records yields variable results in terms of the relationship between EM ratios and grainsize parameters. Although such an approach can generate fine sediment parameters it does not provide a basis for deciding whether or not a record is acceptably current sorted and thus contains a valid flow speed proxy. Our proposed discrimination between current-sorted and unsorted fine fractions is applicable to all fine grained deposits, not only high-latitude deposits with coarse IRD. Examples from East Greenland, Faroe Bank Channel, Gardar Drift show mainly well sorted signatures. Amounts of coarse IRD range up to 60% with only those &gt;50% having a consistent impact on sortable silt mean size. With the exception of a Southern Ocean site on the Antarctic continental rise where half the record is poorly sorted, the silt mean data are sufficiently well sorted to provide credible flow speed histories. This bodes well for the extraction of such histories from climatically important high-latitude flows such as the East Greenland Current. (C) 2019 Published by Elsevier Ltd.</t>
  </si>
  <si>
    <t>[McCave, I. N.] Univ Cambridge, Dept Earth Sci, Godwin Lab Palaeoclimate Res, Downing St, Cambridge CB2 3EQ, England; [Andrews, J. T.] Univ Colorado, Dept Geol Sci, Boulder, CO 80309 USA; [Andrews, J. T.] Univ Colorado, INSTAAR, Boulder, CO 80309 USA</t>
  </si>
  <si>
    <t>University of Cambridge; University of Colorado System; University of Colorado Boulder; University of Colorado System; University of Colorado Boulder</t>
  </si>
  <si>
    <t>McCave, IN (corresponding author), Univ Cambridge, Dept Earth Sci, Godwin Lab Palaeoclimate Res, Downing St, Cambridge CB2 3EQ, England.</t>
  </si>
  <si>
    <t>inm21@cam.ac.uk</t>
  </si>
  <si>
    <t>McCave, I. Nick/O-3992-2018</t>
  </si>
  <si>
    <t>McCave, I. Nick/0000-0002-4702-5489</t>
  </si>
  <si>
    <t>10.1016/j.quascirev.2019.03.031</t>
  </si>
  <si>
    <t>HZ2VR</t>
  </si>
  <si>
    <t>WOS:000468707400008</t>
  </si>
  <si>
    <t>Jones, RS; Whitehouse, PL; Bentley, MJ; Small, D; Dalton, AS</t>
  </si>
  <si>
    <t>Jones, R. S.; Whitehouse, P. L.; Bentley, M. J.; Small, D.; Dalton, A. S.</t>
  </si>
  <si>
    <t>Impact of glacial isostatic adjustment on cosmogenic surface-exposure dating</t>
  </si>
  <si>
    <t>Quaternary; Glaciation; Global; Cosmogenic isotopes; GIA; Nuclide production rate; Atmospheric pressure; TCN dating; Be-10</t>
  </si>
  <si>
    <t>NUCLIDE PRODUCTION-RATES; ANTARCTIC ICE-SHEET; SEA-LEVEL CHANGE; MANTLE VISCOSITY; LAKE AGASSIZ; DEGLACIATION; BE-10; MODEL; RECONSTRUCTION; CHRONOLOGIES</t>
  </si>
  <si>
    <t>Calculating cosmogenic-nuclide surface-exposure ages is critically dependent on a knowledge of the altitude of the sample site. Changes in altitude have occurred through time as a result of glacial isostatic adjustment (GIA), potentially altering local nuclide production rates and, therefore, surface-exposure ages. Here we assess the impact of GIA on surface-exposure dating by calculating global time-dependent production rates since the Last Glacial Maximum using surface elevations that were corrected and uncorrected for GIA. We find that the magnitude of the GIA effect is spatially and temporally variable. Nuclide production could be reduced by up to 50% in the interior of large ice masses (in North America, Scandinavia and West Antarctica) at times of maximum glacial isostatic depression. Although smaller, the effect is still significant at ice sheet margins, where nuclide production is reduced by &gt;5% and potentially &gt;10%, making exposure ages older in those areas. Away from the ice sheet margins, land surfaces can be isostatically elevated, which can increase nuclide production by &gt;5% and, therefore, make exposure ages younger. Areas that were more recently exposed or that are distal to large ice masses will generally be less affected. Importantly, we find that the effect at the primary Be-10 production calibration sites is &lt;1%. Applying a GIA correction to surface-exposure data may help resolve mismatches between some chronologies, but not necessarily in all regions, implying that additional factors may need to be considered. Past atmospheric changes can amplify or reduce the impact of GIA on nuclide production, and the combined effects should be fully accounted for in the future. These time-dependent influences on surface-exposure dating have potentially important implications for interpreting chronologies and for using the data to constrain ice sheet models. (C) 2019 The Authors. Published by Elsevier Ltd.</t>
  </si>
  <si>
    <t>[Jones, R. S.; Whitehouse, P. L.; Bentley, M. J.; Small, D.; Dalton, A. S.] Univ Durham, Dept Geog, South Rd, Durham, England</t>
  </si>
  <si>
    <t>Jones, RS (corresponding author), Univ Durham, Dept Geog, South Rd, Durham, England.</t>
  </si>
  <si>
    <t>richard.s.jones@durham.ac.uk</t>
  </si>
  <si>
    <t>Bentley, Michael J/F-7386-2011; Jones, Richard Selwyn/AAJ-3949-2021</t>
  </si>
  <si>
    <t>Bentley, Michael J/0000-0002-2048-0019; Jones, Richard Selwyn/0000-0003-2988-0999; Whitehouse, Pippa/0000-0002-9092-3444; Dalton, April Sue/0000-0002-0725-1385; Small, David/0000-0001-8381-2060</t>
  </si>
  <si>
    <t>Durham University; European Union [609412]; NERC Independent Research Fellowship [NE/K009958/1]; NERC [NE/J008176/1, NE/K003674/1]; Durham University [609412]; NERC [NE/F01452X/1, NE/J008176/1, NE/K009958/1, NE/F014260/1, NE/K003674/1, NE/J005673/1] Funding Source: UKRI</t>
  </si>
  <si>
    <t>Durham University; European Union(European Union (EU)); NERC Independent Research Fellowship(UK Research &amp; Innovation (UKRI)Natural Environment Research Council (NERC)); NERC(UK Research &amp; Innovation (UKRI)Natural Environment Research Council (NERC)); Durham University; NERC(UK Research &amp; Innovation (UKRI)Natural Environment Research Council (NERC))</t>
  </si>
  <si>
    <t>We acknowledge financial support from Durham University. RSJ and ASD are supported by Junior Research Fellowships COFUNDed between Durham University and the European Union under grant agreement number 609412. PLW was supported by a NERC Independent Research Fellowship (NE/K009958/1), and MJB was supported by NERC Grants NE/J008176/1 and NE/K003674/1. We would also like to thank Lev Tarasov and an anonymous reviewer, whose comments improved the manuscript.</t>
  </si>
  <si>
    <t>10.1016/j.quascirev.2019.03.012</t>
  </si>
  <si>
    <t>hybrid, Green Accepted, Green Published</t>
  </si>
  <si>
    <t>WOS:000468707400017</t>
  </si>
  <si>
    <t>Bréant, C; Dos Santos, CL; Agosta, C; Casado, M; Fourré, E; Goursaud, S; Masson-Delmotte, V; Favier, V; Cattani, O; Prié, F; Golly, B; Orsi, A; Martinerie, P; Landais, A</t>
  </si>
  <si>
    <t>Breant, Camille; Dos Santos, Christophe Leroy; Agosta, Cecile; Casado, Mathieu; Fourre, Elise; Goursaud, Sentia; Masson-Delmotte, Valerie; Favier, Vincent; Cattani, Olivier; Prie, Frederic; Golly, Benjamin; Orsi, Anais; Martinerie, Patricia; Landais, Amaelle</t>
  </si>
  <si>
    <t>Coastal water vapor isotopic composition driven by katabatic wind variability in summer at Dumont d'Urville, coastal East Antarctica</t>
  </si>
  <si>
    <t>Antarctica; water isotopes; katabatic wind</t>
  </si>
  <si>
    <t>ADELIE LAND; SEA-ICE; REGIONAL CLIMATE; SURFACE SNOW; PRECIPITATION; IDENTIFICATION; STATIONS; RECORD</t>
  </si>
  <si>
    <t>Dumont d'Urville station, located on the East coast of Antarctica in Adelie Land, is in one of the windiest coastal region on Earth, due to katabatic winds downslope from the East Antarctic ice sheet. In summer, the season of interest in this study, coastal weather is characterized by well-marked diel cycles in temperature and wind patterns. Our study aims at exploring the added value of water vapor stable isotopes in coastal Adelie Land to provide new information on the local atmospheric water cycle and climate. An important application is the interpretation of water isotopic profiles in snow and ice cores recently drilled in Adelie Land. We present the first continuous measurements of delta O-18 and d-excess in water vapor over Adelie Land. During our measurements period (26/12/2016 to 03/02/2017), we observed clear diel cycles in terms of temperature, humidity and isotopic composition. The cycles in isotopic composition are particularly large given the muted variations in temperature when compared to other Antarctic sites where similar monitoring have been performed. Based on data analyses and simulations obtained with the regional MAR model on the coastal Adelie Land, we suggest that the driver for delta O-18 and d-excess diel variability in summer at Dumont d'Urville is the variation of the strength of the wind coming from the continent: the periods with strong wind are associated with the arrival of relatively dry air with water vapor associated with low delta O-18 and high d-excess from the Antarctic plateau. Finally, in addition to the interpretation of snow and ice core isotopic profiles in the coastal regions, our study has implications for the evaluation of atmospheric models equipped with water isotopes. (C) 2019 Elsevier B.V. All rights reserved.</t>
  </si>
  <si>
    <t>[Breant, Camille; Dos Santos, Christophe Leroy; Agosta, Cecile; Casado, Mathieu; Fourre, Elise; Goursaud, Sentia; Masson-Delmotte, Valerie; Cattani, Olivier; Prie, Frederic; Orsi, Anais; Landais, Amaelle] Univ Paris Saclay, LSCE, IPSL, CEA,CNRS,UVSQ,UMR 8212, F-91190 Gif Sur Yvette, France; [Agosta, Cecile; Favier, Vincent; Golly, Benjamin; Martinerie, Patricia] Univ Grenoble Alpes, CNRS, IRD, Grenoble INP,IGE, F-38000 Grenoble, France</t>
  </si>
  <si>
    <t>Centre National de la Recherche Scientifique (CNRS); CNRS - National Institute for Earth Sciences &amp; Astronomy (INSU); CEA; Universite Paris Saclay; Universite Paris Cite; Communaute Universite Grenoble Alpes; Institut National Polytechnique de Grenoble; Institut de Recherche pour le Developpement (IRD); Centre National de la Recherche Scientifique (CNRS); Universite Grenoble Alpes (UGA)</t>
  </si>
  <si>
    <t>Landais, A (corresponding author), Univ Paris Saclay, LSCE, IPSL, CEA,CNRS,UVSQ,UMR 8212, F-91190 Gif Sur Yvette, France.</t>
  </si>
  <si>
    <t>amaelle.landais@lsce.ipsl.fr</t>
  </si>
  <si>
    <t>Masson-Delmotte, Valerie L/G-1995-2011; Agosta, Cécile/HLQ-5577-2023; Leroy-Dos Santos, Christophe/AAM-6087-2021; Martinerie, Patricia/N-5731-2017; Favier, Vincent/T-1936-2017; Agosta, Cecile/B-9625-2013</t>
  </si>
  <si>
    <t>Masson-Delmotte, Valerie L/0000-0001-8296-381X; Leroy-Dos Santos, Christophe/0000-0002-0051-7507; Martinerie, Patricia/0000-0002-6820-2296; Favier, Vincent/0000-0001-6024-9498; Golly, Benjamin/0000-0002-2980-5756; Agosta, Cecile/0000-0003-4091-1653; LANDAIS, Amaelle/0000-0002-5620-5465; Goursaud Oger, Sentia/0000-0002-9990-4258</t>
  </si>
  <si>
    <t>European Research Council under the European Union's Seventh Framework Programme (FP7/2007-2013)/ERC grant [306045]; IPEV [ADELISE -1205, NIVO2 - 1110, GLACIOCLIM - SAMBA - 411, ASUMA ITASE - 1154]; ANR ASUMA; LEFE programs ADELISE; NEVE-CLIMAT</t>
  </si>
  <si>
    <t>European Research Council under the European Union's Seventh Framework Programme (FP7/2007-2013)/ERC grant(European Research Council (ERC)); IPEV; ANR ASUMA(Agence Nationale de la Recherche (ANR)); LEFE programs ADELISE; NEVE-CLIMAT</t>
  </si>
  <si>
    <t>The research leading to these results has received funding from the European Research Council under the European Union's Seventh Framework Programme (FP7/2007-2013)/ERC grant agreement no [306045]. We acknowledge the support of IPEV (programs ADELISE -1205, NIVO2 - 1110, GLACIOCLIM - SAMBA - 411, ASUMA ITASE - 1154). Many thanks to Bruno Jourdain, Doris Thuillier and the technical staff at the Dumont d'Urville station in summer 2016-2017 for strong support. Support for this study was also obtained from the LEFE programs ADELISE and NEVE-CLIMAT as well as ANR ASUMA. Finally, we thank deeply Hans Christian Steen Larsen, Jean-Louis Bonne, Naoyuki Kurita, Ben Kopec and Francois Ritter for sharing the raw files of climate and isotopic data used for building Table 2.</t>
  </si>
  <si>
    <t>10.1016/j.epsl.2019.03.004</t>
  </si>
  <si>
    <t>HV5WD</t>
  </si>
  <si>
    <t>WOS:000466054900004</t>
  </si>
  <si>
    <t>George, E; Stirling, CH; Gault-Ringold, M; Ellwood, MJ; Middag, R</t>
  </si>
  <si>
    <t>George, Ejin; Stirling, Claudine H.; Gault-Ringold, Melanie; Ellwood, Michael J.; Middag, Rob</t>
  </si>
  <si>
    <t>Marine biogeochemical cycling of cadmium and cadmium isotopes in the extreme nutrient-depleted subtropical gyre of the South West Pacific Ocean</t>
  </si>
  <si>
    <t>cadmium isotope fractionation; cadmium; GEOTRACES; South Pacific Ocean; oligotrophic gyre</t>
  </si>
  <si>
    <t>PRIMARY PRODUCTIVITY; WATER COLUMN; PHOSPHATE; CD; FRACTIONATION; ZINC; CIRCULATION; ATLANTIC; INSIGHTS; IRON</t>
  </si>
  <si>
    <t>The Cd isotopic analysis of waters from an increasing number of oceanic regions has provided a wealth of new information on the oceanic cycling of Cd, revealing the complex interplay of a multitude of different biogeochemical processes. In this study, paired Cd concentration and Cd isotopic measurements were made on samples collected during the GEOTRACES GP-13 zonal section in the South West Pacific Ocean. The South Pacific subtropical gyre is the most oligotrophic gyre in the global ocean and a unique area to study the Cd isotope systematics associated with phytoplankton productivity under ultra-low nutrient concentrations. The dissolved Cd and PO4 concentrations of the study area are well correlated and can be expressed by two different linear relationships, as observed in other oceanic regions. The near quantitative biological uptake of Cd in the upper water column and the mixing of different water masses with different pre-formed Cd/PO4 ratios likely produces the 'kink' in the Cd-PO4 relationship. Across the GP-13 zonal section, the Cd isotopic composition of deep waters is relatively constant, as observed in other regions, and is centred around a delta Cd-114 value of 0.26 +/- 0.11 parts per thousand (2 SD, n = 40). In contrast, across the thermocline depth range, extending from 150 to 1500 m depth, the Cd concentration and delta Cd-114 values are negatively correlated and best described by Cd isotope fractionation under open-system conditions with continuous replenishment of the Cd source/s and a fractionation factor of 1.0006 +/- 0.0002. This contrasts with the closed-system conditions without Cd replenishment that have been used to describe some other open ocean settings. Below 500 m depth, the Cd isotope systematics can largely be explained by three component mixing between key water masses with different pre-formed Cd isotope signatures. However, above 500 m, the Cd isotope systematics appear to be influenced by both water mass mixing and the biological uptake of isotopically light Cd in local and remote surface waters and the regeneration of Cd from sinking organic material deeper in the water column. Additionally, an unusual positive correlation was observed between Cd concentration and Cd isotopic composition in the upper water column of the South Pacific Ocean, from 15 to 150-200 m depth. These systematics can potentially be explained by one, or a combination, of the following processes: (i) a dominant role of supply-limited conditions during Cd uptake, (ii) partitioning of Cd into ligand phases, and/or (iii) atmospheric sources of Cd in these oligotrophic waters. Although subject to uncertainty, flux calculations suggest that atmospheric input could contribute 10-83% of the total Cd input to the surface waters of the subtropical South Pacific gyre. (C) 2019 Elsevier B.V. All rights reserved.</t>
  </si>
  <si>
    <t>[George, Ejin; Stirling, Claudine H.; Gault-Ringold, Melanie; Middag, Rob] Univ Otago, Dept Chem, POB 56, Dunedin, New Zealand; [George, Ejin; Stirling, Claudine H.; Gault-Ringold, Melanie] Univ Otago, Ctr Trace Element Anal, POB 56, Dunedin, New Zealand; [Gault-Ringold, Melanie] Univ Tasmania, Antarctic Climate &amp; Ecosyst CRC, Private Bag 80, Hobart, Tas 7001, Australia; [Ellwood, Michael J.] Australian Natl Univ, Res Sch Earth Sci, Canberra, ACT 0200, Australia; [Middag, Rob] Royal Netherlands Inst Sea Res, Dept Ocean Syst OCS, POB 59, NL-1790 AB Den Burg, Texel, Netherlands; [Middag, Rob] Univ Utrecht, POB 59, NL-1790 AB Den Burg, Texel, Netherlands</t>
  </si>
  <si>
    <t>University of Otago; University of Otago; University of Tasmania; Australian National University; Utrecht University; Royal Netherlands Institute for Sea Research (NIOZ); Utrecht University</t>
  </si>
  <si>
    <t>Stirling, CH (corresponding author), Univ Otago, Dept Chem, POB 56, Dunedin, New Zealand.</t>
  </si>
  <si>
    <t>cstirling@chemistry.otago.ac.nz</t>
  </si>
  <si>
    <t>Ellwood, Michael J/G-7390-2011; Gault-Ringold, Melanie/H-4089-2011; Middag, Rob/D-6423-2013</t>
  </si>
  <si>
    <t>Ellwood, Michael/0000-0003-4288-8530; Middag, Rob/0000-0002-3326-530X</t>
  </si>
  <si>
    <t>University of Otago Research Grant; University of Otago</t>
  </si>
  <si>
    <t>The captain and crew of the RV Southern Surveyor and RV Tangaroa are gratefully acknowledged for their support during cruise GP-13. We also thank three anonymous reviewers for their valuable comments on an earlier version of this manuscript. Funding for this research was provided by a University of Otago Research Grant to C.H.S., and a University of Otago Doctoral Scholarship to E.G. Andrew Bowie and Fabien Queroue from the University of Tasmania are thanked for providing access to initial Cd concentration datasets.</t>
  </si>
  <si>
    <t>10.1016/j.epsl.2019.02.031</t>
  </si>
  <si>
    <t>WOS:000466054900008</t>
  </si>
  <si>
    <t>Vendrami, DLJ; De Noia, M; Telesca, L; Handal, W; Charrier, G; Boudry, P; Eberhart-Phillips, L; Hoffman, JI</t>
  </si>
  <si>
    <t>Vendrami, David L. J.; De Noia, Michele; Telesca, Luca; Handal, William; Charrier, Gregory; Boudry, Pierre; Eberhart-Phillips, Luke; Hoffman, Joseph I.</t>
  </si>
  <si>
    <t>RAD sequencing sheds new light on the genetic structure and local adaptation of European scallops and resolves their demographic histories</t>
  </si>
  <si>
    <t>MITOCHONDRIAL-DNA VARIATION; PECTEN-MAXIMUS; GREAT SCALLOP; TRANSPLANTED POPULATIONS; R PACKAGE; TOOL SET; ATLANTIC; JACOBAEUS; DIFFERENTIATION; ASSOCIATION</t>
  </si>
  <si>
    <t>Recent developments in genomics are advancing our understanding of the processes shaping population structure in wild organisms. In particular, reduced representation sequencing has facilitated the generation of dense genetic marker datasets that provide greater power for resolving population structure, investigating the role of selection and reconstructing demographic histories. We therefore used RAD sequencing to study the great scallop Pecten maximus and its sister species P. jacobeus along a latitudinal cline in Europe. Analysis of 219 samples genotyped at 82,439 single nucleotide polymorphisms clearly resolved an Atlantic and a Norwegian group within P. maximus as well as P. jacobeus, in support of previous studies. Fine-scale structure was also detected, including pronounced differences involving Mulroy Bay in Ireland, where scallops are commercially cultured. Furthermore, we identified a suite of 279 environmentally associated loci that resolved a contrasting phylogenetic pattern to the remaining neutral loci, consistent with ecologically mediated divergence. Finally, demographic inference provided support for the two P. maximus groups having diverged during the last glacial maximum and subsequently expanded, whereas P. jacobeus diverged around 95,000 generations ago and experienced less pronounced expansion. Our results provide an integrative perspective on the factors shaping genome-wide differentiation in a commercially important marine invertebrate.</t>
  </si>
  <si>
    <t>[Vendrami, David L. J.; De Noia, Michele; Hoffman, Joseph I.] Univ Bielefeld, Dept Anim Behav, Postfach 100131, D-33615 Bielefeld, Germany; [De Noia, Michele] Univ Glasgow, Coll Med Vet &amp; Life Sci, Inst Biodivers Anim Hlth &amp; Comparat Med, Glasgow, Lanark, Scotland; [Telesca, Luca] Univ Cambridge, Dept Earth Sci, Downing St, Cambridge CB2 3EQ, England; [Telesca, Luca; Hoffman, Joseph I.] British Antarctic Survey, Madingley Rd, Cambridge CB3 OET, England; [Handal, William; Charrier, Gregory] Univ Brest, Lab Sci Environm Marin, LEMAR, UMR 6539,UBO,CNRS,IRD,Ifremer,European Univ Inst, Rue Dumont dUrville, F-29280 Plouzane, France; [Boudry, Pierre] IFREMER, Lab Sci Environm Marin, UBO, CNRS,IRD, Plouzane, France; [Eberhart-Phillips, Luke] Max Planck Inst Ornithol, Dept Evolutionary Ecol &amp; Behav Genet, Seewiesen, Germany</t>
  </si>
  <si>
    <t>University of Bielefeld; University of Glasgow; University of Cambridge; UK Research &amp; Innovation (UKRI); Natural Environment Research Council (NERC); NERC British Antarctic Survey; Centre National de la Recherche Scientifique (CNRS); Ifremer; Institut de Recherche pour le Developpement (IRD); Universite de Bretagne Occidentale; Institut Universitaire Europeen de la Mer (IUEM); CNRS - Institute of Ecology &amp; Environment (INEE); Centre National de la Recherche Scientifique (CNRS); Ifremer; Institut de Recherche pour le Developpement (IRD); Universite de Bretagne Occidentale; Institut Universitaire Europeen de la Mer (IUEM); Max Planck Society</t>
  </si>
  <si>
    <t>Vendrami, DLJ (corresponding author), Univ Bielefeld, Dept Anim Behav, Postfach 100131, D-33615 Bielefeld, Germany.</t>
  </si>
  <si>
    <t>david.vendrami@student.unife.it</t>
  </si>
  <si>
    <t>Eberhart-Hertel, Luke/H-7894-2019; Vendrami, David/AAH-1912-2021; Hoffman, Joseph/K-7725-2012; Boudry, Pierre/G-2406-2010</t>
  </si>
  <si>
    <t>Eberhart-Hertel, Luke/0000-0001-7311-6088; Vendrami, David/0000-0001-9409-4084; Hoffman, Joseph/0000-0001-5895-8949; Telesca, Luca/0000-0002-9060-2261; Boudry, Pierre/0000-0002-5150-2276</t>
  </si>
  <si>
    <t>European Union Marie Curie Seventh Framework Programme [605051]; Deutsche Forschungsgemeinschaft; Open Access Publication Fund of Bielefeld University; NERC [bas0100036] Funding Source: UKRI</t>
  </si>
  <si>
    <t>European Union Marie Curie Seventh Framework Programme(European Union (EU)); Deutsche Forschungsgemeinschaft(German Research Foundation (DFG)); Open Access Publication Fund of Bielefeld University; NERC(UK Research &amp; Innovation (UKRI)Natural Environment Research Council (NERC))</t>
  </si>
  <si>
    <t>We would like to thank Yannie Kelly-Hoffman and Robert Mescam for their help with the provision and processing of scallop samples from Bantry Bay and Brittany as well as for the delicious and refreshing aperos! We thank also Melita Peharda, Florence Cornette, Julien Normand, Romain Lavaud, Arne Duinker, Geir Askvik Haugum and Tore Strohmeier for providing some of the samples included in the study. The research leading to these results received funding from the European Union Marie Curie Seventh Framework Programme under Grant Agreement No. 605051 for the CACHE ITN. We acknowledge support for the Article Processing Charge by the Deutsche Forschungsgemeinschaft and the Open Access Publication Fund of Bielefeld University.</t>
  </si>
  <si>
    <t>10.1038/s41598-019-43939-4</t>
  </si>
  <si>
    <t>HY3KM</t>
  </si>
  <si>
    <t>WOS:000468025300051</t>
  </si>
  <si>
    <t>Zhang, W; Liu, SH; Li, CC; Zhang, PY; Zhang, PY</t>
  </si>
  <si>
    <t>Zhang, Wei; Liu, Shenghao; Li, Chengcheng; Zhang, Pengying; Zhang, Peiyu</t>
  </si>
  <si>
    <t>Transcriptome sequencing of Antarctic moss under salt stress emphasizes the important roles of the ROS-scavenging system</t>
  </si>
  <si>
    <t>GENE</t>
  </si>
  <si>
    <t>Antarctic moss; Extremophile; Flavonoids; Salt stress; Transcriptome</t>
  </si>
  <si>
    <t>RECEPTOR-LIKE KINASE; ABSCISIC-ACID; JASMONIC ACID; CONFERS SALINITY; GENE-EXPRESSION; ENHANCES SALT; TOLERANCE; BIOSYNTHESIS; ACCUMULATION; PROTEINS</t>
  </si>
  <si>
    <t>Mosses are predominant terrestrial vegetation in Antarctica. Their distributions appear to be controlled more by water and salinity. The Antarctic moss Pohlia nutans can tolerate high salt stress. Here, high-throughput sequencing was employed to study the transcriptional characteristics of P. nutans under salt stress. Differentially expressed genes (DEGs) analysis showed that 1340 genes were significantly upregulated and 831 genes were markedly downregulated. The expression of representative DEGs including abscisic acid (ABA) and Jasmonates (JAs) pathway-related genes, antioxidant enzyme genes, and flavonoid biosynthesis-related genes were analyzed by real-time PCR and most were upregulated after salt stress. Furthermore, malondialdehyde (MDA) content was significantly increased after salt treatment. The levels of hydroxyl free radical (OH) first rose then quickly decreased. In addition, the activities of antioxidant enzymes, such as catalase (CAT), superoxide dismutase (SOD), and peroxidase (POD), and the flavonoid content were enhanced after salt stress. Exogenous application of ABA, Methyl jasmonate (MeJA) or proanthocyanidins (PA) improved the performance of P. nutans in response to high salt stress. Furthermore, real-time PCR showed that ABA or MeJA treatment upregulated the gene expression of antioxidant and flavonoid biosynthesis-related enzymes. These results suggest that the responses of P. nutans under salt stress are involved in activating phytohormone signaling pathways which trigger two main antioxidant defense systems (i.e., antioxidant enzymes and flavonoids) for protecting cell and scavenging reactive oxygen species.</t>
  </si>
  <si>
    <t>[Zhang, Wei; Zhang, Peiyu] Qingdao Univ, Sch Environm Sci &amp; Engn, Qingdao 266071, Shangdong, Peoples R China; [Liu, Shenghao] State Ocean Adm, Key Lab Marine Bioact Subst, Inst Oceanog 1, Qingdao 266061, Shandong, Peoples R China; [Li, Chengcheng; Zhang, Pengying] Shandong Univ, Sch Life Sci, Natl Glycoengn Res Ctr, Qingdao 266237, Shandong, Peoples R China</t>
  </si>
  <si>
    <t>Qingdao University; First Institute of Oceanography, Ministry of Natural Resources; Shandong University</t>
  </si>
  <si>
    <t>Liu, SH (corresponding author), 6 Xian Xia Ling Rd, Qingdao 266061, Shandong, Peoples R China.</t>
  </si>
  <si>
    <t>shliu@fio.org.cn</t>
  </si>
  <si>
    <t>National Natural Science Foundation of China [41476174, 41206176]; Natural Science Foundation of Shandong Province [ZR2017MD013]</t>
  </si>
  <si>
    <t>National Natural Science Foundation of China(National Natural Science Foundation of China (NSFC)); Natural Science Foundation of Shandong Province(Natural Science Foundation of Shandong Province)</t>
  </si>
  <si>
    <t>This work was financially supported by the National Natural Science Foundation of China (41476174 and 41206176), Natural Science Foundation of Shandong Province (ZR2017MD013).</t>
  </si>
  <si>
    <t>0378-1119</t>
  </si>
  <si>
    <t>1879-0038</t>
  </si>
  <si>
    <t>Gene</t>
  </si>
  <si>
    <t>10.1016/j.gene.2019.02.037</t>
  </si>
  <si>
    <t>HR6QI</t>
  </si>
  <si>
    <t>WOS:000463277600016</t>
  </si>
  <si>
    <t>Cáceres, JO; Sanz-Mangas, D; Manzoor, S; Pérez-Arribas, LV; Anzano, J</t>
  </si>
  <si>
    <t>Caceres, J. O.; Sanz-Mangas, D.; Manzoor, S.; Perez-Arribas, L. V.; Anzano, J.</t>
  </si>
  <si>
    <t>Quantification of particulate matter, tracking the origin and relationship between elements for the environmental monitoring of the Antarctic region</t>
  </si>
  <si>
    <t>Antarctic region; Deception Island; Atmospheric aerosols; Particulate matter; Enrichment factors; Polar contour maps</t>
  </si>
  <si>
    <t>CHEMICAL-COMPOSITION; ORGANIC AEROSOLS; SUMMER AEROSOLS; CHEMISTRY; ATMOSPHERE; MCMURDO; MERCURY; STATION; SNOW; AIR</t>
  </si>
  <si>
    <t>The present work reports on the analysis of atmospheric aerosols in the Antarctic region, Deception Island, collected during austral summer 2016-2017 by field measurements carried from Gabriel de Castilla Spanish Research Station. A low-volume sampler was used to capture the aerosols depositing them onto the air filters. A chemical analysis of the samples using Inductively Coupled Plasma-Mass Spectrometry (ICP-MS) and Inductively Coupled Plasma-Atomic Emission Spectroscopy (ICP-AES) provided the total carbon (TC), organic carbon (OC), elemental Carbon (EC) and elements such as Al, Ca, Fe, K, Mg, Na, P, S, Cu, Pb, Sr, Ti, Zn and Cr. The average mass concentration of particulate matter (PM10) originated by natural and anthropogenic activities was calculated as 10 +/- 4 mu g/m(3), although values such as 28.2 mu g/m(3) were also obtained which is very high even when compared to other places in the coast of the Antarctic region. In addition, high enrichment factors have been found for elements such as Pb, Cr, Cu and Zn showing a remote anthropogenic contribution to particulate matter in this region. Correlations were found between Na, Mg, Ca, Al, Ti and S, where Na/Mg displayed the influence of marine environments, S correspond to volcanic activities, Ca to penguin colonies and influence of sea whereas Al/Ti indicated the crustal origin. Polar contour graphical maps were obtained from meteorological data using chemometrics methods, which allowed reproducing wind maps revealing the distribution of the aerosols and possible emission sources of different elements in the area. Given that this island has not been previously studied for atmospheric contamination, this work provides an interesting insight about the site-specific characteristics of particulate matter. (c) 2019 Elsevier B.V. All rights reserved.</t>
  </si>
  <si>
    <t>[Caceres, J. O.; Sanz-Mangas, D.; Manzoor, S.; Perez-Arribas, L. V.] Univ Complutense Madrid, Fac Chem, Laser Chem Res Grp, Dept Analyt Chem, Plaza Ciencias 1, E-28040 Madrid, Spain; [Anzano, J.] Univ Zaragoza, Laser Lab, Chem &amp; Environm Grp, Dept Analyt Chem,Fac Sci, Pedro Cerbuna 12, E-50009 Zaragoza, Spain</t>
  </si>
  <si>
    <t>Complutense University of Madrid; University of Zaragoza</t>
  </si>
  <si>
    <t>Cáceres, JO (corresponding author), Univ Complutense Madrid, Fac Chem, Laser Chem Res Grp, Dept Analyt Chem, Plaza Ciencias 1, E-28040 Madrid, Spain.</t>
  </si>
  <si>
    <t>jcaceres@ucm.es</t>
  </si>
  <si>
    <t>Perez-Arribas, Luis V./K-5675-2018; Sanz-Mangas, David/ABE-6969-2021; Sanz-Mangas, David/JPK-1446-2023</t>
  </si>
  <si>
    <t>Perez-Arribas, Luis V./0000-0002-3727-8132; Sanz-Mangas, David/0000-0002-5658-7459; Caceres, Jorge/0000-0003-4801-4172</t>
  </si>
  <si>
    <t>European Social Found; University of Zaragoza</t>
  </si>
  <si>
    <t>European Social Found(European Social Fund (ESF)); University of Zaragoza</t>
  </si>
  <si>
    <t>The authors gratefully acknowledge the Complutense University of Madrid for facilities and material resources. This project forms part of the Ministry of Science, Innovation and Universities. Proposal #CTM2017-82929R in collaboration with the Government of Aragon. Proposal E23_17D. and financial support from European Social Found &amp; University of Zaragoza. The geographic maps are provided with the consent of the Army Geographic Centre of the Ministry of Defense of Spain. Acknowledgement to the military members at the Gabriel de Castilla Spanish research base for help with the installation of equipment and sample collection. The data of ICP-MS and ICP-AES have been obtained in the Institute Environmental Assessment and Water Research, IDAEA.</t>
  </si>
  <si>
    <t>10.1016/j.scitotenv.2019.02.116</t>
  </si>
  <si>
    <t>HO0XH</t>
  </si>
  <si>
    <t>WOS:000460628600015</t>
  </si>
  <si>
    <t>Roman, L; Lowenstine, L; Parsley, LM; Wilcox, C; Hardesty, BD; Gilardi, K; Hindell, M</t>
  </si>
  <si>
    <t>Roman, Lauren; Lowenstine, Linda; Parsley, Laura Maeve; Wilcox, Chris; Hardesty, Britta Denise; Gilardi, Kirsten; Hindell, Mark</t>
  </si>
  <si>
    <t>Is plastic ingestion in birds as toxic as we think? Insights from a plastic feeding experiment</t>
  </si>
  <si>
    <t>Marine debris; Japanese quail; Toxicology; Endocrine disruption</t>
  </si>
  <si>
    <t>ENDOCRINE-DISRUPTING CHEMICALS; SHORT-TAILED SHEARWATERS; MARINE DEBRIS; MICROPLASTICS; ACCUMULATION; ENVIRONMENT; POLLUTANTS; POLLUTION; CYSTS; FISH</t>
  </si>
  <si>
    <t>Plastic pollution is a modern tragedy of the commons, with hundreds of species affected by society's waste. Birds in particular mistake plastic for prey, and millions of wild birds carry small plastic loads in their stomach and are exposed to potential toxicological effects. It is currently unknown how severely the toxicological and endocrine disrupting chemicals in plastic affect avian development, reproduction and endocrine function. To address this question, we conducted multi-generational plastic feeding experiments to test the toxicological consequences of plastic ingestion at environmentally relevant loads in Japanese quail, Coturnix japonica, investigating parental and two filial generations. Contrary to expectations, we found no evidence of lasting toxicological effects on mortality, adult body weight, organ histology, hormone levels, fertility, hatch rates and eggshell strength in birds experimentally fed plastic. However, we found plastic ingestion causes higher frequencies of male reproductive cysts and minor delays in chick growth and sexual maturity, though without affecting ultimate survival or reproductive output. We report that although plastic ingestion causes detectable endocrine effects in our model species, our lack of finding mortality, morbidity and adverse reproductive outcomes may challenge the common hypothesis of severe toxicological harm and population-level effects when environmentally relevant loads of plastic are ingested. Crown Copyright (c) 2019 Published by Elsevier B.V. All rights reserved.</t>
  </si>
  <si>
    <t>[Roman, Lauren; Hindell, Mark] Univ Tasmania, Inst Marine &amp; Antarctic Studies, Hobart, Tas, Australia; [Roman, Lauren; Wilcox, Chris; Hardesty, Britta Denise] CSIRO Oceans &amp; Atmosphere, Hobart, Tas, Australia; [Lowenstine, Linda] Univ Calif Davis, Sch Vet Med, Dept Pathol Microbiol &amp; Immunol, Davis, CA 95616 USA; [Parsley, Laura Maeve] Univ Tasmania, Sch Nat Sci, Hobart, Tas, Australia; [Parsley, Laura Maeve] Univ Canterbury, Sch Biol Sci, Christchurch, New Zealand; [Gilardi, Kirsten] Univ Calif Davis, Sch Vet Med, Karen C Drayer Wildlife Hlth Ctr, Davis, CA 95616 USA; [Hindell, Mark] Univ Tasmania, Antarctic Climate &amp; Ecosyst CRC, Hobart, Tas, Australia</t>
  </si>
  <si>
    <t>University of Tasmania; Commonwealth Scientific &amp; Industrial Research Organisation (CSIRO); University of California System; University of California Davis; University of Tasmania; University of Canterbury; University of California System; University of California Davis; University of Tasmania</t>
  </si>
  <si>
    <t>Roman, L (corresponding author), Univ Tasmania, Inst Marine &amp; Antarctic Studies, Hobart, Tas, Australia.</t>
  </si>
  <si>
    <t>lauren.roman@utas.edu.au</t>
  </si>
  <si>
    <t>Hardesty, Britta Denise/A-3189-2011; Hindell, Mark A/K-1131-2013; Roman, Lauren/K-3804-2015</t>
  </si>
  <si>
    <t>Hindell, Mark/0000-0002-7823-7185; Roman, Lauren/0000-0003-3591-4905</t>
  </si>
  <si>
    <t>Holsworth Wildlife Research Endowment, Sea World Research and Rescue Foundation; CSIRO Oceans and Atmosphere, Threatened and Endangered Processes and Species</t>
  </si>
  <si>
    <t>Funding was provided by Holsworth Wildlife Research Endowment, Sea World Research and Rescue Foundation and CSIRO Oceans and Atmosphere, Threatened and Endangered Processes and Species.</t>
  </si>
  <si>
    <t>10.1016/j.scitotenv.2019.02.184</t>
  </si>
  <si>
    <t>WOS:000460628600067</t>
  </si>
  <si>
    <t>Wuttig, K; Townsend, AT; van der Merwe, P; Gault-Ringold, M; Holmes, T; Schallenberg, C; Latour, P; Tonnard, M; Rijkenberg, MJA; Lannuzel, D; Bowie, AR</t>
  </si>
  <si>
    <t>Wuttig, Kathrin; Townsend, Ashley T.; van der Merwe, Pier; Gault-Ringold, Melanie; Holmes, Thomas; Schallenberg, Christina; Latour, Pauline; Tonnard, Manon; Rijkenberg, Micha J. A.; Lannuzel, Delphine; Bowie, Andrew R.</t>
  </si>
  <si>
    <t>Critical evaluation of a seaFAST system for the analysis of trace metals in marine samples</t>
  </si>
  <si>
    <t>Trace metals; Seawater; SeaFAST preconcentration system; Sea ice and brines; SF-ICP-MS; GEOTRACES</t>
  </si>
  <si>
    <t>FLOW-INJECTION-ANALYSIS; SOUTHERN-OCEAN; CHELATING RESIN; PHYTOPLANKTON BLOOMS; DISSOLVED MANGANESE; SEAWATER SAMPLES; SEA-ICE; IRON; SECTOR; EXTRACTION</t>
  </si>
  <si>
    <t>A seawater preconcentration system (sPAFAST) with offline sector-field inductively coupled plasma mass spectrometry (SF-ICP-MS) detection was critically evaluated for ultra-low trace elemental analysis of Southern Ocean samples over a four-year period (2015-2018). The commercially available system employs two Nobias PAl resin columns for buffer cleaning and sample preconcentration, allowing salt matrix removal with simultaneous extraction of a range of trace elements. With a primary focus on method simplicity and practicality, a range of experimental parameters relevant to oceanographic analysis were considered, including reduction of blank levels (over weeks and years), instrument conditioning, extraction efficiencies over different pH ranges (5.8-6.4), and preconcentration factors (similar to 10-70 times). Conditions were optimised for the analysis of ten important trace elements (Cd, Co, Cu, Fe, Ga, Mn, Ni, Pb, Ti and Zn) in open ocean seawater samples, and included initial pre-cleaning and conditioning of the seaFAST unit for one week before each separate analytical sequence; a controlled narrow buffer pH of 6.20 +/- 0.02 used for extraction; and a sample preconcentration factor of 10 for (relatively) concentrated rainwater or sea ice, 40 for typical seawater samples, and up to 67 times for seawater samples collected in the remote open ocean such as the Southern Ocean. Method accuracy (both short - days to weeks - and long term - months to years) were evaluated through extensive analysis of a range of oceanographic standard reference samples including SAFe D1 (n = 20), D2 (n = 3), S (n = 15), GEOTRACES GD (n = 6), GSC (n = 42) and GSP (n = 42), as well as NASS-6 (n = 6). Measured values for oceanographic samples were found to agree with consensus values to within +/- 6% for Cd, Cu, Fe, Ni, Pb and Zn. Offsets were noted for Co (labile fraction only; no UV oxidation), Mn (difference also noted in other recent studies) and Ti (limited reference values). No consensus values currently exist for Ga. Iron and Mn in Southern Ocean samples were also independently verified via flow injection analysis methods (R-2 = 0.95, n = 244 (Fe) and 0.92, n = 85 (Mn), paired t-test, p &lt;&lt; 0.05). Precisions over four years were evaluated through analysis of community seawater samples as well as a range of bulk in-house seawaters (3 sources, each n-100) and acid blanks (n = 250), and were typically found to be within 5-8%, depending on analyte and concentration. Values presented here represent one of the largest independent data sets for these reference samples, as well as the most documented comprehensive suite of GSP and GSC values currently available (consensus values have not yet been released). Samples covering a range of salinities (0-60) were investigated to demonstrate method versatility, with excellent recoveries noted using the seaFAST Nobias PAl column (&gt; 98% for most elements, with 70-80% for Ga and Ti). By way of example, data is presented showing the application of the method to samples collected on the Kerguelen plateau in the Indian sector of the Southern Ocean (HEOBI voyage, January February 2016) and in land-fast ice and brine collected near Davis station, Antarctica, in austral summer 2015 (with a salinity range from 0 to 73 g kg(-1)). Finally, a range of recommendations for successful implementation of a seaFAST system are provided, along with considerations for future investigation.</t>
  </si>
  <si>
    <t>[Wuttig, Kathrin; van der Merwe, Pier; Gault-Ringold, Melanie; Holmes, Thomas; Schallenberg, Christina; Latour, Pauline; Tonnard, Manon; Lannuzel, Delphine; Bowie, Andrew R.] Univ Tasmania, ACE CRC, Private Bag 80, Hobart, Tas 7001, Australia; [Townsend, Ashley T.] Univ Tasmania, Cent Sci Lab, Private Bag 74, Hobart, Tas 7001, Australia; [Holmes, Thomas; Latour, Pauline; Tonnard, Manon; Lannuzel, Delphine; Bowie, Andrew R.] Univ Tasmania, IMAS, Locked Bag 129, Hobart, Tas 7001, Australia; [Tonnard, Manon] Univ Bretagne Occidentale, Lab Sci Environm MARin LEMAR, CNRS UMR 6539, IUEM, Technopole Brest Iroise,Rue Dumont dUrville, F-29280 Plouzane, France; [Rijkenberg, Micha J. A.] NIOZ Royal Inst Sea Res, Dept Ocean Syst, Den Burg, Netherlands; [Rijkenberg, Micha J. A.] Univ Utrecht, Den Burg, Netherlands</t>
  </si>
  <si>
    <t>University of Tasmania; Antarctic Climate &amp; Ecosystems Cooperative Research Centre (ACE CRC); University of Tasmania; University of Tasmania; Centre National de la Recherche Scientifique (CNRS); CNRS - Institute of Ecology &amp; Environment (INEE); Universite de Bretagne Occidentale; Institut Universitaire Europeen de la Mer (IUEM); Ifremer; Institut de Recherche pour le Developpement (IRD); Utrecht University; Royal Netherlands Institute for Sea Research (NIOZ); Utrecht University</t>
  </si>
  <si>
    <t>Wuttig, K (corresponding author), Univ Tasmania, ACE CRC, Private Bag 80, Hobart, Tas 7001, Australia.</t>
  </si>
  <si>
    <t>Kathrin.Wuttig@utas.edu.au</t>
  </si>
  <si>
    <t>Holmes, Thomas M/JAC-5887-2023; Schallenberg, Christina/N-4187-2017; Wuttig, Kathrin/O-2888-2019; Rijkenberg, Micha JA/C-3245-2012; Townsend, Ashley/J-7445-2014; Holmes, Thomas M/J-4950-2015; Bowie, Andrew/C-8677-2013; lannuzel, delphine/J-7937-2014; van der Merwe, Pier/C-9210-2015</t>
  </si>
  <si>
    <t>Schallenberg, Christina/0000-0002-3073-7500; Wuttig, Kathrin/0000-0003-4010-5918; Townsend, Ashley/0000-0002-2972-2678; Holmes, Thomas M/0000-0001-8061-4325; Bowie, Andrew/0000-0002-5144-7799; lannuzel, delphine/0000-0001-6154-1837; van der Merwe, Pier/0000-0002-7428-8030</t>
  </si>
  <si>
    <t>Australian Government's Cooperative Research Centres Programme through the Antarctic Climate and Ecosystems Cooperative Research Centre (ACE CRC); University of Tasmania (UTAS) [B0019024]; Australian Research Council grants DECRA [DE120100030]; Australian Research Council [FT130100037]; UTAS Research Enhancement Grant Scheme (REGS); Australian Research Council [FT130100037, DE120100030] Funding Source: Australian Research Council</t>
  </si>
  <si>
    <t>Australian Government's Cooperative Research Centres Programme through the Antarctic Climate and Ecosystems Cooperative Research Centre (ACE CRC)(Australian GovernmentDepartment of Industry, Innovation and ScienceCooperative Research Centres (CRC) Programme); University of Tasmania (UTAS); Australian Research Council grants DECRA(Australian Research Council); Australian Research Council(Australian Research Council); UTAS Research Enhancement Grant Scheme (REGS); Australian Research Council(Australian Research Council)</t>
  </si>
  <si>
    <t>We are grateful to the officers, crew and scientists on board the HEOBI expedition (IN2016_V01) and the SR3 expedition (IN2018_V01) of the R. V. Investigator. For their assistance with the collection and filtration of our HEOBI seawater samples we would like to thank Zanna Chase and Lavenia Ratnarajah (both UTAS). We would like to thank Morgane Perron for her rainwater samples and helping collect our SR3 SW1 in-house seawater, Cristina Genovese for brine samples and Luis Paolo Duprat (all UTAS) for letting us use the data of his sea ice analysis. Special thanks to Hwan Kim (ESI) for the initial system setup and many prompt answers about seaFAST operation. Thanks also to Mike Summer (UTAS, AAD) for his help to simplify and make Micha Rijkenberg's (NIOZ) seaFAST R script more customer oriented. We also would like to acknowledge Patrick Laan, Loes Gerringa (both NIOZ), Rob Middag (NIWA, now NIOZ), Fabien Queroue (NRS-UBO-IRD-IFREMER) and Christian Schlosser (GEOMAR) for many email exchanges regarding their experiences with their seaFAST systems. We would like to thank Pete Harmsen (MNF) for providing us with beautiful photos from the HEOBI voyage for our graphical abstract. This work was supported by the Australian Government's Cooperative Research Centres Programme through the Antarctic Climate and Ecosystems Cooperative Research Centre (ACE CRC). The new seaFAST system was co-funded by the University of Tasmania (UTAS) (Rising Stars B0019024 to ARB) and Australian Research Council grants DECRA (DE120100030 to DL), analysis costs supported by Australian Research Council Future Fellowship (FT130100037 to ARB), with the method development supported by a UTAS Research Enhancement Grant Scheme (REGS to ATT). Acquisition of the SF-ICP-MS was made possible by the Australian Research Council LIEF scheme (LE0989539). We would like to thank two anonymous reviewers for providing constructive comments on the paper.</t>
  </si>
  <si>
    <t>10.1016/j.talanta.2019.01.047</t>
  </si>
  <si>
    <t>HO1ZC</t>
  </si>
  <si>
    <t>WOS:000460710200086</t>
  </si>
  <si>
    <t>Seroussi, H; Nowicki, S; Simon, E; Abe-Ouchi, A; Albrecht, T; Brondex, J; Cornford, S; Dumas, C; Gillet-Chaulet, F; Goelzer, H; Golledge, NR; Gregory, JM; Greve, R; Hoffman, MJ; Humbert, A; Huybrechts, P; Kleiner, T; Larourl, E; Leguy, G; Lipscomb, WH; Lowry, D; Mengel, M; Morlighem, M; Pattyn, F; Payne, AJ; Pollard, D; Price, SF; Quiquet, A; Reerink, TJ; Reese, R; Rodehacke, CB; Schlegel, NJ; Shepherd, A; Sun, SN; Sutter, J; Van Breedam, J; van de Wal, RSW; Winkelmann, R; Zhang, T</t>
  </si>
  <si>
    <t>Seroussi, Helene; Nowicki, Sophie; Simon, Erika; Abe-Ouchi, Ayako; Albrecht, Torsten; Brondex, Julien; Cornford, Stephen; Dumas, Christophe; Gillet-Chaulet, Fabien; Goelzer, Heiko; Golledge, Nicholas R.; Gregory, Jonathan M.; Greve, Ralf; Hoffman, Matthew J.; Humbert, Angelika; Huybrechts, Philippe; Kleiner, Thomas; Larourl, Eric; Leguy, Gunter; Lipscomb, William H.; Lowry, Daniel; Mengel, Matthias; Morlighem, Mathieu; Pattyn, Frank; Payne, Anthony J.; Pollard, David; Price, Stephen F.; Quiquet, Aurelien; Reerink, Thomas J.; Reese, Ronja; Rodehacke, Christian B.; Schlegel, Nicole-Jeanne; Shepherd, Andrew; Sun, Sainan; Sutter, Johannes; Van Breedam, Jonas; van de Wal, Roderik S. W.; Winkelmann, Ricarda; Zhang, Tong</t>
  </si>
  <si>
    <t>initMIP-Antarctica: an ice sheet model initialization experiment of ISMIP6</t>
  </si>
  <si>
    <t>SURFACE MASS-BALANCE; PINE ISLAND GLACIER; SEA-LEVEL RISE; GROUNDING LINE RETREAT; LAST INTERGLACIAL CLIMATE; BASAL MELT RATES; WEST ANTARCTICA; AMUNDSEN SEA; NORTHEAST GREENLAND; KOHLER GLACIERS</t>
  </si>
  <si>
    <t>Ice sheet numerical modeling is an important tool to estimate the dynamic contribution of the Antarctic ice sheet to sea level rise over the coming centuries. The influence of initial conditions on ice sheet model simulations, however, is still unclear. To better understand this influence, an initial state intercomparison exercise (initMIP) has been developed to compare, evaluate, and improve initialization procedures and estimate their impact on century-scale simulations. initMlP is the first set of experiments of the Ice Sheet Model Intercomparison Project for CMIP6 (ISMIP6), which is the primary Coupled Model Intercomparison Project Phase 6 (CMIP6) activity focusing on the Greenland and Antarctic ice sheets. Following initMlP-Greenland, initMlP-Antarctica has been designed to explore uncertainties associated with model initialization and spin-up and to evaluate the impact of changes in external forcings. Starting from the state of the Antarctic ice sheet at the end of the initialization procedure, three forward experiments are each run for 100 years: a control run, a run with a surface mass balance anomaly, and a run with a basal melting anomaly beneath floating ice. This study presents the results of initMlP-Antarctica from 25 simulations performed by 16 international modeling groups. The submitted results use different initial conditions and initialization methods, as well as ice flow model parameters and reference external forcings. We find a good agreement among model responses to the surface mass balance anomaly but large variations in responses to the basal melting anomaly. These variations can be attributed to differences in the extent of ice shelves and their upstream tributaries, the numerical treatment of grounding line, and the initial ocean conditions applied, suggesting that ongoing efforts to better represent ice shelves in continental-scale models should continue.</t>
  </si>
  <si>
    <t>[Seroussi, Helene; Larourl, Eric; Schlegel, Nicole-Jeanne] CALTECH, Jet Prop Lab, Pasadena, CA 91125 USA; [Nowicki, Sophie; Simon, Erika] NASA, Goddard Space Flight Ctr, Greenbelt, MD USA; [Abe-Ouchi, Ayako] Univ Tokyo, Tokyo, Japan; [Albrecht, Torsten; Mengel, Matthias; Reese, Ronja; Winkelmann, Ricarda] Leibniz Assoc, Potsdam Inst Climate Impact Res PIK, Potsdam, Germany; [Brondex, Julien; Gillet-Chaulet, Fabien] Univ Grenoble Alpes, CNRS, IRD, Grenoble INP,IGE, F-38000 Grenoble, France; [Cornford, Stephen] Swansea Univ, Swansea, W Glam, Wales; [Dumas, Christophe; Quiquet, Aurelien] Univ Paris Saclay, CEA CNRS UVSQ, IPSL, LSCE, F-91191 Gif Sur Yvette, France; [Goelzer, Heiko; Reerink, Thomas J.; van de Wal, Roderik S. W.] Univ Utrecht, Inst Marine &amp; Atmospher Res Utrecht, Utrecht, Netherlands; [Goelzer, Heiko; Pattyn, Frank; Sun, Sainan] Univ Libre Bruxelles, Lab Glaciol, Brussels, Belgium; [Golledge, Nicholas R.; Lowry, Daniel] Victoria Univ Wellington, Antarctic Res Ctr, Wellington, New Zealand; [Gregory, Jonathan M.] Univ Reading, Natl Ctr Atmospher Sci, Reading, Berks, England; [Greve, Ralf] Hokkaido Univ, Inst Low Temp Sci, Sapporo, Hokkaido, Japan; [Hoffman, Matthew J.; Price, Stephen F.; Zhang, Tong] Los Alamos Natl Lab, Fluid Dynam &amp; Solid Mech Grp, Los Alamos, NM 87545 USA; [Humbert, Angelika; Kleiner, Thomas; Rodehacke, Christian B.; Sutter, Johannes] Helmholtz Ctr Polar &amp; Marine Res, Alfred Wegener Inst, Bremerhaven, Germany; [Humbert, Angelika] Univ Bremen, Dept Geosci, Bremen, Germany; [Huybrechts, Philippe; Van Breedam, Jonas] Vrije Univ Brussel, Earth Syst Sci, Brussels, Belgium; [Huybrechts, Philippe; Van Breedam, Jonas] Vrije Univ Brussel, Dept Geog, Brussels, Belgium; [Leguy, Gunter; Lipscomb, William H.] Natl Ctr Atmospher Res, Climate &amp; Global Dynam Lab, POB 3000, Boulder, CO 80307 USA; [Morlighem, Mathieu] Univ Calif Irvine, Dept Earth Syst Sci, Irvine, CA USA; [Payne, Anthony J.] Univ Bristol, Bristol, Avon, England; [Pollard, David] Penn State Univ, Earth &amp; Environm Syst Inst, University Pk, PA 16802 USA; [Reerink, Thomas J.] Royal Netherlands Meteorol Inst KNMI, De Bilt, Netherlands; [Rodehacke, Christian B.] Danish Meteorol Inst, Arctic &amp; Climate, Copenhagen, Denmark; [Shepherd, Andrew] Univ Leeds, Leeds, W Yorkshire, England; [van de Wal, Roderik S. W.] Univ Utrecht, Phys Geog, Geosci, Utrecht, Netherlands; [Winkelmann, Ricarda] Univ Potsdam, Inst Phys &amp; Astron, Potsdam, Germany; [Sutter, Johannes] Univ Bern, Phys Inst, Climate &amp; Environm Phys, Bern, Switzerland; [Sutter, Johannes] Univ Bern, Oeschger Ctr Climate Change Res, Bern, Switzerland</t>
  </si>
  <si>
    <t>National Aeronautics &amp; Space Administration (NASA); NASA Jet Propulsion Laboratory (JPL); California Institute of Technology; National Aeronautics &amp; Space Administration (NASA); NASA Goddard Space Flight Center; University of Tokyo; Potsdam Institut fur Klimafolgenforschung; Communaute Universite Grenoble Alpes; Universite Grenoble Alpes (UGA); Institut de Recherche pour le Developpement (IRD); Institut National Polytechnique de Grenoble; Centre National de la Recherche Scientifique (CNRS); Swansea University; Universite Paris Cite; CEA; Centre National de la Recherche Scientifique (CNRS); Universite Paris Saclay; Utrecht University; Universite Libre de Bruxelles; Victoria University Wellington; University of Reading; UK Research &amp; Innovation (UKRI); Natural Environment Research Council (NERC); NERC National Centre for Atmospheric Science; Hokkaido University; United States Department of Energy (DOE); Los Alamos National Laboratory; Helmholtz Association; Alfred Wegener Institute, Helmholtz Centre for Polar &amp; Marine Research; University of Bremen; Vrije Universiteit Brussel; Vrije Universiteit Brussel; National Center Atmospheric Research (NCAR) - USA; University of California System; University of California Irvine; University of Bristol; Pennsylvania Commonwealth System of Higher Education (PCSHE); Pennsylvania State University; Pennsylvania State University - University Park; Royal Netherlands Meteorological Institute; Danish Meteorological Institute DMI; University of Leeds; Utrecht University; University of Potsdam; University of Bern; University of Bern</t>
  </si>
  <si>
    <t>Seroussi, H (corresponding author), CALTECH, Jet Prop Lab, Pasadena, CA 91125 USA.</t>
  </si>
  <si>
    <t>helene.seroussi@jpl.nasa.gov</t>
  </si>
  <si>
    <t>Lipscomb, William/AAR-8668-2021; van de wal, roderik/D-1705-2011; Gregory, Jonathan/J-2939-2016; Goelzer, Heiko/M-2367-2016; Quiquet, Aurélien/P-6180-2014; Morlighem, Mathieu/O-9942-2014; Pattyn, Frank/AAA-9640-2019; albrecht, torsten/J-8259-2019; Seroussi, Helene/AAX-5342-2021; Abe-Ouchi, Ayako A/M-6359-2013; Kleiner, Thomas/F-6821-2015; Huybrechts, Philippe/J-5278-2013; Price, Stephen/E-1568-2013; payne, antony/A-8916-2008; Greve, Ralf/G-2336-2010</t>
  </si>
  <si>
    <t>van de wal, roderik/0000-0003-2543-3892; Gregory, Jonathan/0000-0003-1296-8644; Goelzer, Heiko/0000-0002-5878-9599; Quiquet, Aurélien/0000-0001-6207-3043; Morlighem, Mathieu/0000-0001-5219-1310; Pattyn, Frank/0000-0003-4805-5636; albrecht, torsten/0000-0001-7459-2860; Seroussi, Helene/0000-0001-9201-1644; Abe-Ouchi, Ayako A/0000-0003-1745-5952; Kleiner, Thomas/0000-0001-7825-5765; Lowry, Daniel/0000-0002-9668-0850; Van Breedam, Jonas/0000-0003-1504-9520; Humbert, Angelika/0000-0002-0244-8760; Reese, Ronja/0000-0001-7625-040X; Reerink, Thomas/0000-0002-9983-6195; Golledge, Nicholas/0000-0001-7676-8970; Cornford, Stephen/0000-0003-1844-274X; Lipscomb, William/0000-0002-7100-3730; Leguy, Gunter/0000-0002-9963-8076; Huybrechts, Philippe/0000-0003-1406-0525; Price, Stephen/0000-0001-6878-2553; Schlegel, Nicole-Jeanne/0000-0001-8035-448X; payne, antony/0000-0001-8825-8425; Greve, Ralf/0000-0002-1341-4777</t>
  </si>
  <si>
    <t>Climate and Cryosphere (CliC) project; World Climate Research Programme (WCRP); National Aeronautics and Space Administration [80NM0018D0004]; NASA Cryospheric Science, Sea Level Change Team, and Modeling Analysis and Prediction Program; National Center for Atmospheric Research - National Science Foundation [1852977]; Japan Society for the Promotion of Science (JSPS) KAKENHI [JP16H02224, JP17H06104, JP17H06323]; European Research Council under the European Community; Theme 6 Environment, NACLIM (North Atlantic Climate) project [308299]; Nordic Centers of Excellence eSTICC (eScience Tool for Investigating Climate Change at High Northern Latitudes) - Nordforsk [57001]; US Department of Energy Office of Science, Biological and Environmental Research and Advanced Scientific Computing Research programs; Office of Science of the US Department of Energy [DEAC02-05CH11231]; Ministry of Education, Culture and Science (OCW), in the Netherlands; German Federal Ministry of Education and Research (BMBF) as Research for Sustainability initiative (FONA) [FKZ: 01LP1511B]; European Research Council [339108]; French National Research Agency (ANR) [ANR-15-CE01-0005-01]; GENCI-CINES [2017-016066]; Froggy platform of the CIMENT infrastructure - Rhone-Alpes region [CPER07_13 CIRA]; OSUG@2020 laBex [ANR10 LABX56]; Equip@Meso project [ANR-10-EQPX-29-01]; Deutsche Forschungsgemeinschaft (DFG) [LE1448/6-1, LE1448/7-1]; DFG [WI 4556/4-1]; NASA [NNX17AG65G]; NSF [PLR-1603799, PLR-1644277]; European Regional Development Fund (ERDF); German Federal Ministry of Education and Research; Gauss Centre for Supercomputing/Leibniz Supercomputing Centre [pr94ga]; National Science Foundation, Office of Polar Programs (OPP) [1443229]; FRS-FNRS MEDRISM project; BELSPO MIMO project (Stereo III); iceMOD project - Research Foundation - Flanders (FWO-Vlaanderen); Antarctica New Zealand Doctoral Scholarship program; New Zealand Ministry of Business, Innovation and Employment [15-VUW-131]; NERC [NE/J005657/1, NE/J005681/1, NE/N017978/1] Funding Source: UKRI; European Research Council (ERC) [339108] Funding Source: European Research Council (ERC); Directorate For Geosciences; Office of Polar Programs (OPP) [1443229] Funding Source: National Science Foundation</t>
  </si>
  <si>
    <t>Climate and Cryosphere (CliC) project; World Climate Research Programme (WCRP); National Aeronautics and Space Administration(National Aeronautics &amp; Space Administration (NASA)); NASA Cryospheric Science, Sea Level Change Team, and Modeling Analysis and Prediction Program; National Center for Atmospheric Research - National Science Foundation; Japan Society for the Promotion of Science (JSPS) KAKENHI(Ministry of Education, Culture, Sports, Science and Technology, Japan (MEXT)Japan Society for the Promotion of ScienceGrants-in-Aid for Scientific Research (KAKENHI)); European Research Council under the European Community(European Research Council (ERC)); Theme 6 Environment, NACLIM (North Atlantic Climate) project; Nordic Centers of Excellence eSTICC (eScience Tool for Investigating Climate Change at High Northern Latitudes) - Nordforsk; US Department of Energy Office of Science, Biological and Environmental Research and Advanced Scientific Computing Research programs(United States Department of Energy (DOE)); Office of Science of the US Department of Energy(United States Department of Energy (DOE)); Ministry of Education, Culture and Science (OCW), in the Netherlands; German Federal Ministry of Education and Research (BMBF) as Research for Sustainability initiative (FONA)(Federal Ministry of Education &amp; Research (BMBF)); European Research Council(European Research Council (ERC)); French National Research Agency (ANR)(Agence Nationale de la Recherche (ANR)Norwegian Agency for Development Cooperation - NORAD); GENCI-CINES; Froggy platform of the CIMENT infrastructure - Rhone-Alpes region; OSUG@2020 laBex; Equip@Meso project; Deutsche Forschungsgemeinschaft (DFG)(German Research Foundation (DFG)); DFG(German Research Foundation (DFG)); NASA(National Aeronautics &amp; Space Administration (NASA)); NSF(National Science Foundation (NSF)); European Regional Development Fund (ERDF)(European Union (EU)); German Federal Ministry of Education and Research(Federal Ministry of Education &amp; Research (BMBF)); Gauss Centre for Supercomputing/Leibniz Supercomputing Centre; National Science Foundation, Office of Polar Programs (OPP)(National Science Foundation (NSF)); FRS-FNRS MEDRISM project(Fonds de la Recherche Scientifique - FNRS); BELSPO MIMO project (Stereo III); iceMOD project - Research Foundation - Flanders (FWO-Vlaanderen)(FWO); Antarctica New Zealand Doctoral Scholarship program; New Zealand Ministry of Business, Innovation and Employment(New Zealand Ministry of Business, Innovation and Employment (MBIE)); NERC(UK Research &amp; Innovation (UKRI)Natural Environment Research Council (NERC)); European Research Council (ERC)(European Research Council (ERC)Spanish Government); Directorate For Geosciences; Office of Polar Programs (OPP)(National Science Foundation (NSF)NSF - Directorate for Geosciences (GEO))</t>
  </si>
  <si>
    <t>We acknowledge the Climate and Cryosphere (CliC) project and the World Climate Research Programme (WCRP) for their guidance, support, and sponsorship. We thank the CMIP6 panel members for their continuous leadership of the CMIP6 effort and the Working Group on Coupled Modeling (WGCM) Infrastructure Panel (WIP) for overseeing the CMIP6 and ISMIP6 infrastructure and data request. Research was carried out at the Jet Propulsion Laboratory, California Institute of Technology, under a contract with the National Aeronautics and Space Administration (80NM0018D0004). Helene Seroussi, Nicole-Jeanne Schlegel, Eric Larour, Sophie Nowicki, and Erika Simon are supported by grants from the NASA Cryospheric Science, Sea Level Change Team, and Modeling Analysis and Prediction Program. Material is based upon work supported by the National Center for Atmospheric Research, which is a major facility sponsored by the National Science Foundation under Cooperative Agreement no. 1852977. Computing and data storage resources for CISM simulations, including the Cheyenne supercomputer (https://doi.org/10.5065/D6RX99HX), were provided by the Computational and Information Systems Laboratory (CISL) at NCAR. Ralf Greve was supported by the Japan Society for the Promotion of Science (JSPS) KAKENHI grant numbers JP16H02224, JP17H06104, and JP17H06323. Christian Rodehacke (DMI) has received funding from the European Research Council under the European Community's Seventh Framework Programme (FP7) for research, and Theme 6 Environment as part of the NACLIM (North Atlantic Climate) project (grant agreement 308299), as well as the Nordic Centers of Excellence eSTICC (eScience Tool for Investigating Climate Change at High Northern Latitudes) funded by Nordforsk (grant 57001). Support for Matthew J. Hoffman, Stephen F. Price, and Tong Zhang was provided through the Scientific Discovery through Advanced Computing (SciDAC) program funded by the US Department of Energy Office of Science, Biological and Environmental Research and Advanced Scientific Computing Research programs. This research used resources of the National Energy Research Scientific Computing Center, a DOE Office of Science User Facility supported by the Office of Science of the US Department of Energy under contract no. DEAC02-05CH11231. The Ministry of Education, Culture and Science (OCW), in the Netherlands, provided financial support for this study via the program of the Netherlands Earth System Science Centre (NESSC). The work of Thomas Kleiner and Angelika Humbert has been conducted in the framework of the PalMod project (FKZ: 01LP1511B), supported by the German Federal Ministry of Education and Research (BMBF) as Research for Sustainability initiative (FONA). Aurelien Quiquet acknowledges funding from the European Research Council grant ACCLIMATE no. 339108. Fabien Gillet-Chaulet and Julien Brondex (IGE) have received funding from the French National Research Agency (ANR) under the TROIS-AS project (ANR-15-CE01-0005-01). IGE-ELMER simulations were performed using HPC resources from GENCI-CINES (grant 2017-016066) and using the Froggy platform of the CIMENT infrastructure, which is supported by the Rhone-Alpes region (grant CPER07_13 CIRA), the OSUG@2020 laBex (reference ANR10 LABX56), and the Equip@Meso project (reference ANR-10-EQPX-29-01). Torsten Albrecht was supported by the Deutsche Forschungsgemeinschaft (DFG) in the framework of the priority program Antarctic Research with comparative investigations in Arctic ice areas by grant LE1448/6-1 and LE1448/7-1.; Matthias Mengel was supported by the DFG in the same framework by grant WI 4556/4-1. Development of PISM is supported by NASA grant NNX17AG65G and NSF grants PLR-1603799 and PLR-1644277. The authors gratefully acknowledge the European Regional Development Fund (ERDF), the German Federal Ministry of Education and Research, and the Land Brandenburg for supporting this project by providing resources on the high-performance computer system at the Potsdam Institute for Climate Impact Research. Computer resources for this project have also been provided by the Gauss Centre for Supercomputing/Leibniz Supercomputing Centre under Project-ID pr94ga. Mathieu Morlighem was supported by a grant from the National Science Foundation, Office of Polar Programs (OPP; grant no. 1443229). Sainan Sun was supported by the FRS-FNRS MEDRISM project and the BELSPO MIMO project (Stereo III). Philippe Huybrechts and Jonas Van Breedam acknowledge support from the iceMOD project funded by the Research Foundation - Flanders (FWO-Vlaanderen). Daniel Lowry acknowledges support from the Antarctica New Zealand Doctoral Scholarship program and the New Zealand Ministry of Business, Innovation and Employment (grant 15-VUW-131).</t>
  </si>
  <si>
    <t>MAY 14</t>
  </si>
  <si>
    <t>10.5194/tc-13-1441-2019</t>
  </si>
  <si>
    <t>HY2EE</t>
  </si>
  <si>
    <t>WOS:000467929400001</t>
  </si>
  <si>
    <t>Risch, D; Norris, T; Curnock, M; Friedlaender, A</t>
  </si>
  <si>
    <t>Risch, Denise; Norris, Thomas; Curnock, Matthew; Friedlaender, Ari</t>
  </si>
  <si>
    <t>Common and Antarctic Minke Whales: Conservation Status and Future Research Directions</t>
  </si>
  <si>
    <t>population status; minke whales; Antarctic minke whale; conservation; future research</t>
  </si>
  <si>
    <t>ATLANTIC RIGHT WHALES; BALAENOPTERA-ACUTOROSTRATA; NORTH PACIFIC; SEA-ICE; HUMPBACK WHALE; AVAILABILITY BIAS; ACOUSTIC SURVEYS; DPSIR FRAMEWORK; CLIMATE-CHANGE; MARINE DEBRIS</t>
  </si>
  <si>
    <t>Minke whales comprise some of the most widely distributed species of baleen whales, some populations of which are still regularly targeted by commercial whaling. Here, we review the conservation status of common (Balaenoptera acutorostrata) and Antarctic (Balaenoptera bonaerensis) minke whale populations, against the backdrop of ongoing whaling operations and other anthropogenic threats, including climate change, entanglement in fishing gear, ship strikes, and noise pollution. Although some coastal minke whale populations have been studied in detail, others, which inhabit remote and ecologically sensitive locations, such as the Antarctic ice shelf, are among the least understood populations of marine mammals. The unresolved taxonomy of dwarf minke whales further highlights some of the existing knowledge gaps concerning these species. Due to their relatively small size and elusive behaviors, large uncertainties exist for almost all minke whale populations with respect to behavior, migratory routes and winter distributions, hindering effective conservation and management. However, recent advances in research technology, such as passive acoustic monitoring (PAM), unmanned aerial systems (UAS), multisensor recording tags, and machine learning assisted photo-identification, are increasingly being applied to study minke whales and their habitat, and are starting to open new windows into their life history and ecology. In future research, these non- and less-invasive methods should be integrated in larger-scale comparative studies aiming to better understand minke whale behavior, ecological interactions and their varying habitats to drive and support effective species conservation.</t>
  </si>
  <si>
    <t>[Risch, Denise] Scottish Assoc Marine Sci, Oban, Argyll, Scotland; [Norris, Thomas] Biowaves Inc, Encinitas, CA USA; [Curnock, Matthew] Commonwealth Sci &amp; Ind Res Org Land &amp; Water, Townsville, Qld, Australia; [Friedlaender, Ari] Univ Calif Santa Cruz, Inst Marine Sci, Santa Cruz, CA 95064 USA</t>
  </si>
  <si>
    <t>UHI Millennium Institute; Commonwealth Scientific &amp; Industrial Research Organisation (CSIRO); University of California System; University of California Santa Cruz</t>
  </si>
  <si>
    <t>Risch, D (corresponding author), Scottish Assoc Marine Sci, Oban, Argyll, Scotland.</t>
  </si>
  <si>
    <t>denise.risch@sams.ac.uk</t>
  </si>
  <si>
    <t>Risch, Denise/W-1070-2019; Curnock, Matthew/I-2578-2013</t>
  </si>
  <si>
    <t>Risch, Denise/0000-0002-3719-7420; Curnock, Matthew/0000-0002-2365-810X</t>
  </si>
  <si>
    <t>10.3389/fmars.2019.00247</t>
  </si>
  <si>
    <t>HY2AZ</t>
  </si>
  <si>
    <t>WOS:000467920300003</t>
  </si>
  <si>
    <t>Alarcón-Schumacher, T; Guajardo-Leiva, S; Antón, J; Díez, B</t>
  </si>
  <si>
    <t>Alarcon-Schumacher, Tomas; Guajardo-Leiva, Sergio; Anton, Josefa; Diez, Beatriz</t>
  </si>
  <si>
    <t>Elucidating Viral Communities During a Phytoplankton Bloom on the West Antarctic Peninsula</t>
  </si>
  <si>
    <t>phytoplankton blooms; Southern Ocean; viruses; environmental genomics; viral ecology</t>
  </si>
  <si>
    <t>RIBOSOMAL-RNA GENE; SOUTHERN-OCEAN; PHAEOCYSTIS-POUCHETII; SEA-ICE; VIRUSES; BACTERIAL; DYNAMICS; ABUNDANCE; ALIGNMENT; PSEUDOALTEROMONAS</t>
  </si>
  <si>
    <t>In Antarctic coastal waters where nutrient limitations are low, viruses are expected to play a major role in the regulation of bloom events. Despite this, research in viral identification and dynamics is scarce, with limited information available for the Southern Ocean (SO). This study presents an integrative-omics approach, comparing variation in the viral and microbial active communities on two contrasting sample conditions from a diatom-dominated phytoplankton bloom occurring in Chile Bay in the West Antarctic Peninsula (WAP) in the summer of 2014. The known viral community, initially dominated by Myoviridae family (similar to 82% of the total assigned reads), changed to become dominated by Phycodnaviridae (similar to 90%), while viral activity was predominantly driven by dsDNA members of the Phycodnaviridae (similar to 50%) and diatom infecting ssRNA viruses (similar to 38%), becoming more significant as chlorophyll a increased. A genomic and phylogenetic characterization allowed the identification of a new viral lineage within the Myoviridae family. This new lineage of viruses infects Pseudoalteromonas and was dominant in the phage community. In addition, a new Phycodnavirus (PaV) was described, which is predicted to infect Phaeocystis antarctica, the main blooming haptophyte in the SO. This work was able to identify the changes in the main viral players during a bloom development and suggests that the changes observed in the virioplankton could be used as a model to understand the development and decay of blooms that occur throughout the WAP.</t>
  </si>
  <si>
    <t>[Alarcon-Schumacher, Tomas; Guajardo-Leiva, Sergio; Diez, Beatriz] Pontificia Univ Catolica Chile, Dept Mol Genet &amp; Microbiol, Santiago, Chile; [Alarcon-Schumacher, Tomas] Max Planck Inst Marine Microbiol, Bremen, Germany; [Anton, Josefa] Univ Alicante, Dept Physiol Genet &amp; Microbiol, Alicante, Spain; [Diez, Beatriz] Univ Chile, Ctr Climate &amp; Resilience Res CR2, Santiago, Chile</t>
  </si>
  <si>
    <t>Pontificia Universidad Catolica de Chile; Max Planck Society; Universitat d'Alacant; Universidad de Chile</t>
  </si>
  <si>
    <t>Díez, B (corresponding author), Pontificia Univ Catolica Chile, Dept Mol Genet &amp; Microbiol, Santiago, Chile.;Díez, B (corresponding author), Univ Chile, Ctr Climate &amp; Resilience Res CR2, Santiago, Chile.</t>
  </si>
  <si>
    <t>bdiez@bio.puc.cl</t>
  </si>
  <si>
    <t>Díez, Beatriz/AAG-2244-2021; Guajardo-Leiva, Sergio/GYD-4703-2022</t>
  </si>
  <si>
    <t>Díez, Beatriz/0000-0002-9371-8083; Guajardo-Leiva, Sergio/0000-0003-3083-4375; Alarcon-Schumacher, Tomas/0000-0001-9159-7188</t>
  </si>
  <si>
    <t>CONICYT [21130667, DPI20140044]; INACH [RG_09-17]; FONDAP [15110009]; FONDECYT [1190998]; [INACH15-10]</t>
  </si>
  <si>
    <t>CONICYT(Comision Nacional de Investigacion Cientifica y Tecnologica (CONICYT)); INACH; FONDAP; FONDECYT(Comision Nacional de Investigacion Cientifica y Tecnologica (CONICYT)CONICYT FONDECYT);</t>
  </si>
  <si>
    <t>This work was financially supported by a Ph.D. scholarship CONICYT No 21130667; INACH15-10, INACH RG_09-17, CONICYT for international cooperation DPI20140044, FONDAP No 15110009, and FONDECYT No 1190998.</t>
  </si>
  <si>
    <t>10.3389/fmicb.2019.01014</t>
  </si>
  <si>
    <t>HY1EB</t>
  </si>
  <si>
    <t>WOS:000467856600001</t>
  </si>
  <si>
    <t>Liszka, CM; Manno, C; Stowasser, G; Robinson, C; Tarling, GA</t>
  </si>
  <si>
    <t>Liszka, Cecilia M.; Manno, Clara; Stowasser, Gabriele; Robinson, Carol; Tarling, Geraint A.</t>
  </si>
  <si>
    <t>Mesozooplankton Community Composition Controls Fecal Pellet Flux and Remineralization Depth in the Southern Ocean</t>
  </si>
  <si>
    <t>copepods; euphausiids; Scotia Sea; biological carbon pump; sea-ice; export</t>
  </si>
  <si>
    <t>ORGANIC-CARBON FLUX; SINKING RATES; VERTICAL FLUX; MARINE SNOW; SCOTIA SEA; PHYTOPLANKTON BLOOM; MESOPELAGIC ZONE; NATURAL COPEPOD; IMAGE-ANALYSIS; FOOD-WEB</t>
  </si>
  <si>
    <t>Zooplankton fecal pellets (FPs) are important conduits of carbon from the surface to the deep ocean, as shown by their presence in deep-sea sediment traps. Zooplankton themselves are thought to play an important role in the breakdown and reworking of FPs as they sink, whilst processes such as diel vertical migration (DVM) may enhance the supply of carbon to the mesopelagic. However, comparatively little is known about the processes or variability of FP sinking/transport within the upper mesopelagic and how this relates to deeper ocean export. Profiles of FP type and size, and the contribution made by FPs to mesopelagic carbon flux to a depth of 400 m, were considered. Three contrasting locations in the Scotia Sea were compared, which together reflect the variability in physical regime and productivity encountered across the Southern Ocean. Comparing observed FPs with predictions from the mesozooplankton community, we show that, even at shallow depths, the smallest fraction of FP is under-represented, suggesting rapid remineralization, incorporation into larger aggregates or reworking into larger FPs, and that the flux is dominated by FPs from larger zooplankton. In contrast to models where POC attenuation rates are set to increase with temperature, we find that FP carbon flux attenuates rapidly in low productivity, colder regions dominated by krill, while remineralization is deeper in warmer areas where productivity is high and copepods dominate. This emphasizes the strong modulation of the zooplankton community on the supply and transfer of FP carbon between the epi-and mesopelagic. Evidence was found to suggest that DVM enhances FP flux across the upper mesopelagic, producing a pulse of fresh, dense material that may support secondary production and heterotrophic respiration in the mesopelagic. This illustrates that variability in flux at short (daily) as well as longer (seasonal) timescales may have important implications for the supply of FP carbon to deeper waters.</t>
  </si>
  <si>
    <t>[Liszka, Cecilia M.; Manno, Clara; Stowasser, Gabriele; Tarling, Geraint A.] British Antarctic Survey, Cambridge, England; [Liszka, Cecilia M.; Robinson, Carol] Univ East Anglia, Sch Environm Sci, Norwich, Norfolk, England</t>
  </si>
  <si>
    <t>UK Research &amp; Innovation (UKRI); Natural Environment Research Council (NERC); NERC British Antarctic Survey; University of East Anglia</t>
  </si>
  <si>
    <t>Liszka, CM; Tarling, GA (corresponding author), British Antarctic Survey, Cambridge, England.;Liszka, CM (corresponding author), Univ East Anglia, Sch Environm Sci, Norwich, Norfolk, England.</t>
  </si>
  <si>
    <t>c.m.liszka.02@cantab.net; gant@bas.ac.uk</t>
  </si>
  <si>
    <t>Liszka, Cecilia/AAW-4544-2021; Robinson, Carol/F-7649-2011; Robinson, Carol/AAW-1857-2021; Liszka, Cecilia/AAM-6466-2021</t>
  </si>
  <si>
    <t>Liszka, Cecilia/0000-0003-1309-4045; Robinson, Carol/0000-0003-3033-4565; Robinson, Carol/0000-0003-3033-4565; Liszka, Cecilia/0000-0003-1309-4045</t>
  </si>
  <si>
    <t>NERC studentship through the EnvEast Doctoral Training Partnership at the University of East Anglia [NE/L002582/1]; British Antarctic Survey Ecosystems Programme; Western Core Box Project; SCOOBIES Project; NERC [NE/R000956/1, bas0100035] Funding Source: UKRI</t>
  </si>
  <si>
    <t>NERC studentship through the EnvEast Doctoral Training Partnership at the University of East Anglia(UK Research &amp; Innovation (UKRI)Natural Environment Research Council (NERC)); British Antarctic Survey Ecosystems Programme; Western Core Box Project; SCOOBIES Project; NERC(UK Research &amp; Innovation (UKRI)Natural Environment Research Council (NERC))</t>
  </si>
  <si>
    <t>This work was funded by a NERC studentship granted through the EnvEast Doctoral Training Partnership (Grant No. NE/L002582/1) at the University of East Anglia. Fieldwork was supported by the British Antarctic Survey Ecosystems Programme and the Western Core Box and SCOOBIES Projects on board the RRS James Clark Ross.</t>
  </si>
  <si>
    <t>MAY 10</t>
  </si>
  <si>
    <t>10.3389/fmars.2019.00230</t>
  </si>
  <si>
    <t>HX6GR</t>
  </si>
  <si>
    <t>WOS:000467502600001</t>
  </si>
  <si>
    <t>Weisleitner, K; Perras, A; Moissl-Eichinger, C; Andersen, DT; Sattler, B</t>
  </si>
  <si>
    <t>Weisleitner, Klemens; Perras, Alexandra; Moissl-Eichinger, Christine; Andersen, Dale T.; Sattler, Birgit</t>
  </si>
  <si>
    <t>Source Environments of the Microbiome in Perennially Ice-Covered Lake Untersee, Antarctica</t>
  </si>
  <si>
    <t>Lake Untersee; 16S rRNA; Antarctica; Anuchin Glacier; cryoconite holes; transfer of biota; source tracking</t>
  </si>
  <si>
    <t>DRONNING MAUD LAND; MCMURDO DRY VALLEYS; CRYOCONITE HOLES; TAYLOR VALLEY; EAST ANTARCTICA; GLACIAL ICE; DIVERSITY; BACTERIAL; SEA; BIOGEOCHEMISTRY</t>
  </si>
  <si>
    <t>Ultra-oligotrophic Lake Untersee is among the largest and deepest surface lakes of Central Queen Maud Land in East Antarctica. It is dammed at its north end by the Anuchin Glacier and the ice-cover dynamics are controlled by sublimation - not melt - as the dominating ablation process and therefore surface melt during austral summer does not provide significant amounts of water for recharge compared to subsurface melt of the Anuchin Glacier. Several studies have already described the structure and function of the microbial communities within the water column and benthic environments of Lake Untersee, however, thus far there have been no studies that examine the linkages between the lake ecosystem with that of the surrounding soils or the Anuchin Glacier. The glacier may also play an important role as a major contributor of nutrients and biota into the lake ecosystem. Based on microbial 16S rRNA amplicon sequencing, we showed that the dominant bacterial signatures in Lake Untersee, the Anuchin Glacier and its surrounding soils were affiliated with Actinobacteria, Bacteroidetes, Cyanobacteria, Firmicutes, and Proteobacteria. Aerosol and local soil depositions on the glacier surface resulted in distinct microbial communities developing in glacier ice and cryoconite holes. Based on a source tracking algorithm, we found that cryoconite microbial assemblages were a potential source of organisms, explaining up to 36% of benthic microbial mat communities in the lake. However, the major biotic sources for the lake ecosystem are still unknown, illustrating the possible importance of englacial and subglacial zones. The Anuchin Glacier may be considered as a vector in a biological sense for the bacterial colonization of the perennially ice-covered Lake Untersee. However, despite a thick perennial ice cover, observed lift-off microbial mats escaping the lake make a bidirectional transfer of biota plausible. Hence, there is an exchange of biota between Lake Untersee and connective habitats possible despite the apparent sealing by a perennial ice cover and the absence of moat areas during austral summer.</t>
  </si>
  <si>
    <t>[Weisleitner, Klemens; Sattler, Birgit] Univ Innsbruck, Inst Ecol, Innsbruck, Austria; [Weisleitner, Klemens; Sattler, Birgit] Austrian Polar Res Inst, Vienna, Austria; [Perras, Alexandra] Med Univ Graz, Ctr Med Res ZMF, Graz, Austria; [Moissl-Eichinger, Christine] Med Univ Graz, Dept Internal Med, Joint Facil, Graz, Austria; [Moissl-Eichinger, Christine] BioTechMed Graz, Graz, Austria; [Andersen, Dale T.] SETI Inst, Mountain View, CA USA</t>
  </si>
  <si>
    <t>University of Innsbruck; Medical University of Graz; Medical University of Graz</t>
  </si>
  <si>
    <t>Sattler, B (corresponding author), Univ Innsbruck, Inst Ecol, Innsbruck, Austria.;Sattler, B (corresponding author), Austrian Polar Res Inst, Vienna, Austria.</t>
  </si>
  <si>
    <t>Birgit.Sattler@uibk.ac.at</t>
  </si>
  <si>
    <t>Weisleitner, Klemens/KCL-0270-2024; Moissl-Eichinger, Christine/A-6682-2015; Andersen, Dale T/B-4816-2013; Sattler, Birgit/C-4070-2018</t>
  </si>
  <si>
    <t>Andersen, Dale T/0000-0001-8827-1259;</t>
  </si>
  <si>
    <t>Tawani Foundation of Chicago; Trottier Family Foundation; NASA's Exobiology and Astrobiology Programs; Arctic and Antarctic Research Institute</t>
  </si>
  <si>
    <t>This study was supported by the Tawani Foundation of Chicago, the Trottier Family Foundation, NASA's Exobiology and Astrobiology Programs, and the Arctic and Antarctic Research Institute.</t>
  </si>
  <si>
    <t>10.3389/fmicb.2019.01019</t>
  </si>
  <si>
    <t>HX7XE</t>
  </si>
  <si>
    <t>WOS:000467619000001</t>
  </si>
  <si>
    <t>González-Castillo, L; Bohoyo, F; Junge, A; Galindo-zaldívar, J; Cembrowski, M; Torres-Carbonell, P; Ruiz-Constán, A; Pedrera, A; Ibarra, P; Maestro, A; Ruano, P</t>
  </si>
  <si>
    <t>Gonzalez-Castillo, Lourdes; Bohoyo, Fernando; Junge, Andreas; Galindo-zaldivar, Jesus; Cembrowski, Marcel; Torres-Carbonell, Pablo; Ruiz-Constan, Ana; Pedrera, Antonio; Ibarra, Pedro; Maestro, Adolfo; Ruano, Patricia</t>
  </si>
  <si>
    <t>Mantle flow and deep electrical anisotropy in a main gateway: MT study in Tierra del Fuego</t>
  </si>
  <si>
    <t>SEISMIC ANISOTROPY; CONTINENTAL-CRUST; CONDUCTIVITY; BENEATH; SEA; DEFORMATION; OLIVINE; PATTERN; PLATES</t>
  </si>
  <si>
    <t>Asthenospheric mantle flow drives lithospheric plate motion and constitutes a relevant feature of Earth gateways. It most likely influences the spatial pattern of seismic velocity and deep electrical anisotropies. The Drake Passage is a main gateway in the global pattern of mantle flow. The separation of the South American and Antarctic plates since the Oligocene produced this oceanic and mantle gateway connecting the Pacific and Atlantic oceans. Here we analyze the deep crustal and upper mantle electrical anisotropy of its northern margin using long period magnetotelluric data from Tierra del Fuego (Argentina). The influence of the surrounding oceans was taken into account to constrain the mantle electrical conductivity features. 3D electrical models were calculated to fit 18 sites responses in this area. The phase tensor pattern for the longest periods reveals the existence of a well-defined NW-SE electrical conductivity anisotropy in the upper mantle. This anisotropy would result from the mantle flow related to the 30 to 6 Ma West Scotia spreading, constricted by the subducted slab orientation of the Pacific plate, rather than the later eastward mantle flow across the Drake Passage. Deep electrical anisotropy proves to be a key tool for a better understanding of mantle flow.</t>
  </si>
  <si>
    <t>[Gonzalez-Castillo, Lourdes; Galindo-zaldivar, Jesus; Ruano, Patricia] Univ Granada, Dept Geodinam, Granada, Spain; [Bohoyo, Fernando; Ruiz-Constan, Ana; Pedrera, Antonio; Ibarra, Pedro; Maestro, Adolfo] IGME, Madrid, Spain; [Junge, Andreas; Cembrowski, Marcel] Goethe Univ Frankfurt Main, Frankfurt, Germany; [Galindo-zaldivar, Jesus; Ruano, Patricia] Univ Granada, CSIC, IACT, Granada, Spain; [Torres-Carbonell, Pablo] Consejo Nacl Invest Cient &amp; Tecn, Ctr Austral Invest Cient, Ushuaia, Argentina</t>
  </si>
  <si>
    <t>University of Granada; Goethe University Frankfurt; Consejo Superior de Investigaciones Cientificas (CSIC); CSIC - Instituto Andaluz de Ciencias de la Tierra (IACT); University of Granada; Consejo Nacional de Investigaciones Cientificas y Tecnicas (CONICET)</t>
  </si>
  <si>
    <t>González-Castillo, L (corresponding author), Univ Granada, Dept Geodinam, Granada, Spain.</t>
  </si>
  <si>
    <t>lgcastillo@ugr.es</t>
  </si>
  <si>
    <t>Ruano, Patricia/L-9168-2014; Bohoyo, Fernando/AAZ-5990-2021; Maestro, Adolfo/ABG-7268-2021; Galindo-Zaldivar, Jesus/K-3640-2012; Pedrera, Antonio/L-6463-2014; Bohoyo, Fernando/C-1062-2011; RUIZ-CONSTAN, ANA/L-4634-2014; Maestro Gonzalez, Adolfo/K-2434-2014</t>
  </si>
  <si>
    <t>Bohoyo, Fernando/0000-0002-1044-8816; Galindo-Zaldivar, Jesus/0000-0002-3493-2637; Pedrera, Antonio/0000-0003-1990-9292; Bohoyo, Fernando/0000-0002-1044-8816; RUIZ-CONSTAN, ANA/0000-0002-0920-6369; Junge, Andreas/0000-0003-1573-2485; Maestro Gonzalez, Adolfo/0000-0002-7474-725X; Gonzalez Castillo, Lourdes/0000-0002-2997-4971; Torres Carbonell, Pablo/0000-0003-2804-8789</t>
  </si>
  <si>
    <t>Ministry of Science, Innovation and Universities of Spain [CTM2014-60451-C2-02/01, CTM2017-89711-C2-2/1-P]; Junta de Andalucia (Spain) [RNM-148]</t>
  </si>
  <si>
    <t>Ministry of Science, Innovation and Universities of Spain; Junta de Andalucia (Spain)(Junta de Andalucia)</t>
  </si>
  <si>
    <t>Authors are grateful to two anonymous reviewers whose comments have improved the manuscript. This work was supported through projects CTM2014-60451-C2-02/01 and CTM2017-89711-C2-2/1-P from Ministry of Science, Innovation and Universities of Spain and the RNM-148 from Junta de Andalucia (Spain). We thank the Austral Center for Scientific Research (CADIC) for the scientific and logistical support. In memoriam of Pedro Ignacio Ibarra Torre (1965-2018).</t>
  </si>
  <si>
    <t>MAY 9</t>
  </si>
  <si>
    <t>10.1038/s41598-019-43763-w</t>
  </si>
  <si>
    <t>HX6UJ</t>
  </si>
  <si>
    <t>WOS:000467538500028</t>
  </si>
  <si>
    <t>Lee, WY; Cho, H; Kim, M; Tripathi, BM; Jung, JW; Chung, H; Kim, JH</t>
  </si>
  <si>
    <t>Lee, Won Young; Cho, Hyunjun; Kim, Mincheol; Tripathi, Binu Mani; Jung, Jin-Woo; Chung, Hosung; Kim, Jeong-Hoon</t>
  </si>
  <si>
    <t>Faecal microbiota changes associated with the moult fast in chinstrap and gentoo penguins</t>
  </si>
  <si>
    <t>ASSEMBLY PROCESSES; STOMACH CONTENTS; GUT MICROBIOTA; IDENTIFICATION; ENERGY; ISLAND; TRACT</t>
  </si>
  <si>
    <t>In many seabirds, individuals abstain from eating during the moult period. Penguins have an intense moult that lasts for weeks, during which they are confined to land. Despite the importance for survival, it is still unclear how the faecal microbiota of Antarctic penguins changes in response to the moult fast. Here, we investigated the faecal microbiota of chinstrap (Pygoscelis antarcticus) and gentoo penguins (Pygoscelis papua) on King George Island, Antarctica. The bacterial community compositions during the feeding and moulting stages were compared for both species using bacterial 16S rRNA gene amplicon on an Illumina MiSeq platform. Our results showed that the moult fast altered the bacterial community structures in both penguin species. Interestingly, the bacterial community composition shifted in the same direction in response to the moult fast but formed two distinct clusters that were specific to each penguin species. A significant increase in bacterial diversity was observed in gentoo penguins, whereas no such change was observed for chinstrap penguins. By analysing the contribution of the ecological processes that determine bacterial community assembly, we observed that processes regulating community turnover were considerably different between the feeding and moulting stages for each penguin. At the phylum level, the relative abundances of Fusobacteria, Firmicutes and Proteobacteria were dominant in chinstrap penguins, and no significant changes were detected in these phyla between the feeding and moulting periods. Our results suggest that moult fast-induced changes in the faecal microbiota occur in both species.</t>
  </si>
  <si>
    <t>[Lee, Won Young; Cho, Hyunjun; Kim, Mincheol; Tripathi, Binu Mani; Jung, Jin-Woo; Chung, Hosung; Kim, Jeong-Hoon] Korea Polar Res Inst, Div Polar Life Sci, Incheon, South Korea</t>
  </si>
  <si>
    <t>Tripathi, Binu/J-3075-2015</t>
  </si>
  <si>
    <t>Tripathi, Binu/0000-0002-7848-0206</t>
  </si>
  <si>
    <t>Development of Environmental Monitoring Techniques of Antarctic Specially Protected Area (ASPA) - Ministry of Environment Korea [171, PG18040]; Korea Polar Research Institute [PE14290, PE14440]</t>
  </si>
  <si>
    <t>Development of Environmental Monitoring Techniques of Antarctic Specially Protected Area (ASPA) - Ministry of Environment Korea; Korea Polar Research Institute(Korea Polar Research Institute of Marine Research Placement (KOPRI))</t>
  </si>
  <si>
    <t>WYL, JWJ, HC, and JHK were supported by Development of Environmental Monitoring Techniques of Antarctic Specially Protected Area (ASPA no. 171) funded by Ministry of Environment Korea (PG18040) and Korea Polar Research Institute (PE14290, PE14440). The funders had no role in study design, data collection and analysis, decision to publish, or preparation of the manuscript.</t>
  </si>
  <si>
    <t>MAY 8</t>
  </si>
  <si>
    <t>e0216565</t>
  </si>
  <si>
    <t>10.1371/journal.pone.0216565</t>
  </si>
  <si>
    <t>HX4MT</t>
  </si>
  <si>
    <t>WOS:000467373000049</t>
  </si>
  <si>
    <t>Zawierucha, K; Marshall, CJ; Wharton, D; Janko, K</t>
  </si>
  <si>
    <t>Zawierucha, Krzysztof; Marshall, Craig J.; Wharton, David; Janko, Karel</t>
  </si>
  <si>
    <t>A nematode in the mist: Scottnema lindsayae is the only soil metazoan in remote Antarctic deserts, at greater densities with altitude</t>
  </si>
  <si>
    <t>Altitudinal gradient; Antarctica; ecosystem variability; orographic clouds; Darwin Glacier; soil moisture</t>
  </si>
  <si>
    <t>MCMURDO DRY VALLEYS; TAYLOR VALLEY; CLIMATE-CHANGE; VICTORIA LAND; TERRESTRIAL BIODIVERSITY; COMMUNITY STRUCTURE; DARWIN MOUNTAINS; CRYOCONITE HOLES; ROSS ISLAND; DIVERSITY</t>
  </si>
  <si>
    <t>A decrease in biodiversity and density of terrestrial organisms with increasing altitude and latitude is a well-known ecogeographical pattern. However, studies of these trends are often taxonomically-biased toward well-known organisms and especially those with relatively large bodies, and environmental variability at the local scale may perturb these general effects. Here, we focus on understudied organisms-soil invertebrates-in Antarctic deserts, which are among the driest and coldest places on Earth. We sampled two remote Antarctic sites in the Darwin Glacier area and established an altitudinal gradient running from 210 to 836 m a.s.l. We measured soil geochemistry and organic matter content and linked these parameters with the presence of soil invertebrates. We found three general outcomes, two of which are consistent with general assumptions: (a) the hostile climatic condition of the Darwin Glacier region supports an extremely low diversity of soil metazoans represented by a single nematode species-Scottnema lindsayae; (b) soil geochemistry is the main factor influencing distribution of nematodes at the local scale. Contrary to our expectations, a positive correlation was found between nematode density and altitude. This last observation could be explained by an additional effect of soil moisture as we found this increased with altitude and may be caused by orographic clouds, which are present in this region. To the best of our knowledge such effects have been described in tropical and temperate regions. Potential effect of orographic clouds on soil properties in polar deserts may be a fruitful area of ecological research on soil fauna.</t>
  </si>
  <si>
    <t>[Zawierucha, Krzysztof] Adam Mickiewicz Univ, Fac Biol, Dept Anim Taxon &amp; Ecol, Poznan, Poland; [Marshall, Craig J.] Univ Otago, Dept Biochem &amp; Genet Otago, Dunedin, New Zealand; [Wharton, David] Univ Otago, Dept Zool, Dunedin, New Zealand; [Zawierucha, Krzysztof; Janko, Karel] Acad Sci Czech Republ, Inst Anim Physiol &amp; Genet, Lab Fish Genet, Rumburska 89, Libechov 27721, Czech Republic; [Janko, Karel] Univ Ostrava, Fac Sci, Dept Biol &amp; Ecol, Ostrava, Czech Republic</t>
  </si>
  <si>
    <t>Adam Mickiewicz University; University of Otago; University of Otago; Czech Academy of Sciences; Institute of Animal Physiology &amp; Genetics of the Czech Academy of Sciences; University of Ostrava</t>
  </si>
  <si>
    <t>Janko, K (corresponding author), Acad Sci Czech Republ, Inst Anim Physiol &amp; Genet, Lab Fish Genet, Rumburska 89, Libechov 27721, Czech Republic.</t>
  </si>
  <si>
    <t>janko@lapg.cas.cz</t>
  </si>
  <si>
    <t>Zawierucha, Krzysztof/HTP-6506-2023; Zawierucha, Krzysztof/HDN-5985-2022; Marshall, Craig/C-6668-2009</t>
  </si>
  <si>
    <t>Zawierucha, Krzysztof/0000-0002-0754-1411; Marshall, Craig/0000-0003-4186-0368</t>
  </si>
  <si>
    <t>[RVO 67985904]; [CZ.02.1.01/0.0/0.0/15_003/0000460 OP RDE]</t>
  </si>
  <si>
    <t>;</t>
  </si>
  <si>
    <t>Studies were supported by institutional support RVO 67985904 and by the project Excellence CZ.02.1.01/0.0/0.0/15_003/0000460 OP RDE to KJ and KZ.</t>
  </si>
  <si>
    <t>MAY 7</t>
  </si>
  <si>
    <t>10.33265/polar.v38.3494</t>
  </si>
  <si>
    <t>IH1DO</t>
  </si>
  <si>
    <t>WOS:000474231700001</t>
  </si>
  <si>
    <t>Cross, EL; Harper, EM; Peck, LS</t>
  </si>
  <si>
    <t>Cross, Emma L.; Harper, Elizabeth M.; Peck, Lloyd S.</t>
  </si>
  <si>
    <t>Thicker Shells Compensate Extensive Dissolution in Brachiopods under Future Ocean Acidification</t>
  </si>
  <si>
    <t>DISSOCIATION-CONSTANTS; SEAWATER ACIDIFICATION; CARBONIC-ACID; LIFE-HISTORY; IMPACT; CALCIFICATION; TEMPERATURE; REPAIR; RESPONSES; MOLLUSKS</t>
  </si>
  <si>
    <t>Organisms with long generation times require phenotypic plasticity to survive in changing environments until genetic adaptation can be achieved. Marine calcifiers are particularly vulnerable to ocean acidification due to dissolution and a reduction in shell-building carbonate ions. Long-term experiments assess organisms' abilities to acclimatize or even adapt to environmental change. Here we present an unexpected compensatory response to extensive shell dissolution in a highly calcium-carbonate-dependent organism after long-term culture in predicted end-century acidification and warming conditions. Substantial shell dissolution with decreasing pH posed a threat to both a polar (Liothyrella uva) and a temperate (Calloria inconspicua) brachiopod after 7 months and 3 months exposure, respectively, with more extensive dissolution in the polar species. This impact was reflected in decreased outer primary layer thickness in the polar brachiopod. A compensatory response of increasing inner secondary layer thickness, and thereby producing a thicker shell, was exhibited by the polar species. Less extensive dissolution in the temperate brachiopod did not affect shell thickness. Increased temperature did not impact shell dissolution or thickness. Brachiopod ability to produce a thicker shell when extensive shell dissolution occurs suggests this marine calcifier has great plasticity in calcification providing insights into how similar species might cope under future environmental change.</t>
  </si>
  <si>
    <t>[Cross, Emma L.; Harper, Elizabeth M.] Univ Cambridge, Dept Earth Sci, Downing St, Cambridge CB2 3EQ, England; [Cross, Emma L.; Peck, Lloyd S.] British Antarctic Survey, NERC, Madingley Rd, Cambridge CB3 0ET, England</t>
  </si>
  <si>
    <t>Cross, EL (corresponding author), Univ Cambridge, Dept Earth Sci, Downing St, Cambridge CB2 3EQ, England.;Cross, EL (corresponding author), British Antarctic Survey, NERC, Madingley Rd, Cambridge CB3 0ET, England.</t>
  </si>
  <si>
    <t>E.L.Cross@cantab.net</t>
  </si>
  <si>
    <t>Harper, Elizabeth M/B-3890-2008</t>
  </si>
  <si>
    <t>Cross, Emma/0000-0002-5855-2145</t>
  </si>
  <si>
    <t>NERC PhD Studentship [NE/T/A/2011]; NERC [dml011000, bas0100036] Funding Source: UKRI</t>
  </si>
  <si>
    <t>NERC PhD Studentship(UK Research &amp; Innovation (UKRI)Natural Environment Research Council (NERC)); NERC(UK Research &amp; Innovation (UKRI)Natural Environment Research Council (NERC))</t>
  </si>
  <si>
    <t>The authors would like to thank the scientific dive team at the British Antarctic Survey Rothera Research Station for collecting the L. uva specimens and to Dr. Coleen Suckling, Dr. Simon Morley, and Rebecca Smith for their help in the setup and maintenance of the polar experimental system. We are very grateful to Dr. Miles Lamare for his assistance in the organisation and collection of the C. inconspicua specimens. Thanks also to the science support staff at the Portobello Marine Laboratory, University of Otago for their help in the construction and maintenance of the temperate experimental system. Thanks to Dr. Kim Currie at the National Institute of Water and Atmospheric Research for the DIC and total alkalinity measurements. This research was funded by the NERC PhD Studentship (NE/T/A/2011) awarded to ELC.</t>
  </si>
  <si>
    <t>10.1021/acs.est.9b00714</t>
  </si>
  <si>
    <t>HX8FN</t>
  </si>
  <si>
    <t>WOS:000467641800038</t>
  </si>
  <si>
    <t>Figuerola, B; Gore, DB; Johnstone, G; Stark, JS</t>
  </si>
  <si>
    <t>Figuerola, Blanca; Gore, Damian B.; Johnstone, Glenn; Stark, Jonathan S.</t>
  </si>
  <si>
    <t>Spatio-temporal variation of skeletal Mg-calcite in Antarctic marine calcifiers</t>
  </si>
  <si>
    <t>SOFT-SEDIMENT ASSEMBLAGES; OCEAN ACIDIFICATION; METAL CONTAMINATION; MULTIVARIATE-ANALYSIS; CARBONATE MINERALOGY; PERMUTATION TESTS; CASEY STATION; PATTERNS; GROWTH; COLONIZATION</t>
  </si>
  <si>
    <t>Human driven changes such as increases in oceanic CO2, global warming, petroleum hydrocarbons and heavy metals may negatively affect the ability of marine calcifiers to build their skeletons/shells, especially in polar regions. We examine spatio-temporal variability of skeletal Mg-calcite in shallow water Antarctic marine invertebrates using bryozoan and spirorbids as models in a recruitment experiment of settlement tiles in East Antarctica. Mineralogies were determined for 754 specimens belonging to six bryozoan species (four cheilostome and two cyclostome species) and two spirorbid species from around Casey Station. Intra-and interspecific variability in wt% MgCO3 in calcite among most species was the largest source of variation overall. Therefore, the skeletal Mg-calcite in these taxa seem to be mainly biologically controlled. However, significant spatial variability was also found in wt% MgCO3 in calcite, possibly reflecting local environment variation from sources such as freshwater input and contaminated sediments. Species with high-Mg calcite skeletons (e.g. Beania erecta) could be particularly sensitive to multiple stressors under predictions for near-future global ocean chemistry changes such as increasing temperature, ocean acidification and pollution.</t>
  </si>
  <si>
    <t>[Figuerola, Blanca] STRI, Panama City, Panama; [Figuerola, Blanca] Univ Barcelona, Biodivers Res Inst IrBIO, Barcelona, Catalonia, Spain; [Gore, Damian B.] Macquarie Univ, Fac Sci &amp; Engn, Dept Environm Sci, Sydney, NSW, Australia; [Johnstone, Glenn; Stark, Jonathan S.] Australian Antarctic Div, Antarctic Conservat &amp; Management Program, Hobart, Tas, Australia</t>
  </si>
  <si>
    <t>Smithsonian Institution; Smithsonian Tropical Research Institute; University of Barcelona; Macquarie University; Australian Antarctic Division</t>
  </si>
  <si>
    <t>Figuerola, B (corresponding author), STRI, Panama City, Panama.;Figuerola, B (corresponding author), Univ Barcelona, Biodivers Res Inst IrBIO, Barcelona, Catalonia, Spain.</t>
  </si>
  <si>
    <t>bfiguerola@gmail.com</t>
  </si>
  <si>
    <t>Figuerola, Blanca/C-6252-2015; Stark, Jonathan/ABF-4025-2020</t>
  </si>
  <si>
    <t>Figuerola, Blanca/0000-0003-4731-9337; Stark, Jonathan/0000-0002-4268-8072; Johnstone, Glenn/0000-0002-9302-4794</t>
  </si>
  <si>
    <t>Council of Managers of National Antarctic Programs (COMNAP) Research Fellowship; Australian Antarctic Division [AAS 4127]</t>
  </si>
  <si>
    <t>Council of Managers of National Antarctic Programs (COMNAP) Research Fellowship; Australian Antarctic Division</t>
  </si>
  <si>
    <t>The research visit of B. Figuerola to the Australian Antarctic Division and Macquarie University received support from a Council of Managers of National Antarctic Programs (COMNAP) Research Fellowship. This project was supported financially by the Australian Antarctic Division grant AAS 4127. The funders had no role in study design, data collection and analysis, decision to publish, or preparation of the manuscript.</t>
  </si>
  <si>
    <t>e0210231</t>
  </si>
  <si>
    <t>10.1371/journal.pone.0210231</t>
  </si>
  <si>
    <t>HX1JZ</t>
  </si>
  <si>
    <t>WOS:000467148400002</t>
  </si>
  <si>
    <t>Löptien, U; Dietze, H</t>
  </si>
  <si>
    <t>Loeptien, Ulrike; Dietze, Heiner</t>
  </si>
  <si>
    <t>Reciprocal bias compensation and ensuing uncertainties in model-based climate projections: pelagic biogeochemistry versus ocean mixing</t>
  </si>
  <si>
    <t>MARINE ECOSYSTEM MODEL; PARAMETER OPTIMIZATION; DATA ASSIMILATION; PART I; NORTH-ATLANTIC; SYSTEM; CIRCULATION; DIAGNOSTICS; IMPACTS; SENSITIVITY</t>
  </si>
  <si>
    <t>Anthropogenic emissions of greenhouse gases such as CO2 and N2O impinge on the Earth system, which in turn modulates atmospheric greenhouse gas concentrations. The underlying feedback mechanisms are complex and, at times, counterintuitive. So-called Earth system models have recently matured to standard tools tailored to assess these feedback mechanisms in a warming world. Applications for these models range from being targeted at basic process understanding to the assessment of geo-engineering options. A problem endemic to all these applications is the need to estimate poorly known model parameters, specifically for the biogeochemical component, based on observational data (e.g., nutrient fields). In the present study, we illustrate with an Earth system model that through such an approach biases and other model deficiencies in the physical ocean circulation model component can reciprocally compensate for biases in the pelagic biogeochemical model component (and vice versa). We present two model configurations that share a remarkably similar steady state (based on ad hoc measures) when driven by historical boundary conditions, even though they feature substantially different configurations (parameter sets) of ocean mixing and biogeochemical cycling. When projected into the future the similarity between the model responses breaks. Metrics such as changes in total oceanic carbon content and suboxic volume diverge between the model configurations as the Earth warms. Our results reiterate that advancing the understanding of oceanic mixing processes will reduce the uncertainty of future projections of oceanic biogeochemical cycles. Related to the latter, we suggest that an advanced understanding of oceanic biogeochemical cycles can be used for advancements in ocean circulation modules.</t>
  </si>
  <si>
    <t>[Loeptien, Ulrike; Dietze, Heiner] Univ Kiel, Inst Geosci, Ludewig Meyn Str 10, D-24118 Kiel, Germany; [Loeptien, Ulrike; Dietze, Heiner] GEOMAR Helmholtz Ctr Ocean Res Kiel, Biogeochem Modelling Dept, Dusternbrooker Weg 20, D-24105 Kiel, Germany</t>
  </si>
  <si>
    <t>University of Kiel; Helmholtz Association; GEOMAR Helmholtz Center for Ocean Research Kiel</t>
  </si>
  <si>
    <t>Löptien, U (corresponding author), Univ Kiel, Inst Geosci, Ludewig Meyn Str 10, D-24118 Kiel, Germany.;Löptien, U (corresponding author), GEOMAR Helmholtz Ctr Ocean Res Kiel, Biogeochem Modelling Dept, Dusternbrooker Weg 20, D-24105 Kiel, Germany.</t>
  </si>
  <si>
    <t>ulrike.loeptien@ifg.uni-kiel.de</t>
  </si>
  <si>
    <t>Dietze, Heiner/A-7466-2009; Loeptien, Ulrike/AAW-6325-2021</t>
  </si>
  <si>
    <t>Dietze, Heiner/0000-0002-0931-8707</t>
  </si>
  <si>
    <t>Helmholtz Association of German Research Centres (HGF) [ZT-I-0010]; Deutsche Forschungsgemeinschaft (DFG) [SPP 1158, SCHN 762/5-1]</t>
  </si>
  <si>
    <t>Helmholtz Association of German Research Centres (HGF)(Helmholtz Association); Deutsche Forschungsgemeinschaft (DFG)(German Research Foundation (DFG))</t>
  </si>
  <si>
    <t>This work is a contribution of the project Reduced Complexity Models (supported by the Helmholtz Association of German Research Centres (HGF) - grant no. ZT-I-0010) and was additionally supported by the Deutsche Forschungsgemeinschaft (DFG) in the framework of the priority program Antarctic Research with comparative investigations in Arctic ice areas SPP 1158 by grant no. SCHN 762/5-1. We thank Anne Willem Omta and an anonymous reviewer for extremely detailed and helpful comments.</t>
  </si>
  <si>
    <t>MAY 6</t>
  </si>
  <si>
    <t>10.5194/bg-16-1865-2019</t>
  </si>
  <si>
    <t>HW9NY</t>
  </si>
  <si>
    <t>WOS:000467019000001</t>
  </si>
  <si>
    <t>Dixon, T</t>
  </si>
  <si>
    <t>Dixon, Thom</t>
  </si>
  <si>
    <t>Mapping the potential impact of synthetic biology on Australian foreign policy</t>
  </si>
  <si>
    <t>Synthetic biology; biosecurity; emerging technology; Australian foreign policy</t>
  </si>
  <si>
    <t>Synthetic biology is an emerging technology that will impact on the future security and prosperity of Australia. As a discrete policy area synthetic biology has not been explored in relation to Australian foreign policy. To begin this process an understanding of Australia's genetic endowment, Australia's agricultural endowment and those security concerns novel to synthetic biology need to be developed. The convergence of the biological sciences and the information sciences is creating novel security concerns that impact on Australian sovereignty, both mainland and the Antarctic Territories, plant and animal health, and defence medical infrastructure. These concerns cross many traditional disciplinary and policy boundaries, an awareness of this is required and a nascent national practitioner community can develop this further. Drawing from work conducted by the US and UK synthetic biology practitioner communities, this article lays out the unique touch points synthetic biology has on Australian foreign policy.</t>
  </si>
  <si>
    <t>[Dixon, Thom] Pacific Forum, Honolulu, HI USA; [Dixon, Thom] Australian Inst Int Affairs, Sydney, NSW, Australia</t>
  </si>
  <si>
    <t>Dixon, T (corresponding author), 124-134 Kent St, Millers Point, NSW 2000, Australia.</t>
  </si>
  <si>
    <t>thom.dixon@mq.edu.au</t>
  </si>
  <si>
    <t>Dixon, Thom/0000-0003-4746-2301</t>
  </si>
  <si>
    <t>MAY 4</t>
  </si>
  <si>
    <t>10.1080/10357718.2019.1584154</t>
  </si>
  <si>
    <t>HY9GS</t>
  </si>
  <si>
    <t>WOS:000468448200005</t>
  </si>
  <si>
    <t>Zhou, CX; Zheng, L; Sun, QZ; Liu, RX</t>
  </si>
  <si>
    <t>Zhou, Chunxia; Zheng, Lei; Sun, Qizhen; Liu, Ruixi</t>
  </si>
  <si>
    <t>Amery Ice Shelf surface snowmelt detected by ASCAT and Sentinel-1</t>
  </si>
  <si>
    <t>REMOTE SENSING LETTERS</t>
  </si>
  <si>
    <t>SCATTEROMETER DATA; SATELLITE RADAR; MELT DETECTION; ANTARCTICA; MELTWATER; ZONES; DRY</t>
  </si>
  <si>
    <t>Widespread movement of meltwater has been found on the Amery Ice Shelf (AIS). Intensive surface snowmelt could accelerate ice loss and endanger the ice shelves under climate warming. In this study, the Advanced Scatterometer (ASCAT) was used to study the detailed melt patterns on the AIS, which was confirmed by the wet snow mapped by Sentinel-1 Synthetic Aperture Radar (SAR) images with a much higher spatial resolution. Melt seasons were longer than 50 days in the eastern part of AIS. Conversely, a large proportion of the western AIS only melted occasionally for several days with the exception of blue ice areas. Two obvious snowmelt patterns are found on the AIS. First, the opposing summer katabatic wind directions on the eastern and western sides of the AIS result in a warmer eastern AIS compared with the western side, which leads to the expansion of snowmelt from east to west on the AIS. Second, intense snowmelt was found in the grounding zone with low-albedo blue ice and rock outcrops. However, ASCAT fails to detect snowmelt in these places due to the dominated surface radar scattering. AIS melt patterns are determined by both meteorological conditions and the underlying surface.</t>
  </si>
  <si>
    <t>[Zhou, Chunxia; Zheng, Lei; Liu, Ruixi] Wuhan Univ, Chinese Antarctic Ctr Surveying &amp; Mapping, Wuhan, Hubei, Peoples R China; [Sun, Qizhen] Natl Marine Environm Forecasting Ctr, Key Lab Res Marine Hazards Forecasting, Beijing, Peoples R China</t>
  </si>
  <si>
    <t>Wuhan University; National Marine Environmental Forecasting Center</t>
  </si>
  <si>
    <t>Zheng, L (corresponding author), Wuhan Univ, Chinese Antarctic Ctr Surveying &amp; Mapping, Wuhan, Hubei, Peoples R China.</t>
  </si>
  <si>
    <t>zhenglei0611@hotmail.com</t>
  </si>
  <si>
    <t>National Natural Science Foundation of China (NSFC) [41776200, 41531069, 41376187]</t>
  </si>
  <si>
    <t>National Natural Science Foundation of China (NSFC)(National Natural Science Foundation of China (NSFC))</t>
  </si>
  <si>
    <t>This research is funded by the National Natural Science Foundation of China (NSFC) [41776200, 41531069, 41376187].</t>
  </si>
  <si>
    <t>2150-704X</t>
  </si>
  <si>
    <t>2150-7058</t>
  </si>
  <si>
    <t>REMOTE SENS LETT</t>
  </si>
  <si>
    <t>Remote Sens. Lett.</t>
  </si>
  <si>
    <t>10.1080/2150704X.2018.1553317</t>
  </si>
  <si>
    <t>HJ7PF</t>
  </si>
  <si>
    <t>WOS:000457389100001</t>
  </si>
  <si>
    <t>Chiarini, F; Ravaioli, M; Capotondi, L</t>
  </si>
  <si>
    <t>Chiarini, Francesca; Ravaioli, Mariangela; Capotondi, Lucilla</t>
  </si>
  <si>
    <t>Interannual variability of vertical particle fluxes in the Ross Sea (Antarctica)</t>
  </si>
  <si>
    <t>NATURE CONSERVATION-BULGARIA</t>
  </si>
  <si>
    <t>Particle flux; sediment trap; mooring; Antarctica; Ross Sea; LTER</t>
  </si>
  <si>
    <t>BIOGENIC SILICA; ORGANIC-CARBON; SEDIMENT TRAP; WATER-COLUMN; EXPORT FLUX; ICE; PENINSULA; OCEAN; ACCUMULATION; ICEBERG</t>
  </si>
  <si>
    <t>This study presents new data on biogenic and terrigenous particle fluxes collected by an oceanographic mooring (Mooring A) deployed in the south-western Ross Sea (Antarctica) in the frame of the Italian Long-Term Ecological Research network (LTER-Italy). Results from the years 2005 and 2008 document high mass fluxes during the summer and early autumn seasons, not coincident with the algal bloom. Downward particle fluxes exhibit a high inter-annual variability of both particulate fluxes and composition that seem related to the different factors as the phytoplankton increases, occurring between the beginning of February and the end of March, to the variations in the sea ice extent and to the resuspension and/ or lateral advection processes. The flux variability may have been influenced by Iceberg B-15 that resided in the investigated area between 2000 and 2005. The decoupling of biogenic silica and organic carbon cycles is documented by differences in the rates of their respective key processes: biogenic silica dissolution and organic carbon degradation.</t>
  </si>
  <si>
    <t>[Chiarini, Francesca; Ravaioli, Mariangela; Capotondi, Lucilla] CNR Natl Res Council Italy, ISMAR Inst Marine Sci, Via Gobetti 101, I-40129 Bologna, Italy</t>
  </si>
  <si>
    <t>Consiglio Nazionale delle Ricerche (CNR); Istituto di Scienze Marine (ISMAR-CNR)</t>
  </si>
  <si>
    <t>Chiarini, F (corresponding author), CNR Natl Res Council Italy, ISMAR Inst Marine Sci, Via Gobetti 101, I-40129 Bologna, Italy.</t>
  </si>
  <si>
    <t>francesca.chiarini@bo.ismar.cnr.it</t>
  </si>
  <si>
    <t>Lucilla, Capotondi/C-8874-2015</t>
  </si>
  <si>
    <t>Lucilla, Capotondi/0000-0003-3282-7910</t>
  </si>
  <si>
    <t>National Programme for Research in Antarctica (PNRA)</t>
  </si>
  <si>
    <t>This research was funded by different research projects of the National Programme for Research in Antarctica (PNRA) which were focused on the investigation of climate changes and biogeochemical cycles in the Antarctic region (ABIOCLEAR, VECTOR, BIOSESO I and II and ROSSMIZE). Mooring A Site belongs to the LTER Network that we kindly acknowledge for the support.</t>
  </si>
  <si>
    <t>PENSOFT PUBL</t>
  </si>
  <si>
    <t>1314-6947</t>
  </si>
  <si>
    <t>1314-3301</t>
  </si>
  <si>
    <t>NAT CONSERV-BULGARIA</t>
  </si>
  <si>
    <t>Nat. Conserv.-Bulgaria</t>
  </si>
  <si>
    <t>MAY 3</t>
  </si>
  <si>
    <t>10.3897/natureconservation.34.30732</t>
  </si>
  <si>
    <t>HW5VB</t>
  </si>
  <si>
    <t>WOS:000466756300018</t>
  </si>
  <si>
    <t>Azzaro, M; Packard, TT; Monticelli, LS; Maimone, G; Rappazzo, AC; Azzaro, F; Grilli, F; Crisafi, E; La Ferla, R</t>
  </si>
  <si>
    <t>Azzaro, Maurizio; Packard, Theodore T.; Monticelli, Luis Salvador; Maimone, Giovanna; Rappazzo, Alessandro Ciro; Azzaro, Filippo; Grilli, Federica; Crisafi, Ermanno; La Ferla, Rosabruna</t>
  </si>
  <si>
    <t>Microbial metabolic rates in the Ross Sea: the ABIOCLEAR Project</t>
  </si>
  <si>
    <t>Microbial respiration; heterotrophic production; heterotrophic energy production; Ross Sea; Antarctica; LTER</t>
  </si>
  <si>
    <t>BACTERIAL-GROWTH EFFICIENCY; ELECTRON-TRANSPORT ACTIVITY; LEUCINE INCORPORATION; BIOMASS PRODUCTION; MEDITERRANEAN SEA; PROTEIN-SYNTHESIS; ORGANIC-MATTER; WATER-COLUMN; CARBON FLUX; DEEP-WATER</t>
  </si>
  <si>
    <t>The Ross Sea is one of the most productive areas of the Southern Ocean and includes several functionally different marine ecosystems. With the aim of identifying signs and patterns of microbial response to current climate change, seawater microbial populations were sampled at different depths, from surface to the bottom, at two Ross Sea mooring areas southeast of Victoria Land in Antarctica. This oceanographic experiment, the XX Italian Antarctic Expedition, 2004-05, was carried out in the framework of the ABIOCLEAR project as part of LTER-Italy. Here, microbial biogeochemical rates of respiration, carbon dioxide production, total community heterotrophic energy production, prokaryotic heterotrophic activity, production (by H-3-Ieucine uptake) and prokaryotic biomass (by image analysis) were determined throughout the water column. As ancillary parameters, chlorophyll a, adenosine-triphosphate concentrations, temperature and salinity were measured and reported. Microbial metabolism was highly variable amongst stations and depths. In epi- and mesopelagic zones, respiratory rates varied between 52.4-437.0 and 6.3-271.5 nanol O-2 l(-1)h(-1); prokaryotic heterotrophic production varied between 0.46-29.5 and 0.3-6.11 nanog C l(-1) h(-1) and prokaryotic biomass varied between 0.8-24.5 and 1.1-9.0 mu g C l(-1), respectively. The average heterotrophic energy production ranged between 570 and 103 mJ l(-1)h(-1)in upper and deeper layers, respectively. In the epipelagic layer, the Prokaryotic Carbon Demand and Prokaryotic Growth Efficiency averaged 9 times higher and 2 times lower, respectively, than in the mesopelagic one. The distribution of plankton metabolism and organic matter degradation was mainly related to the different hydrological and trophic conditions. In comparison with previous research, the Ross Sea results, here, evidenced a relatively impoverished oligotrophic microbial community, throughout the water column.</t>
  </si>
  <si>
    <t>[Azzaro, Maurizio; Monticelli, Luis Salvador; Maimone, Giovanna; Rappazzo, Alessandro Ciro; Azzaro, Filippo; Crisafi, Ermanno; La Ferla, Rosabruna] Inst Polar Sci ISP CNR Messina, Spianata S Raineri 86, I-98122 Messina, Italy; [Packard, Theodore T.] Univ Las Palmas Gran Canaria, Marine Ecophysiol Grp EOMAR, Campus Univ Tafira, Las Palmas Gran Canaria 35017, Spain; [Rappazzo, Alessandro Ciro] Natl Interuniv Consortium Marine Sci Co NISMa, Piazzale Flaminio 9, I-00196 Rome, Italy; [Grilli, Federica] Inst Biol Resources &amp; Marine Biotechnol IRBIM CNR, Largo Fiera Pesca 2, I-60125 Ancona, Italy</t>
  </si>
  <si>
    <t>Consiglio Nazionale delle Ricerche (CNR); Istituto di Scienze Polari (ISP-CNR); Universidad de Las Palmas de Gran Canaria; Consiglio Nazionale delle Ricerche (CNR); Istituto per le Risorse Biologiche Biotecnologie Marine (IRBIM-CNR)</t>
  </si>
  <si>
    <t>La Ferla, R (corresponding author), Inst Polar Sci ISP CNR Messina, Spianata S Raineri 86, I-98122 Messina, Italy.</t>
  </si>
  <si>
    <t>rosabruna.laferla@cnr.it</t>
  </si>
  <si>
    <t>azzaro, Maurizio/AAE-6784-2019</t>
  </si>
  <si>
    <t>azzaro, Maurizio/0000-0001-7885-2340; Grilli, Federica/0000-0003-4005-1278; la ferla, rosabruna/0000-0003-1029-7349; AZZARO, FILIPPO/0000-0002-5194-3856</t>
  </si>
  <si>
    <t>XX Italian PNRA (National Programme of Antarctic Research); P-ROSE project (PNRA, National Programme of Antarctic Research); CELEBeR project (PNRA, National Programme of Antarctic Research); R/V Italica; XIX PNRA Expedition; TIAA-CREF (USA); Social Security (USA)</t>
  </si>
  <si>
    <t>The research was funded by the XX Italian PNRA (National Programme of Antarctic Research, year 2004/05) expedition in the framework of the ABIOCLEAR project (Antartic BIOgeochemical cycles-CLimatic and palEoclimAtic Recostructions, coord. Dr. Mariangela Ravaioli of CNR-ISMAR, Institute of Marine Science) and received the financial support of P-ROSE project (Plankton biodiversity and functioning of the ROss Sea Ecosystems in a changing southern ocean, funded by PNRA, National Programme of Antarctic Research, year 2016/18, coord. Prof. Olga Mangoni of CoNISMa, National Interuniversity Consortium for Marine Sciences) and of CELEBeR project (CDW effects on glacial melting and on bulk of Fe in the Western Ross Sea, funded by PNRA, National Programme of Antarctic Research, year 2016/18, coord. Prof. Paola Rivaro of University of Genoa). The authors thank all the staff of R/V Italica for the logistics help and support. PHA saturation curves analysis and time courses were fixed in a precedent project (Victoria Land Transect Project, VLTP-2004) funded by XIX PNRA Expedition. The T.T. Packard's contribution was supported by TIAA-CREF (USA) and Social Security (USA). The authors also thank the Editor and reviewers for their very useful comments and Mr. Alessandro Cosenza (ISP Institute of Polar Science) for figure processing.</t>
  </si>
  <si>
    <t>10.3897/natureconservation.34.30631</t>
  </si>
  <si>
    <t>WOS:000466756300019</t>
  </si>
  <si>
    <t>Cheng, SY; Liu, SX; Guo, JX; Luo, K; Zhang, L; Tang, XY</t>
  </si>
  <si>
    <t>Cheng, Siyuan; Liu, Sixin; Guo, Jingxue; Luo, Kun; Zhang, Ling; Tang, Xueyuan</t>
  </si>
  <si>
    <t>Data Processing and Interpretation of Antarctic Ice-Penetrating Radar Based on Variational Mode Decomposition</t>
  </si>
  <si>
    <t>ice-penetrating radar; VMD; noise reduction; forward simulation; Antarctic</t>
  </si>
  <si>
    <t>SIMULATION; PROGRESS; LAYERS</t>
  </si>
  <si>
    <t>In the Arctic and Antarctic scientific expeditions, ice-penetrating radar is an effective method for studying the bedrock under the ice sheet and ice information within the ice sheet. Because of the low conductivity of ice and the relatively uniform composition of ice sheets in the polar regions, ice-penetrating radar is able to obtain deeper and more abundant data than other geophysical methods. However, it is still necessary to suppress the noise in radar data to obtain more accurate and plentiful effective information. In this paper, the entirely non-recursive Variational Mode Decomposition (VMD) is applied to the data noise reduction of ice-penetrating radar. VMD is a decomposition method of adaptive and quasi-orthogonal signals, which decomposes airborne radar data into multiple frequency-limited quasi-orthogonal Intrinsic Mode Functions (IMFs). The IMFs containing noise are then removed according to the information distribution in the IMF's components and the remaining IMFs are reconstructed. This paper employs this method to process the real ice-penetrating radar data, which effectively eliminates the interference noise in the data, improves the signal-to-noise ratio and obtains the clearer inner layer structure of ice. It is verified that the method can be applied to the noise reduction processing of polar ice-penetrating radar data very well, which provides a better basis for data interpretation. At last, we present fine ice structure within the ice sheet based on VMD denoised radar profile.</t>
  </si>
  <si>
    <t>[Cheng, Siyuan; Liu, Sixin; Luo, Kun; Zhang, Ling] Jilin Univ, Coll Geoexplorat Sci &amp; Technol, Changchun 130012, Jilin, Peoples R China; [Cheng, Siyuan; Guo, Jingxue; Luo, Kun; Tang, Xueyuan] Polar Res Inst China, Shanghai 200219, Peoples R China</t>
  </si>
  <si>
    <t>Jilin University; Polar Research Institute of China</t>
  </si>
  <si>
    <t>Tang, XY (corresponding author), Polar Res Inst China, Shanghai 200219, Peoples R China.</t>
  </si>
  <si>
    <t>chengsy17@mails.jlu.edu.cn; liusixin@jlu.edu.cn; guojingxue@pric.org.cn; luokun17@mails.jlu.edu.cn; lingzhang16@mails.jlu.edu.cn; tangxueyuan@pric.org.cn</t>
  </si>
  <si>
    <t>Liu, Sixin/ABD-2081-2020; Luo, Kun/HNQ-1811-2023</t>
  </si>
  <si>
    <t>Liu, Sixin/0000-0002-6660-6780; Cheng, Siyuan/0000-0001-9631-6373</t>
  </si>
  <si>
    <t>National Natural Science Foundation of China [41876230, 41876227, 41376192]; Chinese Polar Environmental Comprehensive Investigation and Assessment Programs [CHIANRE 2017-01-01/CHIANRE2017-04-01/CHIANRE2017-04-03]</t>
  </si>
  <si>
    <t>National Natural Science Foundation of China(National Natural Science Foundation of China (NSFC)); Chinese Polar Environmental Comprehensive Investigation and Assessment Programs</t>
  </si>
  <si>
    <t>This study is supported by the National Natural Science Foundation of China (Nos. 41876230, 41876227, 41376192) and the Chinese Polar Environmental Comprehensive Investigation and Assessment Programs (CHIANRE 2017-01-01/CHIANRE2017-04-01/CHIANRE2017-04-03).</t>
  </si>
  <si>
    <t>MAY 2</t>
  </si>
  <si>
    <t>10.3390/rs11101253</t>
  </si>
  <si>
    <t>IQ1QG</t>
  </si>
  <si>
    <t>WOS:000480524800111</t>
  </si>
  <si>
    <t>Price, D; Soltanzadeh, I; Rack, W; Dale, E</t>
  </si>
  <si>
    <t>Price, Daniel; Soltanzadeh, Iman; Rack, Wolfgang; Dale, Ethan</t>
  </si>
  <si>
    <t>Snow-driven uncertainty in CryoSat-2-derived Antarctic sea ice thickness - insights from McMurdo Sound</t>
  </si>
  <si>
    <t>YAMADA LEVEL-3 MODEL; FREEBOARD RETRIEVAL; RADAR BACKSCATTER; SYSTEM; SURFACE; DISTRIBUTIONS; ACCUMULATION; VARIABILITY; DEPTH; LAYER</t>
  </si>
  <si>
    <t>Knowledge of the snow depth distribution on Antarctic sea ice is poor but is critical to obtaining sea ice thickness from satellite altimetry measurements of the freeboard. We examine the usefulness of various snow products to provide snow depth information over Antarctic fast ice in McMurdo Sound with a focus on a novel approach using a high-resolution numerical snow accumulation model (SnowModel). We compare this model to results from ECMWF ERA-Interim precipitation, EOS Aqua AMSR-E passive microwave snow depths and in situ measurements at the end of the sea ice growth season in 2011. The fast ice was segmented into three areas by fastening date and the onset of snow accumulation was calibrated to these dates. SnowModel captures the spatial snow distribution gradient in McMurdo Sound and falls within 2 cm snow water equivalent (s.w.e) of in situ measurements across the entire study area. However, it exhibits deviations of 5 cm s.w.e. from these measurements in the east where the effect of local topographic features has caused an overestimate of snow depth in the model. AMSR-E provides s.w.e. values half that of SnowModel for the majority of the sea ice growth season. The coarser-resolution ERA-Interim produces a very high mean s.w.e. value 20 cm higher than the in situ measurements. These various snow datasets and in situ information are used to infer sea ice thickness in combination with CryoSat-2 (CS-2) freeboard data. CS-2 is capable of capturing the seasonal trend of sea ice freeboard growth but thickness results are highly dependent on what interface the re-tracked CS-2 height is assumed to represent. Because of this ambiguity we vary the proportion of ice and snow that represents the freeboard - a mathematical alteration of the radar penetration into the snow cover - and assess this uncertainty in McMurdo Sound. The ranges in sea ice thickness uncertainty within these bounds, as means of the entire growth season, are 1.08, 4.94 and 1.03 m for SnowModel, ERA-Interim and AMSR-E respectively. Using an interpolated in situ snow dataset we find the best agreement between CS-2-derived and in situ thickness when this interface is assumed to be 0.07 m below the snow surface.</t>
  </si>
  <si>
    <t>[Price, Daniel; Rack, Wolfgang] Univ Canterbury, Gateway Antarctica, Private Bag 4800, Christchurch, New Zealand; [Soltanzadeh, Iman] Met Serv, 30 Salamanca Rd, Wellington 6012, New Zealand; [Dale, Ethan] Univ Canterbury, Dept Phys &amp; Astron, Christchurch, New Zealand</t>
  </si>
  <si>
    <t>University of Canterbury; University of Canterbury</t>
  </si>
  <si>
    <t>Price, D (corresponding author), Univ Canterbury, Gateway Antarctica, Private Bag 4800, Christchurch, New Zealand.</t>
  </si>
  <si>
    <t>daniel.price@canterbury.ac.nz</t>
  </si>
  <si>
    <t>; Soltanzadeh, Iman/A-3878-2016; Rack, Wolfgang/U-8898-2017</t>
  </si>
  <si>
    <t>Dale, Ethan/0000-0003-2101-7795; Price, Daniel/0000-0001-6003-0920; Soltanzadeh, Iman/0000-0002-7465-4117; Rack, Wolfgang/0000-0003-2447-377X</t>
  </si>
  <si>
    <t>NIWA [C01X1226]; Marsden Fund Council; University of Otago; New Zealand Ministry of Business, Innovation &amp; Employment (MBIE) [C01X1226] Funding Source: New Zealand Ministry of Business, Innovation &amp; Employment (MBIE)</t>
  </si>
  <si>
    <t>NIWA; Marsden Fund Council(Royal Society of New ZealandMarsden Fund (NZ)); University of Otago; New Zealand Ministry of Business, Innovation &amp; Employment (MBIE)(New Zealand Ministry of Business, Innovation and Employment (MBIE))</t>
  </si>
  <si>
    <t>Gratitude is shown for the support of Antarctica New Zealand and Scott Base staff during the 2011-2012 Antarctic field season permitting the collection of in situ snow and sea ice measurements, and the members of field team K053. We thank Glen E. Liston for providing the code for SnowModel. Further thanks are given to Oliver Marsh and Christian Wild for productive discussions about the topic. This work was partially supported by NIWA subcontract C01X1226 (Ross Sea Climate and Ecosystem) and the Marsden Fund Council from Government funding, managed by Royal Society Te Aparangi. We are grateful to Victoria Landgraf, Troy Beaumont, and Grant Cottle from Antarctica New Zealand's Scott Base 2011 over-winter team for making the July sea ice thickness measurements as part of the winter support of a University of Otago Research Grant funded project (PI: Pat Langhorne, AI: Inga Smith). We thank Peter Green and Inga Smith for their insights into the 2011 sea ice growth rates, which were supported by the fieldwork and analytical efforts of Greg Leonard, Alex Gough, Tim Haskell, Pat Langhorne and Jonothan Everts; the technical advice of Joe Trodahl and Daniel Pringle; and the technical support of Myles Thayer, Peter Stroud and Richard Sparrow. Final thanks are given to Eamon Frazer and Pat Langhorne for the time given to discussions about and analysis of seawater density in the study region. This research was completed at Gateway Antarctica, University of Canterbury, Christchurch, New Zealand.</t>
  </si>
  <si>
    <t>10.5194/tc-13-1409-2019</t>
  </si>
  <si>
    <t>HW6IZ</t>
  </si>
  <si>
    <t>WOS:000466794400001</t>
  </si>
  <si>
    <t>Bulkeley, R</t>
  </si>
  <si>
    <t>Bulkeley, Rip</t>
  </si>
  <si>
    <t>Billingshausen of the Antarctic?</t>
  </si>
  <si>
    <t>Bellingshausen; Russification; Genealogy; Estonia</t>
  </si>
  <si>
    <t>The Russian naval officer Faddej Faddeevich Bellingshausen began life with a slightly different surname, in his case 'Billingshausen'. It is possible to work out roughly when the Russian surname 'Bellinsgauzen' was chosen. Considerations prompting the selection of that particular Russian version can also be suggested.</t>
  </si>
  <si>
    <t>[Bulkeley, Rip] 38 Lonsdale Rd, Oxford OX2 7EW, England</t>
  </si>
  <si>
    <t>Bulkeley, R (corresponding author), 38 Lonsdale Rd, Oxford OX2 7EW, England.</t>
  </si>
  <si>
    <t>rip@igy50.net</t>
  </si>
  <si>
    <t>Bulkeley, Rip/0000-0002-1765-0785</t>
  </si>
  <si>
    <t>10.1017/S003224741900041X</t>
  </si>
  <si>
    <t>KK8OF</t>
  </si>
  <si>
    <t>WOS:000512995000001</t>
  </si>
  <si>
    <t>Senatore, MX</t>
  </si>
  <si>
    <t>Ximena Senatore, Maria</t>
  </si>
  <si>
    <t>Assessing tourism patterns in the South Shetland Islands for the conservation of 19th-century archaeological sites in Antarctica</t>
  </si>
  <si>
    <t>Archaeology; Antarctic; Conservation; Cultural heritage; Tourism patterns</t>
  </si>
  <si>
    <t>HISTORIC SITES</t>
  </si>
  <si>
    <t>Although archaeological studies focusing on 19th-century sealing have been performed over the past 30 years, its history and sites have traditionally had low visibility in Antarctic narratives and the Antarctic Treaty System policymaking on heritage. Researchers face the challenge of increasing the visibility of sealers' history and public awareness of the importance of conserving the oldest sites of Antarctica. In this paper, we propose that identifying patterns of tourism activity in the South Shetland Islands, specifically in their temporal and spatial dimensions, could help protect these sites and engage visitors with the early history of Antarctica. Data collected by the International Association of Antarctica Tour Operators were used to calculate landing point usage trends over time and the frequency of passenger landings from 2003-2004 to 2015-2016. We defined six different visitation patterns with temporal tendencies of passenger landings that varied from increasing, constant, or decreasing trends over time, differing in the magnitude and intensity of visitation. This information was used to assess the situation of particular sites located in the vicinity of tourism landing points. We set priorities for their conservation and management decisions and highlighted their relative potential to engage visitors with the stories of 19th-century sealing in Antarctica.</t>
  </si>
  <si>
    <t>[Ximena Senatore, Maria] Consejo Nacl Invest Cient &amp; Tecn CONICET INAPL, Buenos Aires, Argentina; [Ximena Senatore, Maria] Univ Nacl Patagonia Austral, Rio Gallegos, Santa Cruz, Argentina</t>
  </si>
  <si>
    <t>Senatore, MX (corresponding author), Consejo Nacl Invest Cient &amp; Tecn CONICET INAPL, Buenos Aires, Argentina.;Senatore, MX (corresponding author), Univ Nacl Patagonia Austral, Rio Gallegos, Santa Cruz, Argentina.</t>
  </si>
  <si>
    <t>mxsenatore@conicet.gov.ar</t>
  </si>
  <si>
    <t>Senatore, Maria Ximena/AAX-5863-2021</t>
  </si>
  <si>
    <t>Senatore, Maria Ximena/0000-0002-7509-9020</t>
  </si>
  <si>
    <t>10.1017/S0032247419000391</t>
  </si>
  <si>
    <t>WOS:000512995000005</t>
  </si>
  <si>
    <t>Millar, P</t>
  </si>
  <si>
    <t>Millar, Pat</t>
  </si>
  <si>
    <t>The ice as leitmotif of a life: Erich von Drygalski writings and photographs</t>
  </si>
  <si>
    <t>Heroic Era; Polar exploration; Polar photography</t>
  </si>
  <si>
    <t>Professional scientist-geographer Erich von Drygalski led the first German expedition to Antarctica in 1901-1903. The expedition saw itself as purely scientific, which turned out to be at odds with the expectations of Imperial Germany at the time. It was one of the first to use photography extensively and effectively to document and record scientific activities and to shape the public's image of the work that was being done in this remote and unknown part of the world. Ice was the leitmotif of Drygalski's life. He had prior experience in the Arctic, and the year spent in Antarctica confirmed his nuanced way of viewing the ice: on the one hand, and foremost, scholarly and objective, while still appreciating its aesthetic qualities; on the other, infused with feelings of human vulnerability. Using discourse analysis, this article examines Drygalski's published work and photographs he chose to illustrate it, in order to investigate what the ice meant to him. In his writings, it was the scholarly, objective attitude which predominated and this may have contributed to the generally lacklustre reception of his Antarctic achievements. The photographs he chose to illustrate his published work, however, were many and varied, often capturing the awe-inspiring beauty of the ice and contributing to good sales of his narrative of the South Polar Expedition.</t>
  </si>
  <si>
    <t>[Millar, Pat] Univ Tasmania, Coll Arts Law &amp; Educ, Hobart, Tas 7000, Australia</t>
  </si>
  <si>
    <t>Millar, P (corresponding author), Univ Tasmania, Coll Arts Law &amp; Educ, Hobart, Tas 7000, Australia.</t>
  </si>
  <si>
    <t>judy.brook@city.ac.uk</t>
  </si>
  <si>
    <t>10.1017/S0032247419000445</t>
  </si>
  <si>
    <t>WOS:000512995000006</t>
  </si>
  <si>
    <t>Oliva, M; Antoniades, D; Serrano, E; Giralt, S; Liu, EJ; Granados, I; Pla-Rabes, S; Toro, M; Hong, SG; Vieira, G</t>
  </si>
  <si>
    <t>Oliva, Marc; Antoniades, Dermot; Serrano, Enrique; Giralt, Santiago; Liu, Emma J.; Granados, Ignacio; Pla-Rabes, Sergi; Toro, Manuel; Hong, Soon Gyu; Vieira, Goncalo</t>
  </si>
  <si>
    <t>The deglaciation of Barton Peninsula (King George Island, South Shetland Islands, Antarctica) based on geomorphological evidence and lacustrine records</t>
  </si>
  <si>
    <t>Barton Peninsula; Geomorphology; Lake records; Deglaciation; Tephrostratigraphy</t>
  </si>
  <si>
    <t>LIVINGSTON ISLAND; BYERS PENINSULA; WEST ANTARCTICA; PERMAFROST THAW; ICE-CAP; CLIMATE; TEPHRA; LAKE; SEDIMENTS; DYNAMICS</t>
  </si>
  <si>
    <t>Barton Peninsula is an ice-free area located in the southwest corner of King George Island (South Shetland Islands, Antarctica). Following the Last Glacial Maximum, several geomorphological features developed in newly exposed ice-free terrain and their distribution provide insights about past environmental evolution of the area. Three moraine systems are indicative of three main glacial phases within the long-term glacial retreat, which also favoured the development of numerous lakes. Five of these lakes were cored to understand in greater detail the pattern of deglaciation through the study of lacustrine records. Radiocarbon dates from basal lacustrine sediments enabled the reconstruction of the chronology of Holocene glacial retreat. Tephra layers present in lake sediments provided additional independent age constraints on environmental changes based on geochemical and geochronological correlation with Deception Island-derived tephra. Shrinking of the Collins Glacier exposed the southern coastal fringe of Barton Peninsula at 8 cal ky BP. After a period of relative stability during the mid-Holocene, the ice cap started retreating northwards after 3.7 cal ky BP, confining some glaciers within valleys as shown by moraine systems. Lake sediments confirm a period of relative glacial stability during the last 2.4 cal ky BP.</t>
  </si>
  <si>
    <t>[Oliva, Marc] Univ Barcelona, Dept Geog, Barcelona, Spain; [Antoniades, Dermot] Univ Laval, Dept Geog, Quebec City, PQ, Canada; [Antoniades, Dermot] Univ Laval, Ctr Etud Nord, Quebec City, PQ, Canada; [Serrano, Enrique] Univ Valladolid, Dept Geog, Valladolid, Spain; [Giralt, Santiago] CSIC, Inst Earth Sci Jaume Aimera, Madrid, Spain; [Liu, Emma J.] Univ Cambridge, Dept Earth Sci, Cambridge, England; [Granados, Ignacio] Ctr Invest Seguimiento &amp; Evaluac, Madrid, Spain; [Pla-Rabes, Sergi] CREAF, Barcelona, Spain; [Toro, Manuel] Ctr Hydrog Studies CEDEX, Madrid, Spain; [Hong, Soon Gyu] Korea Polar Res Inst, Incheon, South Korea; [Vieira, Goncalo] Univ Lisbon, Ctr Geog Studies IGOT, Lisbon, Portugal</t>
  </si>
  <si>
    <t>University of Barcelona; Laval University; Laval University; Universidad de Valladolid; Consejo Superior de Investigaciones Cientificas (CSIC); University of Cambridge; University of Barcelona; Centro de Investigacion Ecologica y Aplicaciones Forestales (CREAF-CERCA); Korea Polar Research Institute (KOPRI); Universidade de Lisboa</t>
  </si>
  <si>
    <t>Oliva, M (corresponding author), Univ Barcelona, Dept Geog, Barcelona, Spain.</t>
  </si>
  <si>
    <t>marcoliva@ub.edu</t>
  </si>
  <si>
    <t>SERRANO, ENRIQUE/AAH-7986-2020; Vieira, Goncalo/G-5958-2010; Giralt, Santiago/AAA-8585-2020; Granados, Ignacio/A-3737-2013; Pla-Rabes, Sergi/J-9209-2012; Oliva, Marc/K-5423-2014</t>
  </si>
  <si>
    <t>SERRANO, ENRIQUE/0000-0001-9760-3876; Vieira, Goncalo/0000-0001-7611-3464; Giralt, Santiago/0000-0001-8570-7838; Granados, Ignacio/0000-0002-8669-6613; Pla-Rabes, Sergi/0000-0003-3532-9466; Nicholson, Emma/0000-0003-1749-9285; Toro Velasco, Manuel/0000-0002-4860-7229; Antoniades, Dermot/0000-0001-6629-4839; Oliva, Marc/0000-0001-6521-6388</t>
  </si>
  <si>
    <t>Ramon y Cajal Program [RYC-2015-17597]; Research Group ANTALP (Antarctic, Arctic, Alpine Environments) - Government of Catalonia through the AGAUR agency [2017-SGR-1102]; Ministry of Economy, Industry and Competitiveness, Spain [CTM2017-87976-P, CTM2016-77878-P]; Fundacao para a Ciencia e a Tecnologia, Portugal [02/SAICT/2017-32002]</t>
  </si>
  <si>
    <t>Ramon y Cajal Program(Spanish Government); Research Group ANTALP (Antarctic, Arctic, Alpine Environments) - Government of Catalonia through the AGAUR agency; Ministry of Economy, Industry and Competitiveness, Spain(Spanish Government); Fundacao para a Ciencia e a Tecnologia, Portugal(Fundacao para a Ciencia e a Tecnologia (FCT))</t>
  </si>
  <si>
    <t>The authors are grateful to the Portuguese Polar Program (PROPOLAR), the Korea Polar Research Institute (KOPRI) and the Chilean Antarctic Institute (INACH) for providing logistic support for the fieldwork. Marc Oliva is supported by the Ramon y Cajal Program (RYC-2015-17597) and the Research Group ANTALP (Antarctic, Arctic, Alpine Environments; 2017-SGR-1102) funded by the Government of Catalonia through the AGAUR agency. The work complements the research topics examined in the PALEOGREEN (CTM2017-87976-P) and CRONOANTAR (CTM2016-77878-P) projects of the Ministry of Economy, Industry and Competitiveness, Spain, and the projects Analysis of nunataks of the Antarctic Peninsula as multiproxy data sources on environmental change and climate dynamics - NUNANTAR (02/SAICT/2017-32002) and Holocene environments in Barton Peninsula (South Shetland Islands, Antarctica) funded by the Fundacao para a Ciencia e a Tecnologia, Portugal. We also thank Joao Agrela for the support during fieldwork.</t>
  </si>
  <si>
    <t>10.1017/S0032247419000469</t>
  </si>
  <si>
    <t>WOS:000512995000007</t>
  </si>
  <si>
    <t>Olsen, D; Murphy, DW</t>
  </si>
  <si>
    <t>Olsen, Daniel; Murphy, David W.</t>
  </si>
  <si>
    <t>Random sequential addition simulations of animal aggregations provide null models of group structure</t>
  </si>
  <si>
    <t>BIOINSPIRATION &amp; BIOMIMETICS</t>
  </si>
  <si>
    <t>random sequential addition; random sequential adsorption; collective animal behavior; schooling; swarming</t>
  </si>
  <si>
    <t>3-DIMENSIONAL STRUCTURE; FISH SCHOOLS; TRANSITION; KINEMATICS; MOVEMENT; BEHAVIOR; RULES; BODY</t>
  </si>
  <si>
    <t>Apparent structure in animal aggregations such as fish and Antarctic krill schools may result from the tight packing of these elongated animals. This geometrical structure may be difficult to differentiate from behavior-induced structure resulting from individuals preferentially taking up certain positions relative to conspecifics to gain an adaptive advantage such as reduced locomotive cost. Here we use random sequential addition (RSA) simulations to quantify the effect of animal shape, aggregation organization, and aggregation density on 2D school structure. This technique allows for the generation of a null model for nearest neighbor distance and nearest neighbor position angle for a specific body shape and aggregation density, thus isolating the effect of geometry from that of behavior. We further identify a shape-specific aggregation density threshold above which the animal shape affects the spatial distribution of nearest neighbors. Nearest neighbor distance data of fish schools with densities above and below the threshold are found to agree well with nearest neighbor statistics found from RSA-generated schools.</t>
  </si>
  <si>
    <t>[Olsen, Daniel; Murphy, David W.] Univ S Florida, Dept Mech Engn, Tampa, FL 33620 USA</t>
  </si>
  <si>
    <t>State University System of Florida; University of South Florida</t>
  </si>
  <si>
    <t>Murphy, DW (corresponding author), Univ S Florida, Dept Mech Engn, Tampa, FL 33620 USA.</t>
  </si>
  <si>
    <t>davidmurphy@usf.edu</t>
  </si>
  <si>
    <t>1748-3182</t>
  </si>
  <si>
    <t>1748-3190</t>
  </si>
  <si>
    <t>BIOINSPIR BIOMIM</t>
  </si>
  <si>
    <t>Bioinspir. Biomim.</t>
  </si>
  <si>
    <t>10.1088/1748-3190/ab0b8b</t>
  </si>
  <si>
    <t>Engineering, Multidisciplinary; Materials Science, Biomaterials; Robotics</t>
  </si>
  <si>
    <t>Engineering; Materials Science; Robotics</t>
  </si>
  <si>
    <t>KF3DB</t>
  </si>
  <si>
    <t>WOS:000509126200001</t>
  </si>
  <si>
    <t>Shaikhullina, AA; Dubinin, EP; Bulychev, AA; Gilod, DA</t>
  </si>
  <si>
    <t>Shaikhullina, A. A.; Dubinin, E. P.; Bulychev, A. A.; Gilod, D. A.</t>
  </si>
  <si>
    <t>A Comparative Analysis of the Structure of the Tectonosphere of the Conrad and Afanasy Nikitin Rises (Indian Ocean) Using Geophysical Data</t>
  </si>
  <si>
    <t>MOSCOW UNIVERSITY GEOLOGY BULLETIN</t>
  </si>
  <si>
    <t>potential fields; Earth's crust; Conrad Rise; Afanasy Nikitin Rise; Indian Ocean</t>
  </si>
  <si>
    <t>85-DEGREES-E RIDGE; MODEL; EVOLUTION; SEAMOUNT</t>
  </si>
  <si>
    <t>2D density modeling was performed for profiles crossing seamounts of the Conrad Rise (Lena, Ob' and Marion Dufresne), which is located in the southwestern part of the Indian Ocean and the Afanasy Nikitin Rise, which is located in the central part of the Indian Ocean. According to widespread belief, the Marion Dufresne Seamount and the Afanasy Nikitin Rise were formed by a hotspot 83-73 Ma ago. The 2D density modeling revealed a similar structure of the crust and lithosphere within those formations, thus confirming that they were formed 83-73 Ma ago as a result of the action of the same hotspot. The results we obtained also confirmed that the Lena and Ob' seamounts of the Conrad Rise were formed later due to the resumed activity of the hotspot under the Antarctic Plate.</t>
  </si>
  <si>
    <t>[Shaikhullina, A. A.; Bulychev, A. A.; Gilod, D. A.] Moscow MV Lomonosov State Univ, Dept Geol, Moscow 119234, Russia; [Dubinin, E. P.] Moscow MV Lomonosov State Univ, Earth Sci Museum, Moscow 119234, Russia</t>
  </si>
  <si>
    <t>Lomonosov Moscow State University; Lomonosov Moscow State University</t>
  </si>
  <si>
    <t>Shaikhullina, AA (corresponding author), Moscow MV Lomonosov State Univ, Dept Geol, Moscow 119234, Russia.</t>
  </si>
  <si>
    <t>anzhela.shaikhullina@gmail.com; edubinin08@rambler.ru; aabul@geophys.geol.msu.ru; gilod_dolores@mail.ru</t>
  </si>
  <si>
    <t>Shaikhullina, Anzhela/AAY-6110-2021</t>
  </si>
  <si>
    <t>Shaikhullina, Anzhela/0000-0002-3733-1837</t>
  </si>
  <si>
    <t>Russian Foundation for Basic Research [18-05-00127]</t>
  </si>
  <si>
    <t>Russian Foundation for Basic Research(Russian Foundation for Basic Research (RFBR)Spanish Government)</t>
  </si>
  <si>
    <t>This work was supported by the Russian Foundation for Basic Research (Project No. 18-05-00127).</t>
  </si>
  <si>
    <t>SPRINGER INTERNATIONAL PUBLISHING AG</t>
  </si>
  <si>
    <t>0145-8752</t>
  </si>
  <si>
    <t>1934-8436</t>
  </si>
  <si>
    <t>MOSC UNIV GEOL BULL</t>
  </si>
  <si>
    <t>Mosc. Univ. Geol. Bull.</t>
  </si>
  <si>
    <t>10.3103/S0145875219030098</t>
  </si>
  <si>
    <t>JF7OH</t>
  </si>
  <si>
    <t>WOS:000491575400011</t>
  </si>
  <si>
    <t>Hale, E; Fisher, ML; Keuler, R; Smith, B; Leavitt, SD</t>
  </si>
  <si>
    <t>Hale, Ella; Fisher, Makani L.; Keuler, Rachel; Smith, Barb; Leavitt, Steven D.</t>
  </si>
  <si>
    <t>A biogeographic connection between Antarctica and montane regions of western North America highlights the need for further study of lecideoid lichens</t>
  </si>
  <si>
    <t>BRYOLOGIST</t>
  </si>
  <si>
    <t>Antarctica; biogeography; cosmopolitan; dispersal; extremophiles; Lecidea</t>
  </si>
  <si>
    <t>MCMURDO DRY VALLEYS; GENETIC DIVERSITY; STEPPING STONES; FORMING FUNGI; ASCOMYCOTA; LINEAGES; MULTIPLE; CLIMATE; PHOTOBIONTS; DISPERSAL</t>
  </si>
  <si>
    <t>Processes that shape biogeographic patterns in lichens have been of long-standing interest, especially in extreme environments. Lecideoid lichens in Antarctica have been relatively well-studied and are thought to have a high degree of endemism. However, recent collection efforts in montane regions of western North America have uncovered lecideoid lichens morphologically similar to some from Antarctic and South American Sub-Antarctic regions, including Lecidea andersonii Filson and L. polypycnidophora U.Rupr. &amp; Turk. To explore the similarity between these putative conspecifics, we used ITS and MCM7 sequence data to infer relationships within a phylogenetic framework. The resulting phylogenetic reconstructions provided further evidence of the close relationship between specimens from western North America with geographically distant lecideoid populations in the Southern Hemisphere. We recovered two diverse, well-supported clades, provisionally called the L. andersonii complex and the lecidea NA-ARG Glade,' both including species-level subclades. A number of lecideoid species and species-level lineages thought to be endemic to Antarctica, the South American Sub-Antarctic region, or with bipolar distributions also occur in montane regions of western North America. In some cases, these species-level clades corresponded to distinct geographic regions, e.g., L. polypycnidophora, while other species failed to show phylogenetic structure corresponding to distinct geographic regions, e.g., L. andersonii. These findings bring into question the origin and prevalence of truly endemic Antarctic lichen-forming fungi. Additional investigations into lecideoid lichens, including the biogeographic connection between western North America with Antarctica, will likely provide novel perspectives into the connection between Antarctica and North America, potential colonization routes and the timing of dispersal events.</t>
  </si>
  <si>
    <t>[Hale, Ella; Fisher, Makani L.; Keuler, Rachel; Leavitt, Steven D.] Brigham Young Univ, Dept Biol, 4102 Life Sci Bldg, Provo, UT 84602 USA; [Smith, Barb] Manti La Sal Natl Forest, Moab, UT 84532 USA; [Leavitt, Steven D.] Brigham Young Univ, ML Bean Life Sci Museum, 4102 Life Sci Bldg, Provo, UT 84602 USA</t>
  </si>
  <si>
    <t>Brigham Young University; Brigham Young University</t>
  </si>
  <si>
    <t>Leavitt, SD (corresponding author), Brigham Young Univ, Dept Biol, 4102 Life Sci Bldg, Provo, UT 84602 USA.;Leavitt, SD (corresponding author), Brigham Young Univ, ML Bean Life Sci Museum, 4102 Life Sci Bldg, Provo, UT 84602 USA.</t>
  </si>
  <si>
    <t>steve_leavitt@byu.edu</t>
  </si>
  <si>
    <t>Leavitt, Steven D./AAC-6462-2021; Keuler, Rachel/GZG-5097-2022</t>
  </si>
  <si>
    <t>Leavitt, Steven D./0000-0002-5034-9724; Fisher, Makani/0009-0008-7268-4348</t>
  </si>
  <si>
    <t>Canyonlands Natural History Association; M. L. Bean Life Science Museum (Brigham Young University, Provo, UT); Great Basin National Park; USDA Forest Service</t>
  </si>
  <si>
    <t>Canyonlands Natural History Association; M. L. Bean Life Science Museum (Brigham Young University, Provo, UT); Great Basin National Park; USDA Forest Service(United States Department of Agriculture (USDA)United States Forest Service)</t>
  </si>
  <si>
    <t>We thank anonymous reviews for invaluable feedback that greatly improved this study. We thank the Canyonlands Natural History Association, M. L. Bean Life Science Museum (Brigham Young University, Provo, UT), Great Basin National Park, and USDA Forest Service for funding and support. We also express appreciation to Gretchen Baker (Great Basin National Park) for organizing a lichen BioBlitz in Great Basin National Park that resulted in a number of interesting Lecidea collections (NPS Scientific Collecting and Research Permit number: GRBA-2017-SCI-0012). Finally, we thank Matthew Ribarich, Mary Santangelo and Trannan Erickson (Manti-La Sal National Forest, Moab/Monticello District) for assistance with field work.</t>
  </si>
  <si>
    <t>AMER BRYOLOGICAL LICHENOLOGICAL SOC INC</t>
  </si>
  <si>
    <t>OMAHA</t>
  </si>
  <si>
    <t>C/O DR ROBERT S EGAN, SEC-TRES, ABLS, UNIV NEBRASKA OMAHA, DEPT BIOLOGY, OMAHA, NE 68182-0040 USA</t>
  </si>
  <si>
    <t>0007-2745</t>
  </si>
  <si>
    <t>1938-4378</t>
  </si>
  <si>
    <t>Bryologist</t>
  </si>
  <si>
    <t>10.1639/0007-2745-122.2.315</t>
  </si>
  <si>
    <t>JC0OK</t>
  </si>
  <si>
    <t>WOS:000488978100011</t>
  </si>
  <si>
    <t>Zhao, JC; Yang, QH; Cheng, B; Leppäranta, M; Hui, FM; Xie, SR; Chen, M; Yu, YN; Tian, ZX; Li, M; Zhang, L</t>
  </si>
  <si>
    <t>Zhao, Jiechen; Yang, Qinghua; Cheng, Bin; Lepparanta, Matti; Hui, Fengming; Xie, Surui; Chen, Meng; Yu, Yining; Tian, Zhongxiang; Li, Ming; Zhang, Lin</t>
  </si>
  <si>
    <t>Spatial and temporal evolution of landfast ice near Zhongshan Station, East Antarctica, over an annual cycle in 2011/2012</t>
  </si>
  <si>
    <t>landfast ice; thickness; oceanic heat flux; Prydz Bay; East Antarctica</t>
  </si>
  <si>
    <t>SEA-ICE; HEAT-FLUX; GROWTH; VARIABILITY; THICKNESS; OCEAN; MODEL; BAY</t>
  </si>
  <si>
    <t>Annual observations of first-year ice (FYI) and second-year ice (SYI) near Zhongshan Station, East Antarctica, were conducted for the first time from December 2011 to December 2012. Melt ponds appeared from early December 2011. Landfast ice partly broke in late January, 2012 after a strong cyclone. Open water was refrozen to form new ice cover in mid-February, and then FYI and SYI co-existed in March with a growth rate of 0.8 cm/d for FYI and a melting rate of 2.7 cm/d for SYI. This difference was due to the oceanic heat flux and the thickness of ice, with weaker heat flux through thicker ice. From May onward, FYI and SYI showed a similar growth by 0.5 cm/d. Their maximum thickness reached 160.5 cm and 167.0 cm, respectively, in late October. Drillings showed variations of FYI thickness to be generally less than 1.0 cm, but variations were up to 33.0 cm for SYI in March, suggesting that the SYI bottom was particularly uneven. Snow distribution was strongly affected by wind and surface roughness, leading to large thickness differences in the different sites. Snow and ice thickness in Nella Fjord had a similar east thicker, west thinner spatial distribution. Easterly prevailing wind and local topography led to this snow pattern. Superimposed ice induced by snow cover melting in summer thickened multi-year ice, causing it to be thicker than the snow-free SYI. The estimated monthly oceanic heat flux was similar to 30.0 W/m(2) in March-May, reducing to similar to 10.0 W/m(2) during July-October, and increasing to similar to 15.0 W/m(2) in November. The seasonal change and mean value of 15.6 W/m(2) was similar to the findings of previous research. The results can be used to further our understanding of landfast ice for climate change study and Chinese Antarctic Expedition services.</t>
  </si>
  <si>
    <t>[Zhao, Jiechen] Ocean Univ China, Coll Ocean &amp; Atmospher Sci, Qingdao 266100, Shandong, Peoples R China; [Zhao, Jiechen; Tian, Zhongxiang; Li, Ming; Zhang, Lin] Natl Marine Environm Forecasting Ctr, Beijing 100081, Peoples R China; [Zhao, Jiechen] Minist Nat Resources, Inst Oceanog 1, Qingdao 266061, Peoples R China; [Yang, Qinghua] Sun Yat Sen Univ, Sch Atmospher Sci, Guangdong Prov Key Lab Climate Change &amp; Nat Disas, Zhuhai 519082, Peoples R China; [Yang, Qinghua] Southern Marine Sci &amp; Engn Guangdong Lab Zhuhai, Zhuhai 519082, Peoples R China; [Cheng, Bin] Finnish Meteorol Inst, Helsinki 00101, Finland; [Lepparanta, Matti] Univ Helsinki, Inst Atmospher &amp; Earth Sci, Helsinki 00014, Finland; [Hui, Fengming; Yu, Yining] Beijing Normal Univ, Coll Global Change &amp; Earth Syst Sci GCESS, Beijing 100875, Peoples R China; [Xie, Surui] Univ S Florida, Sch Geosci, Tampa, FL 33620 USA; [Chen, Meng] Meteorol Serv Youyang Tujia &amp; Miao Autonomous Cty, Chongqing 409800, Peoples R China</t>
  </si>
  <si>
    <t>Ocean University of China; National Marine Environmental Forecasting Center; Ministry of Natural Resources of the People's Republic of China; First Institute of Oceanography, Ministry of Natural Resources; Sun Yat Sen University; Southern Marine Science &amp; Engineering Guangdong Laboratory; Southern Marine Science &amp; Engineering Guangdong Laboratory (Zhuhai); Finnish Meteorological Institute; University of Helsinki; Beijing Normal University; State University System of Florida; University of South Florida</t>
  </si>
  <si>
    <t>Yang, QH (corresponding author), Sun Yat Sen Univ, Sch Atmospher Sci, Guangdong Prov Key Lab Climate Change &amp; Nat Disas, Zhuhai 519082, Peoples R China.;Yang, QH (corresponding author), Southern Marine Sci &amp; Engn Guangdong Lab Zhuhai, Zhuhai 519082, Peoples R China.;Hui, FM (corresponding author), Beijing Normal Univ, Coll Global Change &amp; Earth Syst Sci GCESS, Beijing 100875, Peoples R China.</t>
  </si>
  <si>
    <t>yangqh25@mail.sysu.edu.cn; huifm@bnu.edu.cn</t>
  </si>
  <si>
    <t>Yu, Yining/ABD-3966-2020; Zhao, Jiechen/KHV-9905-2024</t>
  </si>
  <si>
    <t>yu, yining/0000-0002-9197-995X</t>
  </si>
  <si>
    <t>National Natural Science Foundation of China [41876212, 41406218, 41676176]; Chinese Arctic and Antarctic Administration [20120317]; Key Laboratory of Land Surface Process and Climate Change in Cold and Arid Regions, CAS [LPCC2018001, LPCC2018005]</t>
  </si>
  <si>
    <t>National Natural Science Foundation of China(National Natural Science Foundation of China (NSFC)); Chinese Arctic and Antarctic Administration; Key Laboratory of Land Surface Process and Climate Change in Cold and Arid Regions, CAS</t>
  </si>
  <si>
    <t>Foundation item: The National Natural Science Foundation of China under contract Nos 41876212, 41406218 and 41676176; the Polar Strategy Project from Chinese Arctic and Antarctic Administration under contract No. 20120317; the Opening Fund of Key Laboratory of Land Surface Process and Climate Change in Cold and Arid Regions, CAS, under contract Nos LPCC2018001 and LPCC2018005.</t>
  </si>
  <si>
    <t>10.1007/s13131-018-1339-5</t>
  </si>
  <si>
    <t>IW4TW</t>
  </si>
  <si>
    <t>WOS:000484973600005</t>
  </si>
  <si>
    <t>Brahney, J; Ballantyne, AP; Vandergoes, M; Baisden, T; Neff, JC</t>
  </si>
  <si>
    <t>Brahney, Janice; Ballantyne, Ashley P.; Vandergoes, Marcus; Baisden, Troy; Neff, Jason C.</t>
  </si>
  <si>
    <t>Increased Dust Deposition in New Zealand Related to Twentieth Century Australian Land Use</t>
  </si>
  <si>
    <t>JOURNAL OF GEOPHYSICAL RESEARCH-BIOGEOSCIENCES</t>
  </si>
  <si>
    <t>dust; geochemistry; land use; Alpine lakes</t>
  </si>
  <si>
    <t>WIND EROSION; EASTERN AUSTRALIA; TRANSPORT PATHWAYS; TRACE-ELEMENTS; CLIMATE-CHANGE; LAKE EYRE; PHOSPHORUS; IMPACT; STORM; POLLUTION</t>
  </si>
  <si>
    <t>Mineral aerosols (dust) generated in the dryland regions of Australia have the potential to reach New Zealand through atmospheric transport. Although a large portion of dust in New Zealand originates in Australia, little is known about how dust deposition has varied over time in New Zealand or what may have caused this variation. We used geochemical dust proxies to examine the recent history of dust deposition to two alpine lakes in Kahurangi National Park, South Island, New Zealand. Geochemical indicators suggest that dust deposition began to increase around 1900, with the greatest deposition rates occurring from similar to 1920 to similar to 1990. In subsequent decades, dust deposition rates to New Zealand lakes appear to have declined. This rise and fall of dust deposition recorded in New Zealand lakes is consistent with dust records from the Antarctic Ice Sheet, Eastern Australia, and incidents of low visibility due to dust events recorded at Australian climate stations. The dust deposition rate over time also follows the temporal pattern of land use in south and central Australia over the time scale of the twentieth century suggesting a causal linkage. It is possible, and perhaps likely, that drought cycles also affected both emissions and transport pathways but over shorter time periods this was difficult to discern at the temporal resolution of these lake sediment cores. The increase in dust deposition to the high-elevation regions of New Zealand likely has implications for the biogeochemistry of alpine lakes in the Tasman Mountains.</t>
  </si>
  <si>
    <t>[Brahney, Janice; Neff, Jason C.] Univ Colorado Boulder, Dept Geol Sci, Boulder, CO 80309 USA; [Brahney, Janice] Utah State Univ, Dept Watershed Sci, Logan, UT 84322 USA; [Ballantyne, Ashley P.] Univ Montana, Dept Ecosyst &amp; Conservat Sci, Missoula, MT 59812 USA; [Vandergoes, Marcus; Baisden, Troy] Inst Geol &amp; Nucl Sci GNS New Zealand, Lower Hutt, New Zealand; [Baisden, Troy] Univ Waikato, Environm Res Inst, Hamilton, New Zealand</t>
  </si>
  <si>
    <t>University of Colorado System; University of Colorado Boulder; Utah System of Higher Education; Utah State University; University of Montana System; University of Montana; University of Waikato</t>
  </si>
  <si>
    <t>Brahney, J (corresponding author), Univ Colorado Boulder, Dept Geol Sci, Boulder, CO 80309 USA.;Brahney, J (corresponding author), Utah State Univ, Dept Watershed Sci, Logan, UT 84322 USA.</t>
  </si>
  <si>
    <t>janice.brahney@usu.edu</t>
  </si>
  <si>
    <t>Brahney, Janice/H-3591-2019; Baisden, W. Troy/B-9831-2008</t>
  </si>
  <si>
    <t>Brahney, Janice/0000-0001-7614-2855; NEFF, JASON/0000-0002-8290-1472; Baisden, W. Troy/0000-0003-1814-1306</t>
  </si>
  <si>
    <t>GNS Science Global Change through Time research program the Marsden Fund of the Royal Society of New Zealand [GNS1001]; National Geographic Research and Exploration Grant</t>
  </si>
  <si>
    <t>GNS Science Global Change through Time research program the Marsden Fund of the Royal Society of New Zealand; National Geographic Research and Exploration Grant(National Geographic Society)</t>
  </si>
  <si>
    <t>This project was funded through a National Geographic Research and Exploration Grant and co-supported through the GNS Science Global Change through Time research program the Marsden Fund of the Royal Society of New Zealand (GNS1001). We thank Ian Walker for the generous use of his lab facilities. Raw geochemical data with QA/QC as well as the BACON age model data can be accessed in the supporting information.</t>
  </si>
  <si>
    <t>2169-8953</t>
  </si>
  <si>
    <t>2169-8961</t>
  </si>
  <si>
    <t>J GEOPHYS RES-BIOGEO</t>
  </si>
  <si>
    <t>J. Geophys. Res.-Biogeosci.</t>
  </si>
  <si>
    <t>10.1029/2018JG004627</t>
  </si>
  <si>
    <t>IM1AA</t>
  </si>
  <si>
    <t>WOS:000477719600010</t>
  </si>
  <si>
    <t>Park, YK; Lee, JI; Jung, J; Hillenbrand, CD; Yoo, KC; Kim, J</t>
  </si>
  <si>
    <t>Park, Young Kyu; Lee, Jae Il; Jung, Jaewoo; Hillenbrand, Claus-Dieter; Yoo, Kyu-Cheul; Kim, Jinwook</t>
  </si>
  <si>
    <t>Elemental Compositions of Smectites Reveal Detailed Sediment Provenance Changes during Glacial and Interglacial Periods: The Southern Drake Passage and Bellingshausen Sea, Antarctica</t>
  </si>
  <si>
    <t>MINERALS</t>
  </si>
  <si>
    <t>West Antarctica; Drake Passage; Bellingshausen Sea; clay mineralogy; elemental composition of smectite; transmission electron microscopy</t>
  </si>
  <si>
    <t>CLAY MINERAL DISTRIBUTION; WEST ANTARCTICA; SURFACE SEDIMENTS; ICE-SHEET; CHINA SEA; PENINSULA; ILLITE; ISLAND; LITHOSTRATIGRAPHY; ASSEMBLAGES</t>
  </si>
  <si>
    <t>Variations in clay mineral assemblages have been widely used to understand changes in sediment provenance during glacial and interglacial periods. Smectite clay minerals, however, have a range of various elemental compositions that possibly originated from multiple different sources. Therefore, it might be crucial to distinguish the various types of smectites by analyzing their elemental composition in order to verify the sediment provenances with certainty. This hypothesis was tested for the clay mineral characteristics in a marine sediment core from the southern Drake Passage (GC05-DP02). Rare earth elements and epsilon Nd data had previously indicated that fine grained detritus was supplied from the Weddell Sea to the core site during interglacial periods, when the sediments contained more Al-rich smectite (montmorillonite). Indeed, marine sediments collected close to the Larsen Ice Shelf on the eastern Antarctic Peninsula continental shelf, western Weddell Sea embayment, show more Al-rich smectite components as compared with other possible West Antarctic sources, such as the Ross Sea embayment or King George Island, South Shetland Islands. Furthermore, two types of smectite (Al-rich and Al-poor) were identified in core GC360 from the Bellingshausen Sea shelf, suggesting that during glacial periods some sediment is derived from subglacial erosion of underlying pre-Oligocene sedimentary strata containing predominantly Al-rich montmorillonite. This finding reveals different sources for smectites in sediments deposited at site GC360 during the last glacial period and during the present interglacial that show only minor differences in smectite contents. For the interglacial period, two groups of smectite with a wide range of Al-rich and Mg-Fe-rich were identified, which indicate delivery from two different sources: (1) the detritus with high contents of Mg-Fe-rich smectite supplied from Beethoven Peninsula, southwestern Alexander island and (2) the detritus with higher contents of Al-rich smectite (montmorillonite) possibly derived from the subglacial reworking of pre-Oligocene sedimentary strata. These results demonstrate that the elemental compositions of smectites can be used to differentiate the sources of smectites in marine sediments, which is an important tool to define sediment provenance in detail, when down-core changes observed in clay mineral assemblages are interpreted.</t>
  </si>
  <si>
    <t>[Park, Young Kyu; Jung, Jaewoo; Kim, Jinwook] Yonsei Univ, Dept Earth Syst Sci, Seoul 03722, South Korea; [Lee, Jae Il; Yoo, Kyu-Cheul] Korea Polar Res Inst, Incheon 21990, South Korea; [Hillenbrand, Claus-Dieter] British Antarctic Survey, Cambridge CB3 0ET, England</t>
  </si>
  <si>
    <t>Yonsei University; Korea Polar Research Institute (KOPRI); UK Research &amp; Innovation (UKRI); Natural Environment Research Council (NERC); NERC British Antarctic Survey</t>
  </si>
  <si>
    <t>Kim, J (corresponding author), Yonsei Univ, Dept Earth Syst Sci, Seoul 03722, South Korea.</t>
  </si>
  <si>
    <t>pyk125@yonsei.ac.kr; leeji@kopri.re.kr; jaewoojung87@yonsei.ac.kr; hilc@bas.ac.uk; kcyoo@kopri.re.kr; jinwook@yonsei.ac.kr</t>
  </si>
  <si>
    <t>Kim, Jinwook/AAO-7501-2020</t>
  </si>
  <si>
    <t>JUNG, JAEWOO/0000-0003-4611-2385</t>
  </si>
  <si>
    <t>National Research Foundation of Korea (NRF) grant [NRF-2018R1A2B6002036]; Antarctic Project of KOPRI [PE19030]; NERC [bas0100030] Funding Source: UKRI</t>
  </si>
  <si>
    <t>National Research Foundation of Korea (NRF) grant(National Research Foundation of Korea); Antarctic Project of KOPRI(Korea Polar Research Institute of Marine Research Placement (KOPRI)); NERC(UK Research &amp; Innovation (UKRI)Natural Environment Research Council (NERC))</t>
  </si>
  <si>
    <t>This research was supported by the National Research Foundation of Korea (NRF) grant (No. NRF-2018R1A2B6002036) and the Antarctic Project of KOPRI (PE19030) to J.K.</t>
  </si>
  <si>
    <t>2075-163X</t>
  </si>
  <si>
    <t>MINERALS-BASEL</t>
  </si>
  <si>
    <t>Minerals</t>
  </si>
  <si>
    <t>10.3390/min9050322</t>
  </si>
  <si>
    <t>Geochemistry &amp; Geophysics; Mineralogy; Mining &amp; Mineral Processing</t>
  </si>
  <si>
    <t>IM3OD</t>
  </si>
  <si>
    <t>WOS:000477902800070</t>
  </si>
  <si>
    <t>Fuentes, SN; Cuitino, JI; Martz, P; Panera, JPP; Guler, V; Palazzesi, L; Barreda, VD; Scasso, RA</t>
  </si>
  <si>
    <t>Fuentes, Sabrina N.; Cuitino, Jose, I; Martz, Paula; Perez Panera, Juan P.; Guler, Veronica; Palazzesi, Luis; Barreda, Viviana D.; Scasso, Roberto A.</t>
  </si>
  <si>
    <t>PALAEOENVIRONMENTAL RECONSTRUCTION OF THE PUERTO MADRYN FORMATION (MIDDLE TO LATE MIOCENE), NORTHEAST OF PATAGONIA: PALYNOLOGY, NANNOFOSSILS AND STRATIGRAPHY</t>
  </si>
  <si>
    <t>AMEGHINIANA</t>
  </si>
  <si>
    <t>Palynofacies; Palynomorphs; Nannofossils; Neogene; Chubut; Argentina</t>
  </si>
  <si>
    <t>PLIOCENE DINOFLAGELLATE CYST; SEA-LEVEL CHANGES; PENINSULA VALDES; ATLANTIC-OCEAN; ARGENTINA; RECORD; BASIN; ASSEMBLAGES; EOCENE; BIOSTRATIGRAPHY</t>
  </si>
  <si>
    <t>A 20 m-thick interval of the Puerto Madryn Formation was the subject of a multiproxy study, including sedimentological and stratigraphical observations as well as marine-derived amorphous organic matter, phytoclast, palynomorphs and calcareous nannofossils assessments. Three palynofacies were defined based on qualitative and quantitative analysis of the palynological organic matter that contributed to the palaeoenvironment inferences. Based on their sedimentology, palynology and calcareous nannofossils, the section was divided into four intervals: Interval 1 accumulated in relatively stable, warm water conditions, without salinity fluctuations, in an inner shelf; Intervals 2 and 3 show a marked upward fining trend and a progressive change towards a phytoclast-dominated palynofacies; Interval 4, which represents a reinstauration of normal marine conditions with a regressive trend. The accumulation of the finest-grained deposits on the shelf corresponds to the most continental signature of the succession which seems to contradict the classic grain-size stratigraphic trends for shallow marine sedimentary successions. We interpret this deposit as the result of the progressive increase of fluvial, mud-laden freshwater input into the depositional system produced by switching of deltaic channels processes. The dinocyst assemblages reflect overall warm-water conditions. Nevertheless, the presence of cool-water indicator species in some levels suggests the influence of Antarctic cold-waters. The diagnostic dinocyst and nannofossil taxa support the age of the studied interval as Serravalian-Tortonian.</t>
  </si>
  <si>
    <t>[Fuentes, Sabrina N.; Martz, Paula; Guler, Veronica] Inst Geol Sur INGEOSUR, San Juan 670,B8000ICN, Bahia Blanca, Buenos Aires, Argentina; [Cuitino, Jose, I] CCT CONICET CENPAT, Inst Patagon Geol &amp; Paleontol, Bv Almirante Brown 2915,U9120ACD, Puerto Madryn, Chubut, Argentina; [Perez Panera, Juan P.] Consejo Nacl Invest Cient &amp; Tecn, YPF Tecnol SA, Lab Bioestratig, Ave Petroleo Argentino S-N E 129 &amp; 143,B1923, Berisso, Buenos Aires, Argentina; [Palazzesi, Luis; Barreda, Viviana D.] Museo Argentino Ciencias Nat Bernardino Rivadavia, Av Angel Gallardo 470,C1405DJR, Buenos Aires, DF, Argentina; [Scasso, Roberto A.] Inst Geociencias Basicas Aplicadas &amp; Ambientales, Intendente Guiraldes 2160,Pabellon 2,Piso 1, Buenos Aires, DF, Argentina</t>
  </si>
  <si>
    <t>Centro Nacional Patagonico (CENPAT); Consejo Nacional de Investigaciones Cientificas y Tecnicas (CONICET); Museo Argentino de Ciencias Naturales Bernardino Rivadavia (MACN)</t>
  </si>
  <si>
    <t>Fuentes, SN (corresponding author), Inst Geol Sur INGEOSUR, San Juan 670,B8000ICN, Bahia Blanca, Buenos Aires, Argentina.</t>
  </si>
  <si>
    <t>sabrina.n.f@hotmail.com; jcuitino@cenpat-canicet.gob.ar; martzpaula@gmail.com; perezpanera@ciudad.com.ar; vgu-ler@cribo.edu.ar; lpalazzesi@macn.gov.ar; vbarreda@macn.gov.ar; rscasso@gl.fcen.uba.ar</t>
  </si>
  <si>
    <t>Perez Panera, Juan Pablo/HSI-3366-2023; Cuitiño, José Ignacio/HLQ-7475-2023</t>
  </si>
  <si>
    <t>Cuitiño, José Ignacio/0000-0002-4742-7920; Palazzesi, Luis/0000-0001-8026-4679</t>
  </si>
  <si>
    <t>ANPCyP [PICT 2012-0911]</t>
  </si>
  <si>
    <t>ANPCyP</t>
  </si>
  <si>
    <t>We thank the Administracion del Area Natural Protegida Peninsula Valdes for permissions to work in the area and the anonymous reviewers whose constructive comments considerably improved the manuscript. This work was partially financed by ANPCyP PICT 2012-0911.</t>
  </si>
  <si>
    <t>ASOCIACION PALEONTOLOGICA ARGENTINA</t>
  </si>
  <si>
    <t>BUENOS AIRES</t>
  </si>
  <si>
    <t>MAIPU 645, 1ER PISO, 1006 BUENOS AIRES, ARGENTINA</t>
  </si>
  <si>
    <t>0002-7014</t>
  </si>
  <si>
    <t>1851-8044</t>
  </si>
  <si>
    <t>Ameghiniana</t>
  </si>
  <si>
    <t>10.5710/AMGH.11.12.2018.3201</t>
  </si>
  <si>
    <t>IK9OG</t>
  </si>
  <si>
    <t>WOS:000476924600002</t>
  </si>
  <si>
    <t>Koshlyakov, MN; Savchenko, DS; Tarakanov, RY</t>
  </si>
  <si>
    <t>Koshlyakov, M. N.; Savchenko, D. S.; Tarakanov, R. Yu.</t>
  </si>
  <si>
    <t>Energy of the Jets of the Antarctic Circumpolar Current and of Their Eddies in the Surface Layer of the Southern Ocean</t>
  </si>
  <si>
    <t>OCEANOLOGY</t>
  </si>
  <si>
    <t>ALTIMETRY</t>
  </si>
  <si>
    <t>The kinetic energy of six jets of the Antarctic Circumpolar Current (ACC) and of the cyclonic and anticyclonic mesoscale eddies generated by these jets is studied in application to the surface layer of Antarctic Circle. The study is based on satellite altimetry data for 1993-2015 available at http://aviso.altimetry.fr. Main results of the study are (a) a fivefold excess of the mean energy of jets proper over the mean total (cyclones plus anticyclones) energy of eddies; (b) the prevalence of the energy of the core jet of the Subantarctic Current over the energy of the rest of the ACC jets in the entire Antarctic Circle; (c) a twofold excess of the mean energy of cyclonic eddies over the energy of anticyclones in the upper ocean layer.</t>
  </si>
  <si>
    <t>[Koshlyakov, M. N.; Savchenko, D. S.; Tarakanov, R. Yu.] Russian Acad Sci, Shirshov Inst Oceanol, Moscow 117218, Russia</t>
  </si>
  <si>
    <t>Russian Academy of Sciences; Shirshov Institute of Oceanology</t>
  </si>
  <si>
    <t>Koshlyakov, MN (corresponding author), Russian Acad Sci, Shirshov Inst Oceanol, Moscow 117218, Russia.</t>
  </si>
  <si>
    <t>mnkoshl@ocean.ru</t>
  </si>
  <si>
    <t>Tarakanov, Roman/R-3325-2016</t>
  </si>
  <si>
    <t>Tarakanov, Roman/0000-0002-8711-1859</t>
  </si>
  <si>
    <t>Russian Foundation for Basic Research [18-05-00283]; [0149-2019-0004]</t>
  </si>
  <si>
    <t>Development of the algorithm for detecting eddies in ADT altimetry maps and creation of an eddy database were carried out under state assignment program no. 0149-2019-0004. Analytical processing of jet and eddy interaction was supported by the Russian Foundation for Basic Research no. 18-05-00283.</t>
  </si>
  <si>
    <t>0001-4370</t>
  </si>
  <si>
    <t>1531-8508</t>
  </si>
  <si>
    <t>OCEANOLOGY+</t>
  </si>
  <si>
    <t>Oceanology</t>
  </si>
  <si>
    <t>10.1134/S0001437019030093</t>
  </si>
  <si>
    <t>IL1CT</t>
  </si>
  <si>
    <t>WOS:000477037200001</t>
  </si>
  <si>
    <t>Keller, NB; Oskina, NS; Savilova, TA</t>
  </si>
  <si>
    <t>Keller, N. B.; Oskina, N. S.; Savilova, T. A.</t>
  </si>
  <si>
    <t>Arctic and Antarctic Scleractinian Corals: Comparisons-Similarities and Differences</t>
  </si>
  <si>
    <t>Fauna of the circumpolar Arctic and Antarctic regions was compared based on the example of cold-water Scleractinia corals. In similar subzero temperatures of surrounding waters, not only the distribution of corals, but also the number of species and their morphological characteristics differ radically between the Arctic and Antarctic (17 coral species occur in the Subantarctic region, including six endemic species, whereas the Arctic and high latitudes are inhabited by two species). We believe that the difference between these two faunas is due to the difference in geological history of these regions. In the southern hemisphere, the formation of Antarctic circumpolar currents ended before the Neogene. Stable conditions that existed for several million years in the Subantarctic region led to the formation of well-developed scleractinian fauna and species endemic to this area. In the Northern Hemisphere, stable hydrological conditions at high latitudes and in the Arctic have existed since the beginning of the Holocene for approximately 11-12 ka, when colonization by corals species with a wide distribution began. Indirect evidence on the vertical thickness of the Circumantarctic current ring is presented.</t>
  </si>
  <si>
    <t>[Keller, N. B.; Oskina, N. S.; Savilova, T. A.] Russian Acad Sci, Shirshov Inst Oceanol, Moscow 117218, Russia</t>
  </si>
  <si>
    <t>Keller, NB; Oskina, NS; Savilova, TA (corresponding author), Russian Acad Sci, Shirshov Inst Oceanol, Moscow 117218, Russia.</t>
  </si>
  <si>
    <t>keller@ocean.ru; nsoskina@mail.ru; bottom51@mail.ru</t>
  </si>
  <si>
    <t>10.1134/S0001437019030068</t>
  </si>
  <si>
    <t>WOS:000477037200009</t>
  </si>
  <si>
    <t>Talalay, P; Li, XC; Gong, D; Fan, XP; Zhang, N; Yang, Y; Liu, YW; Liu, YC; Wang, T; Li, X</t>
  </si>
  <si>
    <t>Talalay, Pavel; Li, Xingchen; Gong, Da; Fan, Xiaopeng; Zhang, Nan; Yang, Yang; Liu, Yongwen; Liu, Yunchen; Wang, Ting; Li, Xiao</t>
  </si>
  <si>
    <t>Design and Experiment of Clamper Used in Antarctic Subglacial Bedrock Drilling</t>
  </si>
  <si>
    <t>clamper; polar drilling; Ice and Bedrock Electromechanical Drill; clamping torque; clamping force</t>
  </si>
  <si>
    <t>ICE-CORE; TORQUE; DOME; MOUNTAINS</t>
  </si>
  <si>
    <t>As a result of the severe natural environment with oxygen deficit in the Antarctic, using conventional manual work to screw and unscrew the drill pipe increases the labor intensity tremendously and causes an efficiency reduction. Therefore, it would be useful to design a clamper inside the drilling shelter, which could help to assemble and disassemble the ice core barrel with screw connection. This paper describes the design of and experiments with the clamper inside the movable drilling shelter. A related testing stand was also designed and built to experiment on relationships between the clamper motor current versus clamping torque and force. Through experimental data collation and calculation analysis, the following conclusions could be drawn: (1) according to the rotary ability of the Ice and Bedrock Electromechanical Drill (IBED) to calculate and determine the torque of clamper, the clamping torque required to provide by the clamper is 100 N.m; (2) finite element simulation and analysis of the non-standard transmission chain showed that the mechanical reliability of the subparts; (3) the experimental results showed the range of the clamping force and clamping torque of the clamper. The clamping force and clamping torque increased with the increase of clamper DC motor current, presenting proportional linear relationships. The clamper can meet the clamping requirements of IBED for screwing, unscrewing, and clamping, which will be greatly helpful when it is tested in the field.</t>
  </si>
  <si>
    <t>[Talalay, Pavel; Li, Xingchen; Gong, Da; Fan, Xiaopeng; Zhang, Nan; Yang, Yang; Liu, Yongwen; Liu, Yunchen; Wang, Ting; Li, Xiao] Jilin Univ, Polar Res Ctr, Changchun 130026, Jilin, Peoples R China; [Gong, Da] Jilin Univ, Coll Phys, Changchun 2699 Qianjin St, Changchun 130012, Jilin, Peoples R China</t>
  </si>
  <si>
    <t>Jilin University; Jilin University</t>
  </si>
  <si>
    <t>Gong, D (corresponding author), Jilin Univ, Polar Res Ctr, Changchun 130026, Jilin, Peoples R China.;Gong, D (corresponding author), Jilin Univ, Coll Phys, Changchun 2699 Qianjin St, Changchun 130012, Jilin, Peoples R China.</t>
  </si>
  <si>
    <t>talalay@jlu.edu.cn; lixc17@mails.jlu.edu.cn; gongd@jlu.edu.cn; fxp@jlu.edu.cn; znan@jlu.edu.cn; yangyang2014@jlu.edu.cn; liuan18@mails.jlu.edu.cn; wangliang18@mails.jlu.edu.cn; heaxe@163.com; lixiao17@mails.jlu.edu.cn</t>
  </si>
  <si>
    <t>Zhang, Nan/GXH-0361-2022; Talalay, Pavel/AAH-2908-2020</t>
  </si>
  <si>
    <t>Talalay, Pavel/0000-0002-8230-4600; Li, Xingchen/0000-0001-7843-7446</t>
  </si>
  <si>
    <t>National Science Foundation of China [41327804, 41706214, 41506216]</t>
  </si>
  <si>
    <t>National Science Foundation of China(National Natural Science Foundation of China (NSFC))</t>
  </si>
  <si>
    <t>This research was funded by National Science Foundation of China (Project No. 41327804, 41706214, and 41506216).</t>
  </si>
  <si>
    <t>10.3390/jmse7050153</t>
  </si>
  <si>
    <t>IC4VL</t>
  </si>
  <si>
    <t>WOS:000470965000033</t>
  </si>
  <si>
    <t>Dong, C; Li, X; Chen, XX; Jin, JC; Huang, CY</t>
  </si>
  <si>
    <t>Dong, Chao; Li, Xue; Chen, Xin-xi; Jin, Jiu-cai; Huang, Cheng-yi</t>
  </si>
  <si>
    <t>Recent Progress of Marine Survey Unmanned Surface Vehicle in China</t>
  </si>
  <si>
    <t>MARINE TECHNOLOGY SOCIETY JOURNAL</t>
  </si>
  <si>
    <t>unmanned surface vehicle; recent progress; marine survey; China</t>
  </si>
  <si>
    <t>Based on the ongoing techniques among control theory, communication networks, and sensor design, unmanned aerial vehicles (UAVs), unmanned undersea vehicles (UUVs) and unmanned surface vehicles (USVs) are experiencing rapid development. Research on these unmanned systems and those intelligent sectors inside has absorbed interests and investments from not only military but also civil organizations. The well-applied fields include surveillance and reconnaissance, surface warfare, antisubmarine warfare, mine countermeasures, oceanic environment monitoring, search and rescue, hydrographic survey, and so on. Comparing with those studies on UAVs and UUVs, the one focusing on USVs was started later and has been developed quickly in the past 20 years. Since 2013, USV has advanced considerably in China, particularly in the marine survey field. Owing to its characteristics of light-weighting, intelligence, and unmanned operations, USV is attractive for shallow water, extreme environments, and marine accidents. This paper comprehensively summarizes the recent progress of the marine survey USV in China. The structure of the paper is divided into three parts. First, we briefly recall the developing history and introduce several excellent USVs of China in recent years. The marine survey USVs invested by the State Oceanic Administration (SOA) are then summarized in the next section, along with the details of hydrographic survey in the South China Sea, Antarctic marine survey, and oil spill emergency response. Finally, the paper points out current deficiencies and future directions of the potential technique.</t>
  </si>
  <si>
    <t>[Dong, Chao; Li, Xue] State Ocean Adm, South China Sea Marine Survey &amp; Technol Ctr, Xingang West Rd 155, Guangzhou 510300, Guangdong, Peoples R China; [Dong, Chao; Li, Xue] State Ocean Adm, Key Lab Technol Safeguarding Marine Rights &amp; Inte, Xingang West Rd 155, Guangzhou 510300, Guangdong, Peoples R China; [Chen, Xin-xi] State Ocean Adm, East Sea Marine Environm Investigating &amp; Surveyin, Shanghai, Peoples R China; [Jin, Jiu-cai] State Ocean Adm, Inst Oceanog 1, Qingdao, Shandong, Peoples R China; [Huang, Cheng-yi] State Ocean Adm, Beihai Offshore Engn Survey Inst, Qingdao, Shandong, Peoples R China</t>
  </si>
  <si>
    <t>First Institute of Oceanography, Ministry of Natural Resources</t>
  </si>
  <si>
    <t>Dong, C (corresponding author), State Ocean Adm, South China Sea Marine Survey &amp; Technol Ctr, Xingang West Rd 155, Guangzhou 510300, Guangdong, Peoples R China.;Dong, C (corresponding author), State Ocean Adm, Key Lab Technol Safeguarding Marine Rights &amp; Inte, Xingang West Rd 155, Guangzhou 510300, Guangdong, Peoples R China.</t>
  </si>
  <si>
    <t>dongchaoxj888@126.com</t>
  </si>
  <si>
    <t>Jin, Jiucai/0000-0002-4425-5297</t>
  </si>
  <si>
    <t>Global Change and Air-Sea Interaction Project; Public Science and Technology Research Funds Projects of Ocean [201505002]</t>
  </si>
  <si>
    <t>Global Change and Air-Sea Interaction Project; Public Science and Technology Research Funds Projects of Ocean</t>
  </si>
  <si>
    <t>Financial support from the Global Change and Air-Sea Interaction Project, as well as the Public Science and Technology Research Funds Projects of Ocean (201505002), is gratefully acknowledged.</t>
  </si>
  <si>
    <t>MARINE TECHNOLOGY SOC INC</t>
  </si>
  <si>
    <t>COLUMBIA</t>
  </si>
  <si>
    <t>5565 STERRETT PLACE, STE 108, COLUMBIA, MD 21044 USA</t>
  </si>
  <si>
    <t>0025-3324</t>
  </si>
  <si>
    <t>1948-1209</t>
  </si>
  <si>
    <t>MAR TECHNOL SOC J</t>
  </si>
  <si>
    <t>Mar. Technol. Soc. J.</t>
  </si>
  <si>
    <t>MAY-JUN</t>
  </si>
  <si>
    <t>10.4031/MTSJ.53.3.4</t>
  </si>
  <si>
    <t>IJ2IC</t>
  </si>
  <si>
    <t>WOS:000475720500004</t>
  </si>
  <si>
    <t>Craddock, JP; Ojakangas, RW; Malone, DH; Konstantinou, A; Mory, A; Bauer, W; Thomas, RJ; Affinati, SC; Pauls, K; Zimmerman, U; Botha, G; Rochas-Campos, A; dos Santos, PR; Tohver, E; Riccomini, C; Martin, J; Redfern, J; Horstwood, M; Gehrels, G</t>
  </si>
  <si>
    <t>Craddock, John P.; Ojakangas, Richard W.; Malone, David H.; Konstantinou, Alexandros; Mory, Arthur; Bauer, Wilfried; Thomas, Robert J.; Affinati, Suzanne Craddock; Pauls, Kathryn; Zimmerman, Udo; Botha, Greg; Rochas-Campos, Anthony; dos Santos, Paulo R.; Tohver, Eric; Riccomini, Claudio; Martin, Joe; Redfern, Jonathan; Horstwood, Matthew; Gehrels, George</t>
  </si>
  <si>
    <t>Detrital zircon provenance of Permo-Carboniferous glacial diamictites across Gondwana</t>
  </si>
  <si>
    <t>DRONNING-MAUD-LAND; NEW-ENGLAND OROGEN; PALEOZOIC ICE-AGE; PB GEOCHRONOLOGICAL EVIDENCE; NORTHERN TAMWORTH BELT; BUENOS-AIRES-PROVINCE; U-PB; FALKLAND-ISLANDS; SOUTH-AFRICA; DWYKA GROUP</t>
  </si>
  <si>
    <t>Gondwana changed its high latitude location during the late Paleozoic (338-265 Ma), relative to the South Pole, and the style of glaciation evolved from localized alpine glaciers and ice fields to similar to 30 small ice sheets across the supercontinent. We report the analysis of heavy mineral populations (n = 2217) and the ages of detrital zircons (n = 2920 U-Pb LA-ICPMS results) from Gondwana diamictite deposits from eight landmasses: Africa (5 samples), Antarctica (5), Australia (8), the Ellsworth Mountains terrane (1, Antarctica), the Falkland Islands (2, diamictite plus U-Pb SHRIMP ages on granite clasts), India (1), Madagascar (1), Oman (3), the equatorial Lhasa terrane (2), the equatorial North Qiantang terrane (2) and South America (10). Heavy mineral separations (SEM-WDS analysis) identified one anomaly, pyrope garnets present only in Dwyka Group and Dwyka-equivalent samples suggesting an ultramafic Antarctic source. Statistical analysis of detrital zircon age distributions support the inference of local transport of sediment from many small ice centers with five examples of far-field ice transport ( &gt; 1000 km; four with ice flow &gt; 2000 km), and three from ice fields located along coastal Antarctica. We propose that ice was distributed from five main ice-caps of different ages in southern Gondwana with ice flow away from central Gondwana. We also confirm that the Permo-Carboniferous detrital zircon populations of Euramerica (eolian and fluvial) and Gondwana (ash, detrital-glacial) are not mixed across the equator or seaway and ponder the possibility of a late Paleozoic snowball Earth.</t>
  </si>
  <si>
    <t>[Craddock, John P.] Macalester Coll, Dept Geol, St Paul, MN 55105 USA; [Ojakangas, Richard W.] Univ Minnesota, Dept Geol, Duluth, MN 55812 USA; [Malone, David H.] Illinois State Univ, Dept Geog Geol &amp; Environm, Normal, IL 61790 USA; [Konstantinou, Alexandros] ExxonMobil Explorat, Spring, TX 77389 USA; [Mory, Arthur] Govt W Australia, Ind Regulat &amp; Safety, Resources Branch, Mineral House,100 Plain St, Perth, WA 6004, Australia; [Bauer, Wilfried] German Univ Technol Oman, AGEO Dept, POB 1816, Athaibah 130, Oman; [Thomas, Robert J.] Council Geosci, 3 Oos St, ZA-7535 Bellville, South Africa; [Affinati, Suzanne Craddock] No Arizona Univ, Sch Earth Sci &amp; Environm Sustainabil, Flagstaff, AZ 86011 USA; [Pauls, Kathryn] Univ Wisconsin, Dept Geosci, Milwaukee, WI 53211 USA; [Zimmerman, Udo] Univ Stavanger, Dept Petr Engn, N-4036 Stavanger, Norway; [Botha, Greg] Council Geosci, Geol Resources Div, 139 Jabu Ndlovu St, ZA-3200 Pietermaritzburg, South Africa; [Rochas-Campos, Anthony; dos Santos, Paulo R.; Tohver, Eric] Univ Sao Paulo, Inst Geociencias, Sao Paulo, Brazil; [Tohver, Eric] Univ Sao Paulo, Inst Astron &amp; Geofis, 1226 Rua Matao, BR-05508090 Sao Paulo, SP, Brazil; [Riccomini, Claudio] Univ Sao Paulo, Inst Energy &amp; Environm, Av Prof Luciano Gualberto 1289, BR-05508900 Sao Paulo, Brazil; [Martin, Joe; Redfern, Jonathan] Univ Manchester, Sch Earth &amp; Environm, Basin Studies Grp, Manchester M13 9PL, Lancs, England; [Horstwood, Matthew] British Geol Survey, NERC Isotope Geosci Lab, Keyworth NG12 5GG, Notts, England; [Gehrels, George] Univ Arizona, Dept Geosci, Tucson, AZ 85721 USA; [Martin, Joe] Shell Malaysia Ltd, Jalan Tun Sambanthan 211, Kuala Lumpur 50470, Malaysia</t>
  </si>
  <si>
    <t>Macalester College; University of Minnesota System; University of Minnesota Duluth; Illinois State University; Exxon Mobil Corporation; Northern Arizona University; University of Wisconsin System; University of Wisconsin Milwaukee; Universitetet i Stavanger; Universidade de Sao Paulo; Universidade de Sao Paulo; Universidade de Sao Paulo; University of Manchester; UK Research &amp; Innovation (UKRI); Natural Environment Research Council (NERC); NERC British Geological Survey; University of Arizona</t>
  </si>
  <si>
    <t>Craddock, JP (corresponding author), Macalester Coll, Dept Geol, St Paul, MN 55105 USA.</t>
  </si>
  <si>
    <t>craddock@macalester.edu</t>
  </si>
  <si>
    <t>Bauer, Wilfried/AAB-2269-2019; Mory, Arthur/HJH-8488-2023; Riccomini, Claudio/G-1764-2010; Konstantinou, Alexandros/HSI-6543-2023</t>
  </si>
  <si>
    <t>Bauer, Wilfried/0000-0003-0359-8952; Mory, Arthur/0000-0003-3541-6172; Riccomini, Claudio/0000-0002-7249-5706; Horstwood, Matthew/0000-0003-4200-8193; Redfern, Jonathan/0000-0002-0536-1492; , Paulo Roberto dos Santos/0000-0002-8979-3451; Botha, Greg/0000-0002-8359-4144</t>
  </si>
  <si>
    <t>Australian Research Council [LP0991834]; Riccomini Brazilian Council for Scientific and Technological Development [CNPQ 307871/2010-0]; Ministry of Oil and Gas of the Sultanate of Oman (MOG) [7312/12531]; Natural Environment Research Council (UK) [NER/S/A/2004/13012]</t>
  </si>
  <si>
    <t>Australian Research Council(Australian Research Council); Riccomini Brazilian Council for Scientific and Technological Development; Ministry of Oil and Gas of the Sultanate of Oman (MOG); Natural Environment Research Council (UK)(UK Research &amp; Innovation (UKRI)Natural Environment Research Council (NERC))</t>
  </si>
  <si>
    <t>Craddock and Ojakangas started this project in the Ellsworth Mountains (1979-80) and progressed with piecemeal funding. Tohver acknowledges Australian Research Council grant LP0991834, and Riccomini Brazilian Council for Scientific and Technological Development grant CNPQ 307871/2010-0. Nancy Vickery and Bob Brown are thanked for contributing samples from eastern Australia. Macalester students who participated in this effort were: Alex Nereson, Maria Princen, Nick Cutter, Dale Dybvig, Jesse Geary and Jake Moen. Matthew Horstwood (NERC Lab, U.K.) is thanked for aiding the analysis of the Canning Basin detrital zircons. We thank Petroleum Development Oman and especially Irene Gomez Perez for the drill cores from the Al Khlata Formation. The sample material for our study was released by the Ministry of Oil and Gas of the Sultanate of Oman (MOG Ref. 7312/12531) which is gratefully acknowledged. Martin and Redfern acknowledge the joint financial support provided by Natural Environment Research Council (UK) Studentship NER/S/A/2004/13012. Gerhard Spaeth kindly contributed the Heimefront Range field photo and Jim Collinson contributed TAM field images. A. J. Mory publishes with the permission of the Director, Geoscience Resources Strategy. The Laserchron crew at the University of Arizona was awesome over many decades! Pucks containing the detrital zircons analyzed in this study, except the Canning Basin, Australia (contact Jonathan Redfern, University of Manchester) and Sites 23 and 24 (contact the Laserschron Center, University of Arizona), will be housed at the Byrd Polar Research Center, Ohio State University, for future use. Doug Cole and one anonymous reviewer greatly improved the clarity and presentation of the manuscript.</t>
  </si>
  <si>
    <t>10.1016/j.earscirev.2019.01.014</t>
  </si>
  <si>
    <t>IH4ZB</t>
  </si>
  <si>
    <t>WOS:000474499500011</t>
  </si>
  <si>
    <t>Ruiz-Fernández, J; Oliva, M; Nyvlt, D; Cannone, N; García-Hernández, C; Guglielmin, M; Hrbácek, F; Roman, M; Fernández, S; López-Martínez, J; Antoniades, D</t>
  </si>
  <si>
    <t>Ruiz-Fernandez, Jesus; Oliva, Marc; Nyvlt, Daniel; Cannone, Nicoletta; Garcia-Hernandez, Cristina; Guglielmin, Mauro; Hrbacek, Filip; Roman, Matej; Fernandez, Susana; Lopez-Martinez, Jeronimo; Antoniades, Dermot</t>
  </si>
  <si>
    <t>Patterns of spatio-temporal paraglacial response in the Antarctic Peninsula region and associated ecological implications</t>
  </si>
  <si>
    <t>Antarctic Peninsula; Deglaciation; Paraglacial processes; Geomorphology; Permafrost; Ecology</t>
  </si>
  <si>
    <t>JAMES-ROSS-ISLAND; SOUTH-SHETLAND-ISLANDS; KING-GEORGE-ISLAND; LAST GLACIAL MAXIMUM; ABANDONED PENGUIN COLONIES; SEDIMENT-MANTLED SLOPES; PRINCE GUSTAV CHANNEL; LAKE OUTBURST FLOOD; ICE-STREAM RETREAT; SEA-LEVEL CHANGES</t>
  </si>
  <si>
    <t>The Antarctic Peninsula (AP) constitutes the warmest region of Antarctica, although 98% of the surface is still covered by glaciers. The region shows contrasting geographic and climatic properties, which have conditioned past and present glacial activity. This paper constitutes a review of the spatial and temporal patterns of paraglacial activity across the AP bridging the geomorphological and ecological perspectives. The number and extent of ice-free environments has increased since the Last Glacial Maximum, particularly during the Early Holocene and the 20th century. Following deglaciation, the redefinition of coastlines and the uplift of landmasses proceeded differently in the three sectors of AP, with maximum uplift in the western sector (40 m a.s.l.), the minimum on the north (20.4 m a.s.l.), and intermediate in the eastern sector (30 m). There are also differences in the levels of raised beaches, with the highest complexity in the northern AP (5-7 levels) and the lowest in the eastern AP (3 levels). The transition from glacial to periglacial conditions (paraglacial stage) also differed greatly between the three sectors, with the absence of rock glaciers in the western sector, the development almost exclusively of glacier-derived rock glaciers in the eastern AP, and the majority of talus-derived rock glaciers in the northern AP. The development of protalus lobes, block streams and other periglacial features was highly dependent on the cold/warm based character of individual glaciers; this characteristic determines the existence or absence of permafrost following deglaciation which, in turn, conditions the type and intensity of geomorphic processes in newly exposed ice-free areas. More recently, following the post-1950s regional warming, there have still been important differences between the three sectors in the development of paraglacial environments. Permafrost degradation has occurred in newly exposed areas, accelerating mass wasting and sediment redistribution and changing hydrological processes, especially in the northern and western AP, while sudden glacial outburst flooding has occurred in the eastern AP. The most apparent major ecological response to this recent warming is greening due to vegetation expansion, which is more evident where paraglacial and periglacial processes are less intense. The accurate characterization of the different paraglacial responses existing in the AP enables a better understanding of future environmental responses in this climatically sensitive region, where climate models forecast significant environmental change for during forthcoming decades.</t>
  </si>
  <si>
    <t>[Ruiz-Fernandez, Jesus; Garcia-Hernandez, Cristina] Univ Oviedo, Dept Geog, C Amparo Pedregal S-N, Oviedo 33011, Spain; [Oliva, Marc] Univ Barcelona, Dept Geog, Barcelona, Spain; [Nyvlt, Daniel; Hrbacek, Filip; Roman, Matej] Masaryk Univ, Dept Geog, Brno, Czech Republic; [Cannone, Nicoletta] Univ Insubria, Dept Sci &amp; High Technol, Varese, Italy; [Guglielmin, Mauro] Univ Insubria, Dept Theoret &amp; Appl Sci, Varese, Italy; [Fernandez, Susana] Univ Oviedo, Dept Geol, Oviedo, Spain; [Lopez-Martinez, Jeronimo] Univ Autonoma Madrid, Dept Geol &amp; Geochem, Madrid, Spain; [Antoniades, Dermot] Univ Laval, Dept Geog, Quebec City, PQ, Canada; [Antoniades, Dermot] Univ Laval, Ctr Northern Studies CEN, Quebec City, PQ, Canada</t>
  </si>
  <si>
    <t>University of Oviedo; University of Barcelona; Masaryk University Brno; University of Insubria; University of Insubria; University of Oviedo; Autonomous University of Madrid; Laval University; Laval University</t>
  </si>
  <si>
    <t>Ruiz-Fernández, J (corresponding author), Univ Oviedo, Dept Geog, C Amparo Pedregal S-N, Oviedo 33011, Spain.</t>
  </si>
  <si>
    <t>ruizjesus@uniovi.es</t>
  </si>
  <si>
    <t>Hrbacek, Filip/ABG-4319-2020; Nyvlt, Daniel/J-6504-2019; Hernández, Cristina García/AAI-6557-2020; Roman, Matěj/AAN-4194-2020; Fernandez, Susana/IUQ-3116-2023; Lopez-Martinez, Jeronimo/C-5744-2011; Oliva, Marc/K-5423-2014; Fernandez, Susana/K-7969-2014</t>
  </si>
  <si>
    <t>Hrbacek, Filip/0000-0001-5032-9216; Nyvlt, Daniel/0000-0002-6876-490X; Hernández, Cristina García/0000-0003-3003-9128; Roman, Matěj/0000-0003-4741-5169; Lopez-Martinez, Jeronimo/0000-0002-1750-8287; Antoniades, Dermot/0000-0001-6629-4839; Oliva, Marc/0000-0001-6521-6388; Fernandez, Susana/0000-0001-8267-0371</t>
  </si>
  <si>
    <t>Spanish Ministry of Economy, Industry and Competitiveness [CTM2016-77878-P]; Spanish Ministry of Economy and Competitiveness [RYC-2015-17597]; Ministry of Education, Youth and Sports of the Czech Republic [LM2015078, CZ.02.1.01/0.0/0.0/16_013/0001708]; Masaryk University [MUNI/A/1419/2016]; Fundacao para a Ciencia e a Tecnologia of Portugal [02/SAICT/2017 - 32002]</t>
  </si>
  <si>
    <t>Spanish Ministry of Economy, Industry and Competitiveness(Spanish Government); Spanish Ministry of Economy and Competitiveness(Spanish Government); Ministry of Education, Youth and Sports of the Czech Republic(Ministry of Education, Youth &amp; Sports - Czech Republic); Masaryk University; Fundacao para a Ciencia e a Tecnologia of Portugal(Fundacao para a Ciencia e a Tecnologia (FCT))</t>
  </si>
  <si>
    <t>This research was supported by the project CRONOANTAR (Glacial evolution in King George and Livingston Islands (Antarctica) since the Last Glacial Maximum based on cosmogenic nuclide dating and glacier surface reconstruction) of the Spanish Ministry of Economy, Industry and Competitiveness (CTM2016-77878-P). Marc Oliva is supported by the Ramon y Cajal Program of the Spanish Ministry of Economy and Competitiveness (RYC-2015-17597). The Czech contribution has been supported by the Ministry of Education, Youth and Sports of the Czech Republic projects LM2015078 and CZ.02.1.01/0.0/0.0/16_013/0001708 and by the Masaryk University project MUNI/A/1419/2016. The Portuguese contribution has been supported by the Fundacao para a Ciencia e a Tecnologia of Portugal (02/SAICT/2017 - 32002).</t>
  </si>
  <si>
    <t>10.1016/j.earscirev.2019.03.014</t>
  </si>
  <si>
    <t>WOS:000474499500015</t>
  </si>
  <si>
    <t>Zhang, J; Kattner, G; Koch, BP</t>
  </si>
  <si>
    <t>Zhang, Jing; Kattner, Gerhard; Koch, Boris P.</t>
  </si>
  <si>
    <t>Interactions of trace elements and organic ligands in seawater and implications for quantifying biogeochemical dynamics: A review</t>
  </si>
  <si>
    <t>Interactions of trace elements - Organic ligands; Organometallics; Parameterization of numeric simulation; Impact of climate change</t>
  </si>
  <si>
    <t>IRON ISOTOPE FRACTIONATION; PERFORMANCE LIQUID-CHROMATOGRAPHY; BINDING LIGANDS; ATLANTIC-OCEAN; COPPER-BINDING; HYDROXAMATE SIDEROPHORES; MARINE-PHYTOPLANKTON; ANTARCTIC PENINSULA; DISSOLVED IRON; LEAD TOXICITY</t>
  </si>
  <si>
    <t>Interactions between dissolved trace elements and organic ligands in seawater play an important role in ocean biogeochemistry, ranging from regulating primary production in surface waters to element cycling on basin-wide scale, with strong feedbacks to climate variability. In this study, we review different aspects in the field of marine trace elements and their organic ligands: recent instrumental innovation, factors that affect the fate of trace element complexes at the molecular level, spatial distribution of organic matter - trace element complexes in the ocean, modeling approaches as well as prospect in the scenarios of climate variability. We also assess the critical issues of parameterization in the numerical simulation that incorporate the trace elements - organic ligands interactions. Given the predicted climate changes, we examine the potential of exchange between inorganic and organic complexes for trace elements in different oceanic provinces.</t>
  </si>
  <si>
    <t>[Zhang, Jing] East China Normal Univ, State Key Lab Estuarine &amp; Coastal Res, 3663 Zhongshan Rd North, Shanghai 200062, Peoples R China; [Kattner, Gerhard; Koch, Boris P.] Helmholtz Zentrum Polar &amp; Meeresforsch, Alfred Wegener Inst, Handelshafen 12, D-27570 Bremerhaven, Germany; [Koch, Boris P.] Univ Appl Sci, Karlstadt 8, D-27568 Bremerhaven, Germany</t>
  </si>
  <si>
    <t>East China Normal University; Helmholtz Association; Alfred Wegener Institute, Helmholtz Centre for Polar &amp; Marine Research</t>
  </si>
  <si>
    <t>Zhang, J (corresponding author), Hanse Wissensch Kolleg HWK, Lehmkuhlenbusch 4, D-27753 Delmenhorst, Germany.</t>
  </si>
  <si>
    <t>jzhang@sklec.ecnu.edu.cn</t>
  </si>
  <si>
    <t>Koch, Boris/B-2784-2009</t>
  </si>
  <si>
    <t>Koch, Boris/0000-0002-8453-731X</t>
  </si>
  <si>
    <t>Hanse-Wissenschaftskolleg, Institute for Advanced Study in Delmenhorst, Germany; Natural Sciences Foundation of China [41476065]; AWI</t>
  </si>
  <si>
    <t>Hanse-Wissenschaftskolleg, Institute for Advanced Study in Delmenhorst, Germany; Natural Sciences Foundation of China(National Natural Science Foundation of China (NSFC)); AWI</t>
  </si>
  <si>
    <t>JZ acknowledges the support of the Hanse-Wissenschaftskolleg, Institute for Advanced Study in Delmenhorst, Germany, for a Fellowship in 2014 and 2018 allowing to work at the Alfred Wegener Institute (AWI), Helmholtz-Centre for Polar and Marine Research, and the East China Normal University is appreciated for the agreement on his sabbatical leave. The research of JZ is funded by the Natural Sciences Foundation of China (No. 41476065). BPK was kindly supported by the AWI strategy fund through a project entitled: Inorganics in organics: Chemical and biological controls on micronutrient and carbon fluxes in the polar ocean. J. Geuer and T. Leefmann are acknowledged for their contribution and discussion on Table 1. We express our gratitude to Dr. J.-A. Sanchez-Cabeza, and three anonymous reviewers; their comments and constructive suggestions were very helpful for revising this work.</t>
  </si>
  <si>
    <t>10.1016/j.earscirev.2019.03.007</t>
  </si>
  <si>
    <t>WOS:000474499500026</t>
  </si>
  <si>
    <t>Fryday, AM</t>
  </si>
  <si>
    <t>Fryday, Alan M.</t>
  </si>
  <si>
    <t>Eleven new species of crustose lichenized fungi from the Falkland Islands (Islas Malvinas)</t>
  </si>
  <si>
    <t>LICHENOLOGIST</t>
  </si>
  <si>
    <t>ascoconidia; cephalodia; South America; southern subpolar region; taxonomy</t>
  </si>
  <si>
    <t>SOUTHERN SUBPOLAR REGION; ASCOMYCOTA; PHYSCIACEAE; OSTROPOMYCETIDAE; TAXONOMY</t>
  </si>
  <si>
    <t>Eleven new species of crustose, lichenized fungi are described from the Falkland Islands (Islas Malvinas). Nine species are saxicolous, whereas Lecania vermispora occurs on the stems of Hebe elliptica and Tephromela lignicola is lignicolous on fence posts. The new species are: Bacidia marina, with a sordid blue-green K-, N+ violet epihymenium and acicular, multiseptate ascospores; B. pruinata, with pruinose apothecia and multiseptate ascospores; Buellia gypsyensis, with a thallus containing 5-O-methylhiascic acid and with Amandinea-type conidia; Cliostomum albidum, with pruinose apothecia lacking pigments; C. longisporum, with long narrow ascospores (c. 20 x 3 mu m); Coccotrema rubromarginatum, with a placodioid thallus having a red-brown margin and lower surface; Hymenelia microcarpa, with minute, immersed apothecia (&lt;01 mm diam.) and a trebouxioid photobiont; Lecania vermispora, with vermiform, 3-6 septate ascospores; Lepra argentea, with papillate isidia with dark caps; Rhizocarpon malvinae, which is similar to R. reductum but with a grey thallus, generally sessile apothecia with a thick raised margin and often with the Cinereorufa-green pigment in the epithecium and upper exciple; and Tephromela lignicola, a sterile, sorediate species on fence posts. Most of these species are reported only from the Falkland Islands although Coccotrema rubromarginatum is also reported from Isla de los Estados and Isla Grande de Tierra del Fuego, Argentina. Ascoconidia are reported from Lepra argentea and cephalodia from Pertusaria pachythallina. Keys to the species reported from the Falkland Islands in the genera of the newly described species are also provided.</t>
  </si>
  <si>
    <t>[Fryday, Alan M.] Michigan State Univ, Dept Plant Biol, E Lansing, MI 48824 USA</t>
  </si>
  <si>
    <t>Michigan State University</t>
  </si>
  <si>
    <t>Fryday, AM (corresponding author), Michigan State Univ, Dept Plant Biol, E Lansing, MI 48824 USA.</t>
  </si>
  <si>
    <t>fryday@msu.edu</t>
  </si>
  <si>
    <t>Fryday, Alan/0000-0002-5310-9232</t>
  </si>
  <si>
    <t>United Kingdom Government through DEFRA; Darwin Initiative as part of the project Lower Plants Inventory and Conservation in the Falkland Islands [DPLUS017]; US National Science Foundation (NSF)</t>
  </si>
  <si>
    <t>United Kingdom Government through DEFRA; Darwin Initiative as part of the project Lower Plants Inventory and Conservation in the Falkland Islands; US National Science Foundation (NSF)(National Science Foundation (NSF))</t>
  </si>
  <si>
    <t>Fieldwork on the Falkland Islands by the author was funded by the United Kingdom Government through DEFRA and the Darwin Initiative as part of the project Lower Plants Inventory and Conservation in the Falkland Islands (Reference number DPLUS017). Support for fieldwork and advice regarding landowners was provided by Falklands Conservation. The US National Science Foundation (NSF) is thanked for funding Dr Imshaug's expedition to the islands in 1968. I thank Ralph Common (East Lansing) for permitting me to use his photographic equipment and image processing software, and for providing images for Fig. 4A, D &amp; Hand Fig. 5; Alan Orange (Cardiff) for providing additional records of several species and DNA sequence data for Bacidia pruinata and Tephromela lignicola; John (Jack) Elix (Canberra) for identifying the unknown substance in the thallus of Buellia gypsyensis; Paul Deiderich (Luxembourg) and Javier Etayo (Pamplona) for identifying the lichenicolous fungi on the thalli of Buellia gypsyensis and Tephromela lignicola respectively. I further thank Alan Orange (Cardiff) and Gintaras Kantvilas (Hobart) for comments on a draft version of this manuscript, and the curators of the herbarium of the British Antarctic Survey (AAS) and the Swedish Museum of Natural History (S) for the loan of collections in their care.</t>
  </si>
  <si>
    <t>0024-2829</t>
  </si>
  <si>
    <t>1096-1135</t>
  </si>
  <si>
    <t>Lichenologist</t>
  </si>
  <si>
    <t>10.1017/S0024282919000185</t>
  </si>
  <si>
    <t>Plant Sciences; Mycology</t>
  </si>
  <si>
    <t>IH9RQ</t>
  </si>
  <si>
    <t>WOS:000474844500005</t>
  </si>
  <si>
    <t>Gilmour, ME; Holmes, ND; Fleishman, AB; Kriwoken, LK</t>
  </si>
  <si>
    <t>Gilmour, M. E.; Holmes, N. D.; Fleishman, A. B.; Kriwoken, L. K.</t>
  </si>
  <si>
    <t>Temporal and interspecific variation in feather mercury in four penguin species from Macquarie Island, Australia</t>
  </si>
  <si>
    <t>Mercury; Pygoscelis papua; Aptenodytes patagonicus; Eudyptes chrysocome filholi; Eudyptes schlegeli; Southern Ocean</t>
  </si>
  <si>
    <t>SQUID MOROTEUTHIS-INGENS; ROYAL EUDYPTES-SCHLEGELI; MARINE FOOD-WEB; PYGOSCELIS-PAPUA; GENTOO PENGUINS; SOUTHERN-OCEAN; DIVING BEHAVIOR; APTENODYTES-PATAGONICUS; CHRYSOCOME PENGUINS; KERGUELEN ISLANDS</t>
  </si>
  <si>
    <t>We measured mercury (Hg) concentrations in feathers from four penguin species collected on Macquarie Island, Southern Ocean, to 1) establish baseline Hg concentrations; and 2) compare Hg from samples collected in 2002 (modern) and from museum specimens collected between 1937 and 1976 (historic). Inter-specific differences in feather Hg reflected known differences in habitats and diversity of diets: benthic-foraging Gentoo penguins and Rockhopper penguins that foraged both inshore and offshore had significantly higher feather mercury than the more pelagic, specialist foraging King and Royal penguins. Hg significantly decreased between historic and modern samples in King and Royal penguins. This decrease could be due to changes in either diet, foodwebs, or atmospheric Hg input and sources in the Southern Hemisphere. Because Macquarie Island is home to 2.8 million marine animals, these data may indicate that other species that forage and breed in this region are also exposed to low Hg concentrations in this environment.</t>
  </si>
  <si>
    <t>[Gilmour, M. E.] Univ Calif Santa Cruz, Ocean Sci Dept, Santa Cruz, CA 95060 USA; [Holmes, N. D.; Kriwoken, L. K.] Univ Tasmania, Sch Geog &amp; Environm Studies, Hobart, Tas 7001, Australia; [Holmes, N. D.] Island Conservat, 2100 Delaware Ave, Santa Cruz, CA 95060 USA; [Fleishman, A. B.] Conservat Metr Inc, 145 McAllister Way, Santa Cruz, CA 95060 USA</t>
  </si>
  <si>
    <t>University of California System; University of California Santa Cruz; University of Tasmania</t>
  </si>
  <si>
    <t>Gilmour, Morgan/AAJ-5877-2020</t>
  </si>
  <si>
    <t>Gilmour, Morgan/0000-0002-2618-1095</t>
  </si>
  <si>
    <t>Holsworth Research Grant, Australia</t>
  </si>
  <si>
    <t>Expeditioners on Macquarie Island during 2002-2003 kindly helped to opportunistically collect penguin feathers. Funding to undertake this project was supplied by the Holsworth Research Grant, Australia, with additional support for fieldwork components by Birds Australia, CRC Sustainable Tourism, Australia, University of Tasmania, Australia and the Australian Antarctic Division.</t>
  </si>
  <si>
    <t>10.1016/j.marpolbul.2019.03.051</t>
  </si>
  <si>
    <t>IH2IX</t>
  </si>
  <si>
    <t>WOS:000474319500034</t>
  </si>
  <si>
    <t>Lavers, JL; Stivaktakis, G; Hutton, I; Bond, AL</t>
  </si>
  <si>
    <t>Lavers, Jennifer L.; Stivaktakis, Georgina; Hutton, Ian; Bond, Alexander L.</t>
  </si>
  <si>
    <t>Detection of ultrafine plastics ingested by seabirds using tissue digestion</t>
  </si>
  <si>
    <t>Extraction methods; Marine debris; Microplastic; Plastic pollution</t>
  </si>
  <si>
    <t>FLESH-FOOTED SHEARWATERS; PUFFINUS-CARNEIPES; FULMARUS-GLACIALIS; MARINE-ENVIRONMENT; MICROPLASTICS; EXTRACTION; ACCUMULATION; OPTIMIZATION; CHEMICALS; PROTOCOL</t>
  </si>
  <si>
    <t>Plastic debris is a major global threat to marine ecosystems and species. However, our knowledge of this issue may be incomplete due to a lack of a standardized method for quantifying ingested ultrafine particles (1 pm 1 mm) in wildlife. This study provides the first quantification of ultrafine plastic in seabirds using chemical and biological digestion treatments to extract plastic items from seabird gizzards. The alkaline agent, potassium hydroxide, outperformed the enzyme corolase, based on cost and efficiency (e.g., digestion time). Ultrafine plastics were observed in 7.0% of Flesh-footed Shearwater (Ardenna carneipes) gizzards collected from Lord Howe Island, Australia and accounted for 3.6% of all plastic items recovered (13 out of 359 items). Existing methods for extracting ingested plastic from seabirds do not account for ultrafine particles, therefore our results indicate current seabird plastic loads, and the associated physical and biological impacts, are underestimated.</t>
  </si>
  <si>
    <t>[Lavers, Jennifer L.; Bond, Alexander L.] Univ Tasmania, Inst Marine &amp; Antarctic Studies, 20 Castray Esplanade, Battery Point, Tas 7004, Australia; [Stivaktakis, Georgina] Univ Tasmania, Inst Marine &amp; Antarct Studies, Sch Rd, Newnham, Tas 7250, Australia; [Hutton, Ian] Lord Howe Isl Museum, POB 157, Lord Howe Isl, NSW 2898, Australia; [Bond, Alexander L.] Nat Hist Museum, Dept Life Sci, Bird Grp, Akeman St, Tring HP23 6AP, Herts, England</t>
  </si>
  <si>
    <t>Detached Foundation; Living Ocean Foundation; Australian Bird and Bat Banding Service (ABBBS)</t>
  </si>
  <si>
    <t>We are grateful for the support of the Lord Howe Island community, especially T. Adams, L. Bryce, and J. &amp; C. Schick. Financial and logistical support was provided by Detached Foundation, L. Bryce, C. Noone, and Living Ocean Foundation (especially B. &amp; I. Fulton). The University of Tasmania Animal Ethics (A16357), New South Wales Office of Environment and Heritage (SL100169), and Lord Howe Island Board (LHIB 06/16) granted permission for this work, with support from the Australian Bird and Bat Banding Service (ABBBS). J. Benjamin kindly provided the photos for Fig. 1 and two anonymous reviewers provided feedback on earlier versions of this manuscript.</t>
  </si>
  <si>
    <t>10.1016/j.marpolbul.2019.04.001</t>
  </si>
  <si>
    <t>WOS:000474319500053</t>
  </si>
  <si>
    <t>Roman, L; Paterson, H; Townsend, KA; Wilcox, C; Hardesty, BD; Hindell, MA</t>
  </si>
  <si>
    <t>Roman, Lauren; Paterson, Harriet; Townsend, Kathy A.; Wilcox, Chris; Hardesty, Britta Denise; Hindell, Mark A.</t>
  </si>
  <si>
    <t>Size of marine debris items ingested and retained by petrels</t>
  </si>
  <si>
    <t>Diet; Plastic ingestion; Pollution; Shearwater; Seabird; Procellariiform</t>
  </si>
  <si>
    <t>PLASTIC DEBRIS; ENVIRONMENT</t>
  </si>
  <si>
    <t>Pollution of the world's oceans by marine debris has direct consequences for wildlife, with fragments of plastic &lt; 10 mm the most abundant buoyant litter in the ocean. Seabirds are susceptible to debris ingestion, commonly mistaking floating plastics for food. Studies have shown that half of petrel species regularly ingest anthropogenic waste. Despite the regularity of debris ingestion, no studies to date have quantified the dimensions of debris items ingested across petrel species ranging in size. We excised and measured 1694 rigid anthropogenic debris items from 348 petrel carcasses of 20 species. We found that although the size of items ingested by petrels scale positively with the size of the bird, 90% of all debris items ingested across species fall within a narrow danger zone range of 2-10 mm, overlapping with the most abundant oceanic debris size. We conclude that this globally profuse size range of marine plastics is an ingestion hazard to petrels.</t>
  </si>
  <si>
    <t>[Roman, Lauren; Wilcox, Chris; Hardesty, Britta Denise] CSIRO, CSIRO Oceans &amp; Atmosphere, Hobart, Tas, Australia; [Roman, Lauren; Hindell, Mark A.] Univ Tasmania, Inst Marine &amp; Antarctic Studies, Hobart, Tas, Australia; [Paterson, Harriet] Univ Western Australia, Ctr Excellence Nat Resource Management, Albany, Australia; [Townsend, Kathy A.] Univ Sunshine Coast, Fac Sci &amp; Engn, Hervey Bay, Australia; [Hindell, Mark A.] Univ Tasmania, Antarctic Climate &amp; Ecosyst CRC, Hobart, Tas, Australia</t>
  </si>
  <si>
    <t>Commonwealth Scientific &amp; Industrial Research Organisation (CSIRO); University of Tasmania; University of Western Australia; University of the Sunshine Coast; University of Tasmania</t>
  </si>
  <si>
    <t>Roman, L (corresponding author), CSIRO, CSIRO Oceans &amp; Atmosphere, Hobart, Tas, Australia.;Roman, L (corresponding author), Univ Tasmania, Inst Marine &amp; Antarctic Studies, Hobart, Tas, Australia.</t>
  </si>
  <si>
    <t>Hardesty, Britta Denise/A-3189-2011; Hindell, Mark A/K-1131-2013; Paterson, Harriet H/F-3847-2012; Townsend, Kathy Ann/K-9486-2016; Roman, Lauren/K-3804-2015</t>
  </si>
  <si>
    <t>Townsend, Kathy Ann/0000-0002-2581-2158; Hindell, Mark/0000-0002-7823-7185; Paterson, Harriet/0000-0002-9825-3588; Roman, Lauren/0000-0003-3591-4905</t>
  </si>
  <si>
    <t>BirdLife Australia's Australian Bird Environment Foundation; Australian Wildlife Society; Holsworth Wildlife Research Endowment; CSIRO Oceans and Atmosphere</t>
  </si>
  <si>
    <t>Funding was provided by the BirdLife Australia's Australian Bird Environment Foundation, the Australian Wildlife Society, and Holsworth Wildlife Research Endowment. BDH and CW were supported by CSIRO Oceans and Atmosphere.</t>
  </si>
  <si>
    <t>10.1016/j.marpolbul.2019.04.021</t>
  </si>
  <si>
    <t>WOS:000474319500066</t>
  </si>
  <si>
    <t>Bernasconi, E; Cusminsky, G; Gordillo, S</t>
  </si>
  <si>
    <t>Bernasconi, Emiliana; Cusminsky, Gabriela; Gordillo, Sandra</t>
  </si>
  <si>
    <t>Distribution of foraminifera from South Shetland Islands (Antarctic): Ecology and taphonomy</t>
  </si>
  <si>
    <t>Benthic foraminifera; Environmental parameters; Taphonomic process; Antarctic Peninsula; Deception Island</t>
  </si>
  <si>
    <t>RECENT BENTHIC FORAMINIFERA; CHILEAN PATAGONIC CHANNELS; PROTOZOA FORAMINIFERIDA; DISSOLVED-OXYGEN; NEW-ZEALAND; BIODIVERSITY; SEDIMENTS; PATTERNS; ARGENTINA; INDEX</t>
  </si>
  <si>
    <t>The aim of this study was to analyze the distribution of foraminifera of surface sediments from South Shetland Islands (62 degrees 0' S 58 degrees 0' W) in relation to physical parameters. Three sites were analyzed: 1) North of South Shetland Island; 2) Deception Island, and 3) Potter Cove. We have identified 21 species, which were distributed in 13 genera, mainly from the Orders Rotaliida and Trochamminida. There was a predominance of calcareous individuals in Shetland Islands - represented by Cibicides refulgens (Montfort) and in Potter Cove, where Globocassidulina subglobosa (Brady) and Globocassidulina rossensis (Kennett) were the main representatives. In Deception Island, the proportion of calcareous individuals was matched by that of agglutinated specimens, represented by Trochammina inflata (Montagu) and Miliammina fusca (Brady). Foraminifers also exhibited different lifestyles, microhabitats, feeding strategies, and taphonomy. A strong correlation between microfauna and physical parameters was observed at the three sites. Assemblage I consisted on Cibicides refulgens, Cibicides aknerianus (d'Orbigny), Melonis affine (Reuss) and Melonis pompilioides (Fichtel and Moll), which were all distributed along the bathymetric gradient and the clay sediments. Assemblage II comprised Trochammina inflata, Miliammina fusca and Cassidulinoides parkerianus (Brady), which were correlated with a higher content of gravel. And assemblage III included individuals of Globocassidulina subglobosa and Globocassidulina sp., both correlated with higher sand content. This work contributes to increasing our knowledge about the distribution of foraminifera in the Antarctic zone, which is a largely understudied region. The new data could be useful for both determining environmental conditions and establishing bioindicators of pollution and anthropogenic activity. In addition, the correlations with climate events might contribute to the development of new tools for monitoring climate variations. (C) 2019 Elsevier B.V. All rights reserved.</t>
  </si>
  <si>
    <t>[Bernasconi, Emiliana; Cusminsky, Gabriela] Univ Nacl Comahue, Ctr Reg Univ Bariloche, Inst Invest Biodiversidad &amp; Medioambiente, INIBIOMA,CONICET,UNCOMA,Delegac Geol &amp; Petr, Quintral 1250, RA-8400 San Carlos De Bariloche, Rio Negro, Argentina; [Gordillo, Sandra] Univ Nacl Cordoba, Fac Ciencias Exactas Fis &amp; Nat, Cordoba, Argentina; [Gordillo, Sandra] Ctr Invest Ciencias Tierra CICTERRA, CONICET, Consejo Nacl Invest Cient &amp; Tecnol, Av Velez Sarsfield 1611,Edificio CICTERRA, Cordoba, Argentina</t>
  </si>
  <si>
    <t>Universidad Nacional del Comahue; Consejo Nacional de Investigaciones Cientificas y Tecnicas (CONICET); National University of Cordoba; Consejo Nacional de Investigaciones Cientificas y Tecnicas (CONICET); National University of Cordoba</t>
  </si>
  <si>
    <t>Bernasconi, E (corresponding author), Univ Nacl Comahue, Ctr Reg Univ Bariloche, Inst Invest Biodiversidad &amp; Medioambiente, INIBIOMA,CONICET,UNCOMA,Delegac Geol &amp; Petr, Quintral 1250, RA-8400 San Carlos De Bariloche, Rio Negro, Argentina.</t>
  </si>
  <si>
    <t>emibernasconi@yahoo.com.ar</t>
  </si>
  <si>
    <t>CONICET (Consejo Nacional de Investigaciones Cientificas y Tecnicas), Argentina [PIP-114-201101-00238, PIP 112-201201-00021]; DNA (Direccion Nacional del Antartico), Argentina; IAA (Instituto Antartico Argentino); National Agency for the Promotion of Science and Technology [PICT-2014-1271]</t>
  </si>
  <si>
    <t>CONICET (Consejo Nacional de Investigaciones Cientificas y Tecnicas), Argentina(Consejo Nacional de Investigaciones Cientificas y Tecnicas (CONICET)); DNA (Direccion Nacional del Antartico), Argentina; IAA (Instituto Antartico Argentino); National Agency for the Promotion of Science and Technology(ANPCyT)</t>
  </si>
  <si>
    <t>This research was supported by CONICET (Consejo Nacional de Investigaciones Cientificas y Tecnicas), Argentina (Projects-PIP-114-201101-00238 to SG and PIP 112-201201-00021 to GC), DNA (Direccion Nacional del Antartico), Argentina, IAA (Instituto Antartico Argentino) and the National Agency for the Promotion of Science and Technology (Project-PICT-2014-1271 to GC). Thanks are due to all members of the team working aboard the Oceanographic survey ship ARA Puerto Deseado during the Antarctic Expedition CAV 2011. To the technique Paula Troyon to take the images and consult in the scanning electron microscope in the Department of Characterization of Materials, Bariloche Atomic Center (CAB). Thanks to the reviewers and editor for their comments and suggestions which enriched this work. Thanks to M. Nadal and Dr. Prof. E. Macagno for reviewing the English version of this manuscript.</t>
  </si>
  <si>
    <t>10.1016/j.rsma.2019.100653</t>
  </si>
  <si>
    <t>IH2ZP</t>
  </si>
  <si>
    <t>WOS:000474363400019</t>
  </si>
  <si>
    <t>Moreau, S; Lannuzel, D; Janssens, J; Arroyo, MC; Corkill, M; Cougnon, E; Genovese, C; Legresy, B; Lenton, A; Puigcorbé, V; Ratnarajah, L; Rintoul, S; Roca-Martí, M; Rosenberg, M; Shadwick, EH; Silvano, A; Strutton, PG; Tilbrook, B</t>
  </si>
  <si>
    <t>Moreau, S.; Lannuzel, D.; Janssens, J.; Arroyo, M. C.; Corkill, M.; Cougnon, E.; Genovese, C.; Legresy, B.; Lenton, A.; Puigcorbe, V.; Ratnarajah, L.; Rintoul, S.; Roca-Marti, M.; Rosenberg, M.; Shadwick, E. H.; Silvano, A.; Strutton, P. G.; Tilbrook, B.</t>
  </si>
  <si>
    <t>Sea Ice Meltwater and Circumpolar Deep Water Drive Contrasting Productivity in Three Antarctic Polynyas</t>
  </si>
  <si>
    <t>polynyas; primary productivity; phytoplankton biomass; ice shelves; sea ice; iron</t>
  </si>
  <si>
    <t>NET COMMUNITY PRODUCTION; MERTZ GLACIER REGION; SOUTHERN-OCEAN; ADELIE LAND; DELTA-PCO(2) VARIATION; MARINE PRODUCTIVITY; DISSOLVED IRON; CLIMATE-CHANGE; ROSS SEA; CARBON</t>
  </si>
  <si>
    <t>In the Southern Ocean, polynyas exhibit enhanced rates of primary productivity and represent large seasonal sinks for atmospheric CO2. Three contrasting east Antarctic polynyas were visited in late December to early January 2017: the Dalton, Mertz, and Ninnis polynyas. In the Mertz and Ninnis polynyas, phytoplankton biomass (average of 322 and 354mg chlorophyll a (Chl a)/m(2), respectively) and net community production (5.3 and 4.6mol C/m(2), respectively) were approximately 3 times those measured in the Dalton polynya (average of 122mg Chl a/m(2) and 1.8mol C/m(2)). Phytoplankton communities also differed between the polynyas. Diatoms were thriving in the Mertz and Ninnis polynyas but not in the Dalton polynya, where Phaeocystis antarctica dominated. These strong regional differences were explored using physiological, biological, and physical parameters. The most likely drivers of the observed higher productivity in the Mertz and Ninnis were the relatively shallow inflow of iron-rich modified Circumpolar Deep Water onto the shelf as well as a very large sea ice meltwater contribution. The productivity contrast between the three polynyas could not be explained by (1) the input of glacial meltwater, (2) the presence of Ice Shelf Water, or (3) stratification of the mixed layer. Our results show that physical drivers regulate the productivity of polynyas, suggesting that the response of biological productivity and carbon export to future change will vary among polynyas.</t>
  </si>
  <si>
    <t>[Moreau, S.; Lannuzel, D.; Janssens, J.; Corkill, M.; Genovese, C.; Rosenberg, M.; Silvano, A.; Strutton, P. G.] Univ Tasmania, Inst Marine &amp; Antarctic Studies, Hobart, Tas, Australia; [Moreau, S.; Cougnon, E.; Strutton, P. G.] Univ Tasmania, Australian Res Council Antarctic Gateway Partners, Hobart, Tas, Australia; [Moreau, S.] Norwegian Polar Res Inst, Fram Ctr, Tromso, Norway; [Lannuzel, D.; Cougnon, E.; Legresy, B.; Lenton, A.; Ratnarajah, L.; Rintoul, S.; Rosenberg, M.; Silvano, A.; Tilbrook, B.] Univ Tasmania, Antarctic Climate &amp; Ecosyst Cooperat Res Ctr, Hobart, Tas, Australia; [Arroyo, M. C.; Shadwick, E. H.] Virginia Inst Marine Sci, Coll William &amp; Mary, Williamsburg, VA USA; [Cougnon, E.; Strutton, P. G.] Univ Tasmania, Australian Res Council Ctr Excellence Climate Ext, Hobart, Tas, Australia; [Legresy, B.; Lenton, A.; Shadwick, E. H.; Silvano, A.; Tilbrook, B.] Commonwealth Sci &amp; Ind Res Org, Oceans &amp; Atmosphere, Hobart, Tas, Australia; [Puigcorbe, V.] Edith Cowan Univ, Sch Sci, Joondalup, WA, Australia; [Puigcorbe, V.] Edith Cowan Univ, Ctr Marine Ecosyst Res, Joondalup, WA, Australia; [Rintoul, S.] CSIRO, Ctr Southern Hemisphere Oceans Res, Hobart, Tas, Australia; [Roca-Marti, M.] Univ Autonoma Barcelona, Inst Ciencia &amp; Tecnol Ambientals, Bellaterra, Spain; [Roca-Marti, M.] Univ Autonoma Barcelona, Dept Fis, Bellaterra, Spain; [Roca-Marti, M.] Woods Hole Oceanog Inst, Woods Hole, MA 02543 USA</t>
  </si>
  <si>
    <t>University of Tasmania; University of Tasmania; Norwegian Polar Institute; University of Tasmania; Antarctic Climate &amp; Ecosystems Cooperative Research Centre (ACE CRC); William &amp; Mary; Virginia Institute of Marine Science; University of Tasmania; Commonwealth Scientific &amp; Industrial Research Organisation (CSIRO); Edith Cowan University; Edith Cowan University; Commonwealth Scientific &amp; Industrial Research Organisation (CSIRO); Autonomous University of Barcelona; Autonomous University of Barcelona; Woods Hole Oceanographic Institution</t>
  </si>
  <si>
    <t>Moreau, S (corresponding author), Univ Tasmania, Inst Marine &amp; Antarctic Studies, Hobart, Tas, Australia.;Moreau, S (corresponding author), Univ Tasmania, Australian Res Council Antarctic Gateway Partners, Hobart, Tas, Australia.;Moreau, S (corresponding author), Norwegian Polar Res Inst, Fram Ctr, Tromso, Norway.</t>
  </si>
  <si>
    <t>sebastien.moreau@utas.edu.au</t>
  </si>
  <si>
    <t>Martí, Montserrat Roca/AAD-2094-2022; Tilbrook, Bronte/W-4007-2019; Puigcorbé, Viena/I-9349-2016; Cougnon, Eva/C-4110-2014; Strutton, Peter/C-4466-2011; lannuzel, delphine/J-7937-2014; Lenton, Andrew/D-2077-2012; legresy, benoit/K-6673-2018</t>
  </si>
  <si>
    <t>Martí, Montserrat Roca/0000-0002-4719-9358; Tilbrook, Bronte/0000-0001-9385-3827; Puigcorbé, Viena/0000-0001-5892-2305; Genovese, Cristina/0000-0002-9015-020X; Silvano, Alessandro/0000-0002-6441-1496; Cougnon, Eva/0000-0002-8691-5935; Strutton, Peter/0000-0002-2395-9471; lannuzel, delphine/0000-0001-6154-1837; Arroyo, Mar/0000-0002-9794-5750; Ratnarajah, Lavenia/0000-0002-1021-1923; Lenton, Andrew/0000-0001-9437-8896; Moreau, Sebastien/0000-0001-9446-812X; Corkill, Matthew/0000-0002-5847-3738; legresy, benoit/0000-0002-1909-1630; Janssens, Julie/0000-0003-1789-9940</t>
  </si>
  <si>
    <t>Australian Antarctic Division research projects [AAS 4131, 4291]; Australian Government Cooperative Research Centres Programme through the Antarctic Climate &amp; Ecosystems (ACE CRC); Australian Research Council's Special Research Initiative for Antarctic Gateway Partnership [SR140300001]; Edith Cowan University; Dickhut Fellowship</t>
  </si>
  <si>
    <t>Australian Antarctic Division research projects; Australian Government Cooperative Research Centres Programme through the Antarctic Climate &amp; Ecosystems (ACE CRC)(Australian GovernmentDepartment of Industry, Innovation and ScienceCooperative Research Centres (CRC) Programme); Australian Research Council's Special Research Initiative for Antarctic Gateway Partnership(Australian Research Council); Edith Cowan University; Dickhut Fellowship</t>
  </si>
  <si>
    <t>This work was cofunded by the Australian Antarctic Division research projects AAS 4131 and 4291. This project was also supported by the Australian Government Cooperative Research Centres Programme through the Antarctic Climate &amp; Ecosystems (ACE CRC). S. Moreau and C. Genovese were supported by the Australian Research Council's Special Research Initiative for Antarctic Gateway Partnership (project ID SR140300001). V. Puigcorbe and M. Roca-Marti are grateful for the support from Pere Masque and Edith Cowan University. M. C. Arroyo was supported by the Dickhut Fellowship, administered by the Virginia Institute of Marine Science. The authors would like to thank the officers and crew of the R/V Aurora Australis for their logistic support, the CSIRO hydrochemists for their analyses of nutrient concentrations, and E. J. Yang for her microscope analysis of phytoplankton species. We also want to thank two anonymous reviewers for their very good comments on this study. The data presented in this paper are available on the Australian Antarctic Division (AAD) Data Centre at https://data.aad.gov.au/aadc/metadata/metadata_by_ parameter. cfm.</t>
  </si>
  <si>
    <t>10.1029/2019JC015071</t>
  </si>
  <si>
    <t>IF1DW</t>
  </si>
  <si>
    <t>Green Published, Bronze, Green Accepted</t>
  </si>
  <si>
    <t>WOS:000472819700001</t>
  </si>
  <si>
    <t>DeVries, T; Holzer, M</t>
  </si>
  <si>
    <t>DeVries, Tim; Holzer, Mark</t>
  </si>
  <si>
    <t>Radiocarbon and Helium Isotope Constraints on Deep Ocean Ventilation and Mantle-3He Sources</t>
  </si>
  <si>
    <t>deep ocean; circulation; ventilation; radiocarbon; helium isotopes; mantle helium plumes</t>
  </si>
  <si>
    <t>ANTARCTIC CIRCUMPOLAR CURRENT; GLOBAL OCEAN; SOUTH-PACIFIC; OVERTURNING CIRCULATION; DRAKE PASSAGE; WATER MASS; TRANSPORT; ABYSSAL; ATLANTIC; CARBON</t>
  </si>
  <si>
    <t>Radiocarbon (C-14) and helium isotopes (He-3) have long been used to constrain the ocean's ventilation rates and to trace regional deep ocean circulation pathways, but they have not been fully exploited together to constrain the deep circulation in global models. Here we assimilate C-14 and He-3 measurements into a global ocean circulation inverse model (OCIM) to jointly constrain the deep ocean circulation and the rate of mantle-helium injection at seafloor spreading ridges. We find that the new version of the inverse model (OCIM2) matches the observed C-14 and He-3 distributions much better than a previous version (OCIM1) that assimilated objectively mapped C-14 but not He-3. OCIM2 features faster-ventilated bottom waters and slower-ventilated intermediate-depth waters in the Pacific and Indian Oceans. The mean time since last ventilation (ideal mean age) in Pacific bottom waters is up to 150years younger, while middepth Pacific waters are up to several hundred years older. The He-3 constraints are shown to be important for estimates of the mean time to next ventilation in the Pacific Ocean. The He-3 constraints also favor jet-like currents in the deep equatorial Pacific to capture realistic westward propagating helium plumes emanating from the East Pacific Rise. The globally integrated mantle-helium source is 585-672mol/year, compared to 400-1,000mol/year from previous estimates. The major regional difference occurs in the Southern Ocean, where the OCIM2 mantle-helium source is up to threefold smaller than estimates based on ridge spreading rates.</t>
  </si>
  <si>
    <t>[DeVries, Tim] Univ Calif Santa Barbara, Dept Geog, Santa Barbara, CA 93106 USA; [DeVries, Tim] Univ Calif Santa Barbara, Earth Res Inst, Santa Barbara, CA 93106 USA; [Holzer, Mark] Univ New South Wales, Sch Math &amp; Stat, Sydney, NSW, Australia</t>
  </si>
  <si>
    <t>University of California System; University of California Santa Barbara; University of California System; University of California Santa Barbara; University of New South Wales Sydney</t>
  </si>
  <si>
    <t>; Holzer, Mark/E-8735-2011</t>
  </si>
  <si>
    <t>DeVries, Tim/0000-0002-7771-9430; Holzer, Mark/0000-0002-9568-1763</t>
  </si>
  <si>
    <t>T.D. acknowledges support from NSF grant OCE-1658392. The authors thank Bill Jenkins for providing the delta3He data from the GEOTRACES GP16 transect and all the scientists whose data appear in the GLODAPv2 compilation. The data used are listed in the references.</t>
  </si>
  <si>
    <t>10.1029/2018JC014716</t>
  </si>
  <si>
    <t>WOS:000472819700006</t>
  </si>
  <si>
    <t>Doddridge, EW; Meneghello, G; Marshall, J; Scott, J; Lique, C</t>
  </si>
  <si>
    <t>Doddridge, Edward W.; Meneghello, Gianluca; Marshall, John; Scott, Jeffery; Lique, Camille</t>
  </si>
  <si>
    <t>A Three-Way Balance in the Beaufort Gyre: The Ice-Ocean Governor, Wind Stress, and Eddy Diffusivity</t>
  </si>
  <si>
    <t>Beaufort Gyre; Ice-Ocean Governor; mesoscale eddies; Arctic; sea ice</t>
  </si>
  <si>
    <t>MERIDIONAL OVERTURNING CIRCULATION; FRESH-WATER CONTENT; ARCTIC-OCEAN; SEA-ICE; CANADA BASIN; SURFACE; MODEL; DYNAMICS; HEIGHT; EDDIES</t>
  </si>
  <si>
    <t>The Beaufort Gyre (BG) is a large anticyclonic circulation in the Arctic Ocean. Its strength is directly related to the halocline depth, and therefore also to the storage of freshwater. It has recently been proposed that the equilibrium state of the BG is set by the Ice-Ocean Governor, a negative feedback between surface currents and ice-ocean stress, rather than a balance between lateral mesoscale eddy fluxes and surface Ekman pumping. However, mesoscale eddies are present in the Arctic Ocean; it is therefore important to extend the Ice-Ocean Governor theory to include lateral fluxes due to mesoscale eddies. Here, a nonlinear ordinary differential equation is derived that represents the effects of wind stress, the Ice-Ocean Governor, and eddy fluxes. Equilibrium and time-varying solutions to this three-way balance equation are obtained and shown to closely match the output from a hierarchy of numerical simulations, indicating that the analytical model represents the processes controlling BG equilibration. The equilibration timescale derived from this three-way balance is faster than the eddy equilibration timescale and slower than the Ice-Ocean Governor equilibration timescales for most values of eddy diffusivity. The sensitivity of the BG equilibrium depth to changes in eddy diffusivity and the presence of the Ice-Ocean Governor is also explored. These results show that predicting the response of the BG to changing surface forcing and sea ice conditions requires faithfully capturing the three-way balance between the Ice-Ocean Governor, wind stress, and eddy fluxes.</t>
  </si>
  <si>
    <t>[Doddridge, Edward W.; Meneghello, Gianluca; Marshall, John; Scott, Jeffery] MIT, Earth Atmospher &amp; Planetary Sci, 77 Massachusetts Ave, Cambridge, MA 02139 USA; [Lique, Camille] Univ Bretagne Occidentale, Lab Oceanog Phys &amp; Spatiale, IFREMER, CNRS,IRD,IUEM, Brest, France</t>
  </si>
  <si>
    <t>Massachusetts Institute of Technology (MIT); Centre National de la Recherche Scientifique (CNRS); Institut de Recherche pour le Developpement (IRD); Ifremer; Universite de Bretagne Occidentale; Institut Universitaire Europeen de la Mer (IUEM)</t>
  </si>
  <si>
    <t>Doddridge, EW (corresponding author), MIT, Earth Atmospher &amp; Planetary Sci, 77 Massachusetts Ave, Cambridge, MA 02139 USA.</t>
  </si>
  <si>
    <t>ewd@mit.edu</t>
  </si>
  <si>
    <t>Doddridge, Edward/GRJ-6149-2022; Lique, Camille/L-5543-2015; Meneghello, Gianluca/AAA-8494-2019</t>
  </si>
  <si>
    <t>Lique, Camille/0000-0002-8357-4928; Meneghello, Gianluca/0000-0002-0767-2497; Doddridge, Edward/0000-0002-6097-5729</t>
  </si>
  <si>
    <t>NSF; MIT-GISS collaborative agreement; French LEFE/INSU program</t>
  </si>
  <si>
    <t>NSF(National Science Foundation (NSF)); MIT-GISS collaborative agreement; French LEFE/INSU program</t>
  </si>
  <si>
    <t>E.W.D., G.M., J.M., and J.S. gratefully acknowledge support from NSF Polar Programs, both Arctic and Antarctic. J.M. acknowledges support from the MIT-GISS collaborative agreement. C. L. received funding from the French LEFE/INSU program (project FREDY). Readers wishing to reproduce our numerical experiments can obtain the configuration and simulation scripts for our reduced gravity simulations (https://doddridge.me/publications/DMMSL2019/). The configuration of our MITgcm simulations is described in detail in Appendix C with citations to published descriptions of each model component and input field.</t>
  </si>
  <si>
    <t>10.1029/2018JC014897</t>
  </si>
  <si>
    <t>WOS:000472819700010</t>
  </si>
  <si>
    <t>Zaron, ED</t>
  </si>
  <si>
    <t>Zaron, Edward D.</t>
  </si>
  <si>
    <t>Simultaneous Estimation of Ocean Tides and Underwater Topography in the Weddell Sea</t>
  </si>
  <si>
    <t>data assimilation; CryoSat2; altimetry</t>
  </si>
  <si>
    <t>RONNE ICE SHELF; ANTARCTIC TIDES; SATELLITE RADAR; GLOBAL OCEAN; MODEL; ALTIMETRY; ACCURACY; SOUTHERN; LEVEL; WAVES</t>
  </si>
  <si>
    <t>A new model for the M-2, S-2, K-1, and O(1)tides in the Weddell Sea is developed by assimilating CryoSat-2 data into a barotropic tide model. A variational approach is used, which explicitly allows for errors in the water depth, that is, the bottom topography in open water and the water column thickness under floating ice shelves, so that an optimized estimate of the topography is obtained together with the tidal fields. In preparation for assimilation, the sensitivity of the tidal elevation to the interfacial drag at the sea floor and the ice-water interface (under the floating ice shelves) is investigated; this motivates the development of a new drag parameterization which is more accurate and physically plausible in comparison with the interfacial drag alone. The assimilation of CryoSat-2 data into the model results in tidal elevations with essentially the same accuracy as previous estimates, which is demonstrated by comparisons with independent in situ data and withheld CryoSat-2 data. The novelty of the present tidal estimates is that they are consistent with well-defined dynamics based on the Laplace Tidal Equationsaugmented with the new parameterization of dragand modifications of the prior estimate of underwater topography and water column thickness. Analysis of the sensitivity to the topography finds that, at this level of precision, the topography is not uniquely determined by the observed data.</t>
  </si>
  <si>
    <t>[Zaron, Edward D.] Portland State Univ, Dept Civil &amp; Environm Engn, Portland, OR 97207 USA</t>
  </si>
  <si>
    <t>Portland State University</t>
  </si>
  <si>
    <t>Zaron, ED (corresponding author), Portland State Univ, Dept Civil &amp; Environm Engn, Portland, OR 97207 USA.</t>
  </si>
  <si>
    <t>ezaron@pdx.edu</t>
  </si>
  <si>
    <t>Zaron, Edward/0000-0002-7799-2883</t>
  </si>
  <si>
    <t>NASA [NNX13AH06G]; NASA [NNX13AH06G, 474224] Funding Source: Federal RePORTER</t>
  </si>
  <si>
    <t>NASA(National Aeronautics &amp; Space Administration (NASA)); NASA(National Aeronautics &amp; Space Administration (NASA))</t>
  </si>
  <si>
    <t>Two reviewers provided useful feedback on this manuscript, and their efforts are greatly appreciated. Laurie Padman and Richard Ray are gratefully acknowledged for discussions regarding ice shelf dynamics and altimeter sampling. The numerical tide model and its associated data assimilation software were based on the Oregon State University Tidal Inversion Software (OTIS, http://volkov.oce.orst.edu/tides/otis.html), developed and provided by Gary Egbert and Lana Erofeeva; their assistance with the OTIS software is gratefully acknowledged. The CryoSat-2 data were extracted from the Level-2 Baseline-C Surface Elevation Product, which may be obtained from the Center for Topographic studies of the Ocean and Hydrosphere (CTOH; http://ctoh.legos.obs-mip.fr/products/alongtrack-data/cryosat2-request-form). This project was supported by NASA award NNX13AH06G.</t>
  </si>
  <si>
    <t>10.1029/2019JC015037</t>
  </si>
  <si>
    <t>WOS:000472819700011</t>
  </si>
  <si>
    <t>Stern, AA; Adcroft, A; Sergienko, O</t>
  </si>
  <si>
    <t>Stern, A. A.; Adcroft, A.; Sergienko, O.</t>
  </si>
  <si>
    <t>Modeling Ice Shelf Cavities and Tabular Icebergs Using Lagrangian Elements</t>
  </si>
  <si>
    <t>iceberg; ice shelf; calving; ice shelf model; Lagrangian model; kinematic ice dynamics model</t>
  </si>
  <si>
    <t>OCEAN MODEL; THERMOHALINE CIRCULATION; INTERACTIVE ICEBERGS; SEA; ANTARCTICA; TOPOGRAPHY; DYNAMICS; GLACIER; RETREAT; SHEET</t>
  </si>
  <si>
    <t>Most ocean climate models do not represent ice shelf calving in a physically realistic way, even though the calving of icebergs is a major component of the mass balance for Antarctic ice shelves. The infrequency of large calving events together with the difficulty of placing observational instruments around icebergs means that little is known about how calving icebergs affect the ocean. In this study we present a novel model of an ice shelf coupled to an ocean circulation model, where the ice shelf is constructed of Lagrangian elements that allow simulation of iceberg calving. The Lagrangian ice shelf model is used to simulate the flow beneath a static idealized ice shelf, to verify that it can reproduce the results of an existing Eulerian model simulation with an identical configuration. The Lagrangian model is then used to simulate the ocean's response to a calved iceberg drifting away from the ice shelf. The results show how a calving event and subsequent iceberg drift affect the ocean. At the ice front, the calving event leads to a warming of the ocean surface and cooling of the water column at depth, allowing cooler waters to enter the ice shelf cavity, leading to reduced melt rates within the cavity. A Taylor column is observed below the iceberg, which moves with the iceberg as it drifts into the open ocean. As the iceberg drifts further from the ice shelf, the circulation within the ice shelf cavity tends toward a new steady state, consistent with the new ice shelf geometry.</t>
  </si>
  <si>
    <t>[Stern, A. A.; Adcroft, A.; Sergienko, O.] Princeton Univ, Atmospher &amp; Ocean Sci, Princeton, NJ 08544 USA</t>
  </si>
  <si>
    <t>Princeton University</t>
  </si>
  <si>
    <t>Stern, AA (corresponding author), Princeton Univ, Atmospher &amp; Ocean Sci, Princeton, NJ 08544 USA.</t>
  </si>
  <si>
    <t>sternalon@gmail.com</t>
  </si>
  <si>
    <t>Adcroft, Alistair/E-5949-2010; Sergienko, Olga/HII-8500-2022</t>
  </si>
  <si>
    <t>Adcroft, Alistair/0000-0001-9413-1017; Sergienko, Olga/0000-0002-5764-8815; Stern, Alon/0000-0002-3875-2406</t>
  </si>
  <si>
    <t>National Oceanic and Atmospheric Administration, U.S. Department of Commerce [NA08OAR4320752, NA13OAR439]</t>
  </si>
  <si>
    <t>National Oceanic and Atmospheric Administration, U.S. Department of Commerce(National Oceanic Atmospheric Admin (NOAA) - USA)</t>
  </si>
  <si>
    <t>We would like to thank the Associate Editor Laurie Padman and reviewers Xylar Asay-Davis and Dan Goldberg, for valuable comments and useful suggestions that greatly improved the manuscript. This study is supported by awards NA08OAR4320752 and NA13OAR439 from the National Oceanic and Atmospheric Administration, U.S. Department of Commerce. The statements, findings, conclusions, and recommendations are those of the authors and do not necessarily reflect the views of the National Oceanic and Atmospheric Administration or the U.S. Department of Commerce. The simulations in this paper can be reproduced using the model code and experimental setups found at https://github.com/sternalon/Iceberg_ repository, and the data used to produce the figures in this paper have been submitted to the NSIDC data center.</t>
  </si>
  <si>
    <t>10.1029/2018JC014876</t>
  </si>
  <si>
    <t>WOS:000472819700023</t>
  </si>
  <si>
    <t>Zhang, YM; Song, ZY; Wu, KJ; Shi, YF</t>
  </si>
  <si>
    <t>Zhang, Yuming; Song, Zhaoyang; Wu, Kejian; Shi, Yongfang</t>
  </si>
  <si>
    <t>Influences of Random Surface Waves on the Estimates of Wind Energy Input to the Ekman Layer in the Antarctic Circumpolar Current Region</t>
  </si>
  <si>
    <t>SUBINERTIAL MOTIONS; OCEAN SURFACE; STOKES LAYER; STRESS; SEA; VARIABILITY; IMPACT; DRIFT; WORK</t>
  </si>
  <si>
    <t>Sea surface waves significantly affect the wind energy input to the Ekman layer in the upper ocean. In the study, we first incorporated the wave-induced Coriolis-Stokes forcing, the reduction of wind stress caused by wave generation, and wave dissipation into the classical Ekman model to investigate the kinetic energy balance in the wave-affected Ekman layer. Then, both the theoretical steady state solution for the idealized condition and the nonsteady state solution for the realistic ocean were derived. Total energy input to the wave-affected Ekman layer includes the wind stress energy input and the wave-induced energy input. Based on the WAVEWATCH III model, the wave spectrum was simulated to represent realistic random directional wave conditions. The wind stress energy input and the wave-induced energy input to the wave-affected Ekman layer in the Antarctic Circumpolar Current in the period from 1988 to 2010 were then calculated. The annual mean total energy input in the Antarctic Circumpolar Current region was 402.5GW and the proportions of the wind stress energy input and the wave-induced energy input were, respectively, 85% and 15%. Particularly, total energy input in the Antarctic Circumpolar Current in the wave-affected Ekman layer model was 59.8% lower than that in the classical Ekman model. We conclude that surface waves play a significant role in the wind energy input to the Ekman layer. Plain Language Summary The wind energy input to the Ekman layer is one major source to balance the dissipation of mechanical energy in the ocean. Sea surface waves significantly influence the wind energy input to the Ekman layer. Previous studies only considered the Stokes drift induced by surface waves based on a simple monochromatic assumption. This study derived a realistic nonsteady state solution by incorporating three surface wave-related processes: wave-induced Coriolis-Stokes forcing, the reduction of wind stress caused by wave generation, and wave dissipation into the classical Ekman model. A numerical model was employed to simulate the wave spectra representing the realistic random surface waves. The total energy input in the Antarctic Circumpolar Current region from 1988 to 2010 was estimated. The estimated total energy input was 59.8% lower than that in the classical Ekman model, indicating that surface waves significantly affected the wind energy input in the Ekman layer.</t>
  </si>
  <si>
    <t>[Zhang, Yuming] Minist Ecol &amp; Environm Peoples Republ China, Natl Marine Environm Monitoring Ctr, Dalian, Peoples R China; [Zhang, Yuming] State Ocean Adm, Key Lab Global Change &amp; Marine Atmospher Chem, Xiamen, Fujian, Peoples R China; [Song, Zhaoyang] GEOMAR Helmholtz Ctr Ocean Res Kiel, Kiel, Germany; [Wu, Kejian] Ocean Univ China, Coll Ocean &amp; Atmospher Sci, Qingdao, Shandong, Peoples R China; [Shi, Yongfang] Minist Nat Resources, Inst Oceanog 1, Qingdao, Shandong, Peoples R China; [Shi, Yongfang] Natl Lab Marine Sci &amp; Technol, Qingdao, Shandong, Peoples R China</t>
  </si>
  <si>
    <t>National Marine Environmental Monitoring Center; Helmholtz Association; GEOMAR Helmholtz Center for Ocean Research Kiel; Ocean University of China; Ministry of Natural Resources of the People's Republic of China; First Institute of Oceanography, Ministry of Natural Resources; Laoshan Laboratory</t>
  </si>
  <si>
    <t>Song, ZY (corresponding author), GEOMAR Helmholtz Ctr Ocean Res Kiel, Kiel, Germany.</t>
  </si>
  <si>
    <t>zsong@geomar.de</t>
  </si>
  <si>
    <t>Song, Zhaoyang/0000-0003-4105-8682; Zhang, Yuming/0000-0003-1532-545X</t>
  </si>
  <si>
    <t>National Natural Science Foundation of China [41606002]; Key Laboratory of Global Change and Marine-Atmospheric Chemistry [GCMAC1308]; Key Laboratory of Data Analysis and Applications, State Oceanic Administration of China [LDAA-2013-06]</t>
  </si>
  <si>
    <t>National Natural Science Foundation of China(National Natural Science Foundation of China (NSFC)); Key Laboratory of Global Change and Marine-Atmospheric Chemistry; Key Laboratory of Data Analysis and Applications, State Oceanic Administration of China</t>
  </si>
  <si>
    <t>This study is supported by the National Natural Science Foundation of China (41606002), the Key Laboratory of Global Change and Marine-Atmospheric Chemistry (GCMAC1308), and the Key Laboratory of Data Analysis and Applications, State Oceanic Administration of China (LDAA-2013-06). The model results in this study are available at Pangaea (https://doi.pangaea.de/10.1594/PANGAEA.892972).</t>
  </si>
  <si>
    <t>10.1029/2018JC014470</t>
  </si>
  <si>
    <t>WOS:000472819700024</t>
  </si>
  <si>
    <t>Sazanova, KV; Senik, SV; Kirtsideli, IY; Shavarda, AL</t>
  </si>
  <si>
    <t>Sazanova, K. V.; Senik, S. V.; Kirtsideli, I. Yu.; Shavarda, A. L.</t>
  </si>
  <si>
    <t>Metabolomic Profiling and Lipid Composition of Arctic and Antarctic Strains of Micromycetes Geomyces pannorum and Thelebolus microsporus Grown at Different Temperatures</t>
  </si>
  <si>
    <t>MICROBIOLOGY</t>
  </si>
  <si>
    <t>metabolomic profiling; lipids; adaptation; temperature; psychrophilic fungi; polar regions</t>
  </si>
  <si>
    <t>ASPERGILLUS-NIGER; MEMBRANE-FLUIDITY; FUNGI; ADAPTATION; YEASTS; SOILS</t>
  </si>
  <si>
    <t>Adaptive reactions of Arctic and Antarctic strains of psychrophilic micromycetes Geomyces pannorum and Thelebolus microsporus to growth within a broad temperature range were studied. Adaptation of these species to different temperatures was found to result from both morphological and biochemical changes, including changes in the concentration of small molecules and lipid membrane components. These biochemical, morphological, and physiological mechanisms exhibited the patterns common to all strains, as well as species and strain differences. The general patterns included temperature-dependent changes in amounts of monosaccharides, some disaccharides, and free linoleic and linolenic acids. The differences between the Arctic and Antarctic strains were mainly associated with the differences in lipid composition, while interspecies differences resulted from metabolomic modifications. Antarctic strains showed lower ability to survive elevated temperatures, which correlated with weaker manifestation of the lipid-dependent adaptive mechanisms compared to the Arctic strains. Among the interstrain differences, higher growth parameters and mannitol accumulation were found in the Arctic isolates. Adaptation of T. microsporus was characterized by more diverse changes in the concentrations of small organic molecules in the metabolome profile and by pronounced changes in mycelial morphology. The results of metabolomic analysis and their subsequent treatment by the methods of multivariant statistics supported the suggestion of higher dispersion of metabolomic characteristics under unfavorable conditions and of lower dispersion of metabolomic data under optimal conditions.</t>
  </si>
  <si>
    <t>[Sazanova, K. V.; Senik, S. V.; Kirtsideli, I. Yu.; Shavarda, A. L.] Russian Acad Sci, Komarov Bot Inst, St Petersburg 197376, Russia; [Shavarda, A. L.] St Petersburg State Univ, Res Pk, St Petersburg 198504, Russia</t>
  </si>
  <si>
    <t>Russian Academy of Sciences; Komarov Botanical Institute, Russian Academy of Sciences; Saint Petersburg State University</t>
  </si>
  <si>
    <t>Sazanova, KV (corresponding author), Russian Acad Sci, Komarov Bot Inst, St Petersburg 197376, Russia.</t>
  </si>
  <si>
    <t>Ksazanova@binran.ru</t>
  </si>
  <si>
    <t>Kirtsideli, Irina Yu/K-2072-2018; Sazanova, Katerina/AAY-5011-2020; Senik, Svetlana Viktorovna/H-5152-2013; Shavarda, Alexey L./J-3548-2013</t>
  </si>
  <si>
    <t>Senik, Svetlana Viktorovna/0000-0002-6053-953X;</t>
  </si>
  <si>
    <t>Komarov Botanic Institute, Russian Academy of Sciences [01201255604, AAAA-A18-118032390136-5]; Russian Foundation for Basic Research [16-04-01649]</t>
  </si>
  <si>
    <t>Komarov Botanic Institute, Russian Academy of Sciences; Russian Foundation for Basic Research(Russian Foundation for Basic Research (RFBR)Spanish Government)</t>
  </si>
  <si>
    <t>The work was carried out within the framework of the research projects of the Komarov Botanic Institute, Russian Academy of Sciences, no. 01201255604 and no. AAAA-A18-118032390136-5, the grant of the Russian Foundation for Basic Research no. 16-04-01649, and the Program of Fundamental Studies of the Presidium of the Russian Academy of Sciences.</t>
  </si>
  <si>
    <t>0026-2617</t>
  </si>
  <si>
    <t>1608-3237</t>
  </si>
  <si>
    <t>MICROBIOLOGY+</t>
  </si>
  <si>
    <t>10.1134/S0026261719030111</t>
  </si>
  <si>
    <t>ID8XM</t>
  </si>
  <si>
    <t>WOS:000471971900004</t>
  </si>
  <si>
    <t>Shaw, JLA; Weyrich, LS; Hallegraeff, G; Cooper, A</t>
  </si>
  <si>
    <t>Shaw, Jennifer L. A.; Weyrich, Laura S.; Hallegraeff, Gustaaf; Cooper, Alan</t>
  </si>
  <si>
    <t>Retrospective eDNA assessment of potentially harmful algae in historical ship ballast tank and marine port sediments</t>
  </si>
  <si>
    <t>environmental DNA; historical sediment; metabarcoding; NGS sequencing; paleogenomics; shipping</t>
  </si>
  <si>
    <t>WATER MANAGEMENT; COASTAL WATERS; CLIMATE-CHANGE; ANCIENT DNA; N. SP; DINOPHYCEAE; TRANSPORT; BLOOMS; EUTROPHICATION; PHYLOGENY</t>
  </si>
  <si>
    <t>Microalgal bloom events can cause major ecosystem disturbances, devastate local marine economies, and endanger public health. Therefore, detecting and monitoring harmful microalgal taxa is essential to ensure effective risk management in waterways used for fisheries, aquaculture, recreational activity, and shipping. To fully understand the current status and future direction of algal bloom distributions, we need to know how populations and ecosystems have changed over time. This baseline knowledge is critical for predicting ecosystem responses to future anthropogenic change and will assist in the future management of coastal ecosystems. We explore a NGS metabarcoding approach to rapidly identify potentially harmful microalgal taxa in 63 historic and modern Australian marine port and ballast tank sediment samples. The results provide a record of past microalgal distribution and important baseline data that can be used to assess the efficacy of shipping guidelines, nutrient pollution mitigation, and predict the impact of climate change. Critically, eDNA surveys of archived sediments were able to detect harmful algal taxa that do not produce microscopic fossils, such as Chattonella, Heterosigma, Karlodinium, and Noctiluca. Our data suggest a potential increase in Australian harmful microalgal taxa over the past 30 years, and confirm ship ballast tanks as key dispersal vectors. These molecular mapping tools will assist in the creation of policies aimed at reducing the global increase and spread of harmful algal taxa and help prevent economic and public-health problems caused by harmful algal blooms.</t>
  </si>
  <si>
    <t>[Shaw, Jennifer L. A.; Weyrich, Laura S.; Cooper, Alan] Univ Adelaide, Sch Biol Sci, Australian Ctr Ancient DNA, Adelaide, SA, Australia; [Shaw, Jennifer L. A.] Commonwealth Sci &amp; Ind Res Org, Land &amp; Water Unit, Waite Campus, Adelaide, SA, Australia; [Hallegraeff, Gustaaf] Univ Tasmania, Inst Marine &amp; Antarctic Studies, Hobart, Tas, Australia</t>
  </si>
  <si>
    <t>University of Adelaide; Commonwealth Scientific &amp; Industrial Research Organisation (CSIRO); University of Tasmania</t>
  </si>
  <si>
    <t>Shaw, JLA (corresponding author), Commonwealth Sci &amp; Ind Res Org, Land &amp; Water Unit, Waite Campus, Adelaide, SA, Australia.</t>
  </si>
  <si>
    <t>jennifershaw@csiro.au</t>
  </si>
  <si>
    <t>Shaw, Jennifer L. A./H-1482-2016; Cooper, Alan/E-8171-2012; Hallegraeff, Gustaaf/C-8351-2013</t>
  </si>
  <si>
    <t>Cooper, Alan/0000-0002-7738-7851; Hallegraeff, Gustaaf/0000-0001-8464-7343; Weyrich, Laura/0000-0001-5243-4634; Shaw, Jennifer/0000-0002-4220-9748</t>
  </si>
  <si>
    <t>Australian Research Council (ARC) [LP0991985, DP170102261]; Australian Research Council [LP0991985] Funding Source: Australian Research Council</t>
  </si>
  <si>
    <t>Australian Research Council (ARC)(Australian Research Council); Australian Research Council(Australian Research Council)</t>
  </si>
  <si>
    <t>This project was financially supported by the Australian Research Council (ARC) linkage grant LP0991985 and Discovery grant DP170102261. Archived sediment samples were provided by the Institute for Marine and Antarctic Studies, University of Tasmania, and eDNA analysis was undertaken at the Australian Centre for Ancient DNA, University of Adelaide.</t>
  </si>
  <si>
    <t>10.1111/mec.15055</t>
  </si>
  <si>
    <t>IE2TQ</t>
  </si>
  <si>
    <t>WOS:000472237600004</t>
  </si>
  <si>
    <t>Cox, F; Newsham, KK; Robinson, CH</t>
  </si>
  <si>
    <t>Cox, Filipa; Newsham, Kevin K.; Robinson, Clare H.</t>
  </si>
  <si>
    <t>Endemic and cosmopolitan fungal taxa exhibit differential abundances in total and active communities of Antarctic soils</t>
  </si>
  <si>
    <t>PHYLOGENETIC ANALYSIS; AERIAL DISPERSAL; NORTH-AMERICAN; DIVERSITY; REVEALS; FOREST; PATTERNS; NITROGEN; CARBON; PLANTS</t>
  </si>
  <si>
    <t>Our understanding of the diversity and community dynamics of soil fungi has increased greatly through the use of DNA-based identification. Community characterization of metabolically active communities via RNA sequencing has previously revealed differences between 'active' and 'total' fungal communities, which may be influenced by the persistence of DNA from nonactive components. However, it is not known how fungal traits influence their prevalence in these contrasting community profiles. In this study, we coextracted DNA and RNA from soil collected from three Antarctic islands to test for differences between total and active soil fungal communities. By matching these geographically isolated fungi against a global dataset of soil fungi, we show that widely dispersed taxa are often more abundant in the total community, whilst taxa restricted to Antarctica are more likely to have higher abundance in the active community. In addition, we find that active communities have lower richness, and show a reduction in the abundance of the most dominant fungi, whilst there are consistent differences in the abundances of certain taxonomic groups between the total and active communities. These results suggest that the views of soil fungal communities offered by DNA- and RNA-based characterization differ in predictable ways.</t>
  </si>
  <si>
    <t>[Cox, Filipa; Robinson, Clare H.] Univ Manchester, Sch Earth &amp; Environm Sci, Manchester M13 9PL, Lancs, England; [Cox, Filipa; Newsham, Kevin K.] NERC British Antarctic Survey, Madingley Rd, Cambridge CB3 0ET, England</t>
  </si>
  <si>
    <t>University of Manchester</t>
  </si>
  <si>
    <t>Cox, F (corresponding author), Univ Manchester, Sch Earth &amp; Environm Sci, Manchester M13 9PL, Lancs, England.;Cox, F (corresponding author), NERC British Antarctic Survey, Madingley Rd, Cambridge CB3 0ET, England.</t>
  </si>
  <si>
    <t>filipa.cox@manchester.ac.uk</t>
  </si>
  <si>
    <t>Cox, Filipa/0000-0003-1405-7481</t>
  </si>
  <si>
    <t>Antarctic Funding Initiative grant from the UK Natural Environment Research Council [NE/H014098/1, NE/H014772/1, NE/H01408X/1]; British Ecological Society Large Research Grant for early career ecologists; NERC [NBAF010002, NE/H01408X/1, NE/H014772/1, bas0100036, NE/H014098/1] Funding Source: UKRI</t>
  </si>
  <si>
    <t>Antarctic Funding Initiative grant from the UK Natural Environment Research Council; British Ecological Society Large Research Grant for early career ecologists; NERC(UK Research &amp; Innovation (UKRI)Natural Environment Research Council (NERC))</t>
  </si>
  <si>
    <t>This work was funded by an Antarctic Funding Initiative grant from the UK Natural Environment Research Council (grant numbers NE/H014098/1, NE/H014772/1 and NE/H01408X/1) and a British Ecological Society Large Research Grant for early career ecologists, awarded to F.C.. Logistical support was provided by the British Antarctic Survey's Operations group, and officers and crew of the RRS James Clark Ross. Two reviewers supplied helpful comments on a previous version of the manuscript. All are gratefully acknowledged.</t>
  </si>
  <si>
    <t>10.1111/1462-2920.14533</t>
  </si>
  <si>
    <t>ID5KS</t>
  </si>
  <si>
    <t>WOS:000471715900006</t>
  </si>
  <si>
    <t>Nakamura, K; Takahashi, K; Shimode, S; Shimizu, Y; Furuya, K</t>
  </si>
  <si>
    <t>Nakamura, Ken-ichi; Takahashi, Kazutaka; Shimode, Shinji; Shimizu, Yugo; Furuya, Ken</t>
  </si>
  <si>
    <t>Effects of container size, density, and incubation period on ammonium excretion rate measurements of planktonic copepods: Validation with a highly sensitive analytical method</t>
  </si>
  <si>
    <t>PLANKTON &amp; BENTHOS RESEARCH</t>
  </si>
  <si>
    <t>Ammonium excretion rate; container size; copepods; incubation time; multiple-individual incubation</t>
  </si>
  <si>
    <t>ANTARCTIC ZOOPLANKTON; PHOSPHATE EXCRETION; CALANOID COPEPOD; ACTIVE-TRANSPORT; NITROGEN; RESPIRATION; REGENERATION; RELEASE; CARBON; MESOZOOPLANKTON</t>
  </si>
  <si>
    <t>Ammonium excretion by planktonic copepods is an important process supplying nitrogen to primary producers and other microbial activity in pelagic ecosystems. Because of methodological constraints, conventional analyses using sealed chamber methods have required the adoption of unnatural experimental settings, such as a small container, high density, or a long incubation for ammonium excretion measurements. Therefore, most of the estimated ammonium excretion rates are potentially linked to stresses on the experimental animals during incubation. In this study, the effects of container size, density, and incubation period on the ammonium excretion rates of five copepod species (Calanus sinicus, Eucalanus californicus, Metridia pacifica, Pleuromamma abdominalis, P gracilis) were examined using a highly sensitive analytical method that has recently been developed to measure ammonium concentration at the nanomolar level. The results indicate that responses to experimental stresses are species-specific, while incubation in a small container was generally the most significant factor causing overestimation (up to 2.6 times) of the excretion rates. This study shows that this highly sensitive analysis method, which allows short incubations with a single individual in a relatively large-sized container is an appropriate method to estimate ammonium excretion of pelagic copepods in the field using the sealed chamber method.</t>
  </si>
  <si>
    <t>[Nakamura, Ken-ichi; Takahashi, Kazutaka; Furuya, Ken] Univ Tokyo, Grad Sch Agr &amp; Life Sci, Bunkyo Ku, 1-1-1 Yayoi, Tokyo 1138657, Japan; [Shimode, Shinji] Yokohama Natl Univ, Manazuru Marine Ctr Environm Res &amp; Educ, Grad Sch Environm &amp; Informat Sci, 61 Iwa, Manazuru, Kanagawa 2590202, Japan; [Shimizu, Yugo] Japan Fisheries Res &amp; Educ Agcy, Natl Res Inst Fisheries Sci, Kanazawa Ku, 2-12-4 Fukuura, Yokohama, Kanagawa 2368648, Japan; [Furuya, Ken] Soka Univ, Grad Sch Engn, 1-236 Tangi Cho, Hachioji, Tokyo 1928577, Japan</t>
  </si>
  <si>
    <t>University of Tokyo; Yokohama National University; Japan Fisheries Research &amp; Education Agency (FRA); Soka University</t>
  </si>
  <si>
    <t>Takahashi, K (corresponding author), Univ Tokyo, Grad Sch Agr &amp; Life Sci, Bunkyo Ku, 1-1-1 Yayoi, Tokyo 1138657, Japan.</t>
  </si>
  <si>
    <t>akazutak@mail.ecc.u-tokyo.ac.jp</t>
  </si>
  <si>
    <t>Takahashi, Kazutaka/AAM-6305-2020; SHIMODE, SHINJI/O-3253-2014; Takahashi, Kazutaka/JGD-3301-2023</t>
  </si>
  <si>
    <t>Takahashi, Kazutaka/0000-0002-5846-0240;</t>
  </si>
  <si>
    <t>Ministry of Education, Culture, Sports, Science and Technology [24121001, 24121005]; Japan Science and Technology Agency (JST); Japan International Cooperation Agency (JICA); Science and Technology Research Partnership for Sustainable Development (SATREPS)</t>
  </si>
  <si>
    <t>Ministry of Education, Culture, Sports, Science and Technology(Ministry of Education, Culture, Sports, Science and Technology, Japan (MEXT)); Japan Science and Technology Agency (JST)(Japan Science &amp; Technology Agency (JST)); Japan International Cooperation Agency (JICA); Science and Technology Research Partnership for Sustainable Development (SATREPS)</t>
  </si>
  <si>
    <t>The authors are grateful to the captains, crews, and participants in the cruises KH-16-7, KH-17-4, and SY1510 for their cooperation in sampling. The authors also thank the staff members of the Manazuru Marine Center for Environmental Research and Education (MMCER) for their help with the experimental facilities. This work was supported by grants to the project of New Ocean Paradigm on Its Biogeochemistry, Ecosystem and Sustainable Use (NEOPS) from the Ministry of Education, Culture, Sports, Science and Technology [Grant Numbers 24121001, 24121005] and to the project for Continuous Operation System for Microalgae Production Optimized for Sustainable Tropical Aquaculture (COSMOS) from the Japan Science and Technology Agency (JST); Japan International Cooperation Agency (JICA); and the Science and Technology Research Partnership for Sustainable Development (SATREPS).</t>
  </si>
  <si>
    <t>PLANKTON SOC JAPAN</t>
  </si>
  <si>
    <t>HOKKAIDO</t>
  </si>
  <si>
    <t>C/O MAR. BIODIVERSITY LAB, 3-1-1 MINATOMACHI, HAKODATE, HOKKAIDO, 041-8611, JAPAN</t>
  </si>
  <si>
    <t>1880-8247</t>
  </si>
  <si>
    <t>PLANKTON BENTHOS RES</t>
  </si>
  <si>
    <t>Plankton Benthos Res.</t>
  </si>
  <si>
    <t>10.3800/pbr.14.62</t>
  </si>
  <si>
    <t>ID5UN</t>
  </si>
  <si>
    <t>WOS:000471741600002</t>
  </si>
  <si>
    <t>Houben, AJP; Bijl, PK; Sluijs, A; Schouten, S; Brinkhuis, H</t>
  </si>
  <si>
    <t>Houben, Alexander J. P.; Bijl, Peter K.; Sluijs, Appy; Schouten, Stefan; Brinkhuis, Henk</t>
  </si>
  <si>
    <t>Late Eocene Southern Ocean Cooling and Invigoration of Circulation Preconditioned Antarctica for Full-Scale Glaciation</t>
  </si>
  <si>
    <t>Eocene-Oligocene transition; ocean circulation; Southern Ocean; Antarctica; dinoflagellate cysts; paleothermometry</t>
  </si>
  <si>
    <t>OLIGOCENE DINOFLAGELLATE CYST; OFFSHORE WILKES LAND; MIDDLE EOCENE; ICE-SHEET; STRATIGRAPHIC CALIBRATION; ENVIRONMENTAL-CHANGES; KERGUELEN PLATEAU; MEMBRANE-LIPIDS; EAST ANTARCTICA; ATMOSPHERIC CO2</t>
  </si>
  <si>
    <t>During the Eocene-Oligocene Transition (EOT; 34-33.5Ma), Antarctic ice sheets relatively rapidly expanded, leading to the first continent-scale glaciation of the Cenozoic. Declining atmospheric CO2 concentrations and associated feedbacks have been invoked as underlying mechanisms, but the role of the quasi-coeval opening of Southern Ocean gateways (Tasman Gateway and Drake Passage) and resulting changes in ocean circulation is as yet poorly understood. Definitive field evidence from EOT sedimentary successions from the Antarctic margin and the Southern Ocean is lacking, also because the few available sequences are often incomplete and poorly dated, hampering detailed paleoceanographic and paleoclimatic analysis. Here we use organic dinoflagellate cysts (dinocysts) to date and correlate critical Southern Ocean EOT successions. We demonstrate that widespread winnowed glauconite-rich lithological units were deposited ubiquitously and simultaneously in relatively shallow-marine environments at various Southern Ocean localities, starting in the late Eocene (similar to 35.7Ma). Based on organic biomarker paleothermometry and quantitative dinocyst distribution patterns, we analyze Southern Ocean paleoceanographic change across the EOT. We obtain strong indications for invigorated surface and bottom water circulation at sites affected by polar westward-flowing wind-driven currents, including a westward-flowing Antarctic Countercurrent, starting at about 35.7Ma. The mechanism for this oceanographic invigoration remains poorly understood. The circum-Antarctic expression of the phenomenon suggests that, rather than triggered by tectonic deepening of the Tasman Gateway, progressive pre-EOT atmospheric cooling played an important role. At localities affected by the Antarctic Countercurrent, sea surface productivity increased and simultaneously circum-Antarctic surface waters cooled. We surmise that combined, these processes contributed to preconditioning the Antarctic continent for glaciation. Plain Language Summary The ice sheets of Antarctica are geologically a relatively recent phenomenon. Only by the end of the Eocene Epoch (34 million years ago), major ice sheets began to develop, likely related to declining greenhouse gas concentrations. We still do not understand what the roleif anyof the tectonic openings of key land bridges (i.e., the present-day ocean conduits between Antarctica and Tasmania and the southern tip of South America) was in cooling the Antarctic continent and stimulating it to become glaciated. In this study we use organic marine microfossils to date and correlate several marginal marine sediment successions, dispersed throughout the Southern Ocean. We then show that the sediment composition at these sites changed abruptly throughout the Southern Ocean by about 35.7 million years ago, roughly two million years before the ice sheets rapidly expanded. We interpret this change in sediment composition to reflect enhanced surface ocean circulation. We furthermore analyzed chemical fossils to derive changes in past sea-water temperatures. By combining these data with counts of the marine organic microfossil species, we reconstructed past environmental change across the periods prior, during and after the growth of the Antarctic ice sheets. The results indicate that from about 35.7 million years ago onward, enhanced surface ocean circulation led to sediment winnowing, higher biological productivity in- and cooling of the surface waters around Antarctica. Irrespective of deepening of the Tasman Conduit, progressive intensification of ocean currents, probably as a result of stronger atmospheric circulation need to be considered in understanding the conditions that allowed rapid Antarctic ice sheet to expansion.</t>
  </si>
  <si>
    <t>[Houben, Alexander J. P.; Bijl, Peter K.; Sluijs, Appy; Brinkhuis, Henk] Univ Utrecht, Fac Geosci, Marine Palynol &amp; Paleoceanog, Lab Palaeobotany &amp; Palynol,Dept Earth Sci, Utrecht, Netherlands; [Houben, Alexander J. P.] Geol Survey Netherlands TNO, Utrecht, Netherlands; [Schouten, Stefan; Brinkhuis, Henk] Royal Netherlands Inst Sea Res NIOZ, Texel, Netherlands; [Schouten, Stefan; Brinkhuis, Henk] Univ Utrecht, Texel, Netherlands</t>
  </si>
  <si>
    <t>Utrecht University; Netherlands Organization Applied Science Research; Utrecht University; Royal Netherlands Institute for Sea Research (NIOZ); Utrecht University</t>
  </si>
  <si>
    <t>Houben, AJP (corresponding author), Univ Utrecht, Fac Geosci, Marine Palynol &amp; Paleoceanog, Lab Palaeobotany &amp; Palynol,Dept Earth Sci, Utrecht, Netherlands.;Houben, AJP (corresponding author), Geol Survey Netherlands TNO, Utrecht, Netherlands.</t>
  </si>
  <si>
    <t>alexander.houben@tno.nl</t>
  </si>
  <si>
    <t>Brinkhuis, Henk/IUO-8165-2023; Sluijs, Appy/B-3726-2009</t>
  </si>
  <si>
    <t>Brinkhuis, Henk/0000-0003-0253-6610; Sluijs, Appy/0000-0003-2382-0215; Houben, Alexander/0000-0002-9497-1048; Bijl, Peter/0000-0002-1710-4012</t>
  </si>
  <si>
    <t>Equinor; European Research Council [259627]; Netherlands Earth System Science Centre; NWO polar programme [866.10.110]; Veni grant [863.13.002]</t>
  </si>
  <si>
    <t>Equinor; European Research Council(European Research Council (ERC)); Netherlands Earth System Science Centre; NWO polar programme; Veni grant</t>
  </si>
  <si>
    <t>A. H. and H. B. acknowledge Equinor for funding. A. S. thanks the European Research Council for Starting Grant 259627 and the Netherlands Earth System Science Centre. P. K. B. acknowledges funding through NWO polar programme grant 866.10.110 and Veni grant 863.13.002. We thank Steven Bohaty for numerous discussions on Southern Ocean biostratigraphy and oceanography. We thank Stephen Gallagher for guidance and assistance with sampling in Australia. The Integrated Ocean Discovery Program (IODP) provided samples and shipboard data. We acknowledge Mike Hannah, Rob McKay, and one anonymous reviewer for constructive reviews. This publication is accompanied by two supporting information files that contain a description of the dinocyst stratigraphic framework and updated zonation (Supporting Information S1) and an MS Excel file with palynological and organic paleothermometry data (Data Set S1).</t>
  </si>
  <si>
    <t>10.1029/2019GC008182</t>
  </si>
  <si>
    <t>ID3TJ</t>
  </si>
  <si>
    <t>WOS:000471599700003</t>
  </si>
  <si>
    <t>Valdivia, N; Pardo, LM; Macaya, EC; Huovinen, P; Gómez, I</t>
  </si>
  <si>
    <t>Valdivia, Nelson; Pardo, Luis M.; Macaya, Erasmo C.; Huovinen, Pirjo; Gomez, Ivan</t>
  </si>
  <si>
    <t>Different ecological mechanisms lead to similar grazer controls on the functioning of periphyton Antarctic and sub-Antarctic communities</t>
  </si>
  <si>
    <t>Ecosystem functioning; Biodiversity; Per capita interaction strength; Maritime Antarctica; Patagonia; Comparative approach</t>
  </si>
  <si>
    <t>QUANTIFYING WAVE EXPOSURE; INTERTIDAL ROCKY-SHORE; PATELLA-VULGATA; BIODIVERSITY LOSS; SPECIES RICHNESS; PATTERNS; MAGELLAN; LIMPETS; PRODUCTIVITY; COMPETITION</t>
  </si>
  <si>
    <t>The processes underpinning the differences between Antarctic and sub-Antarctic ecological communities are still unclear. Dispersal, drift, speciation, and abiotic environmental filtering have been considered to explain these differences; biotic interactions, however, have received less attention. Antarctic intertidal assemblages of macrobenthic grazers are characterised by numerically abundant populations of a single species, Nacella concinna. In contrast, sub-Antarctic habitats display a diverse assemblage of herbivores like chitons, keyhole limpets, and several species of Nacella. Thus, it was hypothesised that herbivores would have significant density-dependent effects of a single species on benthic primary productivity in Antarctica, but stronger effects of the whole assemblage in the sub-Antarctic. Field grazer inclusion-exclusion experiments showed that chlorophyll-a (chl-a) concentration was one order of magnitude lower in Fildes Bay (King George Island, Antarctica) than in the Strait of Magellan (Chilean South Patagonia). Still, grazers had significant and negative effects on chl-a accrual, a proxy for productivity, in both sites. In Fildes Bay, these effects were similar between experimental levels or grazer density. Accordingly, evidence for negative density dependence of per capita interaction strength was detected in this region. In the Strait of Magellan, only the open access treatments, exposed to the diverse assemblage of grazers, significantly decreased chl-a accrual. Grazers negatively affected the relative abundance of browns (i.e. diatoms, dinoflagellates, and early stages of brown algae) and cyanobacteria at both sites, but favoured green algae and bare substratum in Fildes Bay and Strait of Magellan, respectively. These results suggest that different mechanisms, such as negative density dependence and resource partitioning, can lead to similar grazing controls of the productivity of Antarctic and sub-Antarctic periphyton communities. Herbivory should be incorporated as a local biotic filter into a comprehensive model of community structure and functioning for these ecosystems.</t>
  </si>
  <si>
    <t>[Valdivia, Nelson; Pardo, Luis M.; Huovinen, Pirjo; Gomez, Ivan] Univ Austral Chile, Fac Ciencias, Inst Ciencias Marinas &amp; Limnol, Campus Isla Teja, Valdivia, Chile; [Valdivia, Nelson; Pardo, Luis M.; Macaya, Erasmo C.; Huovinen, Pirjo; Gomez, Ivan] Ctr FONDAP Invest Dinam Ecosistemas Marinos Altas, Valdivia, Chile; [Macaya, Erasmo C.] Univ Concepcion, Dept Oceanog, Lab Estudios Algales ALGALAB, Concepcion, Chile; [Macaya, Erasmo C.] Nucleo Milenio Ecol &amp; Manejo Sustentable Islas Oc, Coquimbo, Chile</t>
  </si>
  <si>
    <t>Universidad Austral de Chile; Universidad de Concepcion</t>
  </si>
  <si>
    <t>Valdivia, N (corresponding author), Univ Austral Chile, Fac Ciencias, Inst Ciencias Marinas &amp; Limnol, Campus Isla Teja, Valdivia, Chile.</t>
  </si>
  <si>
    <t>nelson.valdivia@uach.cl</t>
  </si>
  <si>
    <t>Macaya, Erasmo C/B-8651-2011; Pardo, L M/A-3178-2008; Valdivia, Nelson/C-3613-2009</t>
  </si>
  <si>
    <t>Pardo, Luis Miguel/0000-0002-8179-5057; Valdivia, Nelson/0000-0002-5394-2072; Gomez, Ivan/0000-0001-8381-3792; Huovinen, Pirjo/0000-0002-7754-4933; Macaya, Erasmo C./0000-0002-9878-483X</t>
  </si>
  <si>
    <t>FONDAP, Centro de Investigacion en Dinamica de Ecosistemas Marinos de Altas Latitudes (IDEAL) [15150003]; FONDECYT [1161129, 1141037]</t>
  </si>
  <si>
    <t>FONDAP, Centro de Investigacion en Dinamica de Ecosistemas Marinos de Altas Latitudes (IDEAL); FONDECYT(Comision Nacional de Investigacion Cientifica y Tecnologica (CONICYT)CONICYT FONDECYT)</t>
  </si>
  <si>
    <t>This study was financially supported by FONDAP grant #15150003, Centro de Investigacion en Dinamica de Ecosistemas Marinos de Altas Latitudes (IDEAL). While writing, NV was supported by FONDECYT grant #1141037. IG and PH acknowledge support from FONDECYT grant #1161129. Danielle Barriga improved the English style of an early version of the manuscript. We thank Dayane Yolette Osman and Juan Pablo Rodriguez for laboratory and field support. Stephen Hawkins and an anonymous reviewer provided insightful comments that improved a previous version of this manuscript.</t>
  </si>
  <si>
    <t>1873-4472</t>
  </si>
  <si>
    <t>10.1016/j.pocean.2018.01.008</t>
  </si>
  <si>
    <t>ID0HI</t>
  </si>
  <si>
    <t>WOS:000471364200002</t>
  </si>
  <si>
    <t>Gómez, I; Navarro, NP; Huovinen, P</t>
  </si>
  <si>
    <t>Gomez, Ivan; Navarro, Nelso P.; Huovinen, Pirjo</t>
  </si>
  <si>
    <t>Bio-optical and physiological patterns in Antarctic seaweeds: A functional trait based approach to characterize vertical zonation</t>
  </si>
  <si>
    <t>KING GEORGE ISLAND; ULTRAVIOLET-RADIATION; PLANT TRAITS; THALLUS MORPHOLOGY; MARINE MACROALGAE; LIGHT-ABSORPTION; UV-RADIATION; ROSS SEA; COMMUNITY; PHOTOSYNTHESIS</t>
  </si>
  <si>
    <t>A suite of photosynthetic and bio-optical properties of 29 Antarctic seaweeds from Fildes Bay, King George Island, were studied in order to address the question whether their different functional traits, grouped according to gross morphology, bathymetric distribution, taxonomic category and biogeographic affinity, can explain the observed patterns of vertical distribution and relevant ecosystems services. Based on PCA analysis light requirements for photosynthesis (E-k), thallus absorptance and thickness, photosynthetic efficiency (alpha) and tolerance to stress (UV and temperature) were the traits with the highest predictive value for vertical distribution of the studied Antarctic algae. In this context, the set of bio-optical traits were strongly related with a morphological adaptation to use the available light at different wavelengths at different depths: thick leathery and coarsely branched morphs, mostly red and brown algae, were well equipped to absorb the impoverished light field at deeper locations (lowest E-k values close to 36 mu mot m(-2) s(-1)), while sheet-like algae, especially green algae showed lower absorption at wavelengths that are rapidly attenuated with depth (highest ER values of 260 mu mol m(-2) s(-1)). The studied algae showed high tolerance to stress measured in short-term exposures to UV radiation and enhanced temperature (7 degrees C). The stress tolerance was independent of gross morphology, while greatest differences were found along depth gradient and between algae of different biogeographic affinity. The studied traits were highly interlinked in terms of photosynthetic and bio-optical properties. Our trait based framework defined three major clusters of species: (1) delicate (filamentous and sheet-like) green algae, living mostly in the intertidal zone and with wide geographic distribution; (2) thick leathery Rhodophyta with Antarctic-Subantarctic origin, found mostly at shallow-subtidal locations; and (3) endemic Antarctic brown algae with thick morphology inhabiting the lower subtidal zone. Overall, these results highlight the importance of morpho-functional traits of macroalgae in explaining their distribution across a depth gradient and provide insights into their potential to endure a changing polar environment. This is relevant in Antarctic marine ecology as macroalgae underpin the biogeochemical processes at coastal ecosystems.</t>
  </si>
  <si>
    <t>[Gomez, Ivan; Huovinen, Pirjo] Univ Austral Chile, Inst Ciencias Marinas &amp; Limnol, Valdivia, Chile; [Navarro, Nelso P.] Univ Magallanes, Fac Ciencias, Punta Arenas, Chile; [Gomez, Ivan; Navarro, Nelso P.; Huovinen, Pirjo] Ctr FONDAP Invest Dinam Ecosistemas Marinos Altas, Campus Isla Teja, Valdivia, Chile</t>
  </si>
  <si>
    <t>Universidad Austral de Chile; Universidad de Magallanes</t>
  </si>
  <si>
    <t>Gómez, I (corresponding author), Univ Austral Chile, Inst Ciencias Marinas &amp; Limnol, Valdivia, Chile.</t>
  </si>
  <si>
    <t>igomezo@uach.cl</t>
  </si>
  <si>
    <t>徐, 文静/HHN-3493-2022</t>
  </si>
  <si>
    <t>Gomez, Ivan/0000-0001-8381-3792; Huovinen, Pirjo/0000-0002-7754-4933</t>
  </si>
  <si>
    <t>CONICYT-Chile: Fondecyt [1161129, 11160520]; CONICYT-Chile: PIA-Conicyt Anillo [ART1101]; CONICYT-Chile: Centro Fondap-IDEAL [15150003]</t>
  </si>
  <si>
    <t>CONICYT-Chile: Fondecyt(Comision Nacional de Investigacion Cientifica y Tecnologica (CONICYT)CONICYT FONDECYT); CONICYT-Chile: PIA-Conicyt Anillo; CONICYT-Chile: Centro Fondap-IDEAL</t>
  </si>
  <si>
    <t>The study was funded by the Grants from CONICYT-Chile: Fondecyt 1161129, Fondecyt 11160520, PIA-Conicyt Anillo ART1101 and Centro Fondap-IDEAL 15150003. The logistical support provided by the Institute Antartico Chileno (INACh) and the staff of Base Julio Escudero Station in the Antarctic is greatly acknowledged. The authors also thank the scuba divers M.J. Diaz and I. Garrido for sampling of subtidal algae and A. Gonzalez for technical assistance.</t>
  </si>
  <si>
    <t>10.1016/j.pocean.2018.03.013</t>
  </si>
  <si>
    <t>WOS:000471364200003</t>
  </si>
  <si>
    <t>Navarro, NP; Huovinen, P; Gómez, I</t>
  </si>
  <si>
    <t>Navarro, Nelso P.; Huovinen, Pirjo; Gomez, Ivan</t>
  </si>
  <si>
    <t>Photosynthetic characteristics of geographically disjunct seaweeds: A case study on the early life stages of Antarctic and Subantarctic species</t>
  </si>
  <si>
    <t>AMPHI-ATLANTIC ALGAE; TEMPERATURE REQUIREMENTS; FURCELLARIA-LUMBRICALIS; ULTRAVIOLET-RADIATION; THERMAL ECOTYPES; UV-RADIATION; RED ALGAE; LIGHT; SUSCEPTIBILITY; MACROALGAE</t>
  </si>
  <si>
    <t>Propagules of geographically separated seaweeds distributed in both site of Antarctic Circumpolar Current are expected to show different light and temperature acclimation in order to cope with environmental condition in both Antarctic and Subantarctic regions. The objectives of this study were: (1) to compare the photosynthetic performance (rETR(max), E-k, and alpha(ETR)) of propagules of conspecific (Iridaea cordata and Adenocystis utricularis) and congeneric (Pyropia sp. and Monostroma sp.) seaweeds from Magellan strait (Subantarctic region) and King Gorge Island (Antarctica) using in vivo chlorophyll fluorescence techniques; and (2) to determine the physiological responses (measured by rapid adjustment of photochemistry, F-v/F-m) of tetraspores of L cordata from populations of both sites when exposed in laboratory to UV radiation. Differences in photosynthetic characteristics between propagules were observed in L cordata and Monostroma sp. while L cordata tetraspores from Subantarctic populations showed high light demands (E-k = 150 mu mol photon m (-2) s(-1)) when compared to those from Antarctic populations (E-k = 50 mu mol photon m(-2) s(-1)). Antarctic Monostroma sp. gametes exhibited higher E-k (300 mu mol photon M-2 s(-1)) than those of Subantarctic populations (130 mu mol photon m(-2) s(-1)). Antarctic tetraspores of I. cordata shown low inhibition in F-v/F-m (&lt; 10%) after a 4-h exposure at 2 degrees C, while spores from Subantarctic population were more sensitive (&gt; 60% inhibition) under similar exposure conditions. Similar as for other cold-temperate species, these differences appear to underlie biogeographical and evolutionary elements: in I. cordata, spores from Antarctica are more tolerant to UV at low temperatures than those from Subantarctic regions, but when exposed to increased temperature the detrimental effects of stress in tetraspores from both Antarctic and Subantarctic populations were ameliorated. This differential photosynthetic response to low temperature and light among algae with Antarctic and Subantarctic disjunction is an important ecophysiological attribute that can be associated with adaptations at a genetic level reported previously for some of these populations.</t>
  </si>
  <si>
    <t>[Navarro, Nelso P.] Univ Magallanes, LEBA, Punta Arenas, Chile; [Huovinen, Pirjo; Gomez, Ivan] Univ Austral Chile, Inst Ciencias Marinas &amp; Limnol, Valdivia, Chile; [Navarro, Nelso P.; Huovinen, Pirjo; Gomez, Ivan] Ctr FONDAP Invest Ecosistemas Marinos Altas Latit, Valdivia, Chile</t>
  </si>
  <si>
    <t>Universidad de Magallanes; Universidad Austral de Chile</t>
  </si>
  <si>
    <t>Navarro, NP (corresponding author), Univ Magallanes, LEBA, Punta Arenas, Chile.</t>
  </si>
  <si>
    <t>nelso.navarro@umag.cl</t>
  </si>
  <si>
    <t>CONICYT-Chile: Fondecyt Iniciacion [11160520]; CONICYT-Chile: Anillo [ART1101]; CONICYT-Chile: Centro Fondap-IDEAL [15150003]</t>
  </si>
  <si>
    <t>CONICYT-Chile: Fondecyt Iniciacion; CONICYT-Chile: Anillo(Comision Nacional de Investigacion Cientifica y Tecnologica (CONICYT)CONICYT PIA/ANILLOS); CONICYT-Chile: Centro Fondap-IDEAL</t>
  </si>
  <si>
    <t>The study was funded by Grants from CONICYT-Chile: Fondecyt Iniciacion No. 11160520; Anillo ART1101 and Centro Fondap-IDEAL 15150003. The logistical support provided by the Instituto Antartico Chileno (INACh) and the staff of Base Julio Escudero Station in the Antarctic is greatly acknowledged. The authors also thank Alex Gonzalez, Jocelyn Jofre and Jaime Ramirez for technical assistance and Erasmo Macaya who provided photographs of Antarctic seaweeds species (Fig. 1D, F, H).</t>
  </si>
  <si>
    <t>10.1016/j.pocean.2018.11.001</t>
  </si>
  <si>
    <t>WOS:000471364200004</t>
  </si>
  <si>
    <t>Navarro, JM; Paschke, K; Ortiz, A; Vargas-Chacoff, L; Pardo, LM; Valdivia, N</t>
  </si>
  <si>
    <t>Navarro, Jorge M.; Paschke, Kurt; Ortiz, Alejandro; Vargas-Chacoff, Luis; Miguel Pardo, Luis; Valdivia, Nelson</t>
  </si>
  <si>
    <t>The Antarctic fish Harpagifer antarcticus under current temperatures and salinities and future scenarios of climate change</t>
  </si>
  <si>
    <t>Warming; Salinity decrease; Harpagifer; Physiology; Antarctic; Magellan Region; Climate change</t>
  </si>
  <si>
    <t>THERMAL TOLERANCE; LIMITS; RATES; WATER; METABOLISM; RELEVANCE; ECOLOGY; GROWTH; LIFE</t>
  </si>
  <si>
    <t>Antarctic coasts are highly vulnerable environments where temperature have remained very constant along millions of years. These unique environmental conditions have generated a large number of stenoic species that could be highly sensitive to future scenarios of climate change. We investigated the separate and interactive effects of increasing seawater temperature and decreasing salinity on the physiological performance of the notothenioid fish, Harpagifer antarcticus. Adult individuals were exposed to an orthogonal combination of five temperatures (2, 5, 8, 11, 14 degrees C) and three salinities (23, 28, 33 psu) for a 10-day period. A drastic increment in mortality was observed with seawater warming; the pattern in response to lower salinity was less clear. No fish died at the two lowest temperatures (2 and 5 degrees C); however, mortality increased significantly at the two highest temperatures across the salinity treatments (33.3% at 11 degrees C; 93.3% at 14 degrees C). No data were obtained at 14 degrees C that could be included in the physiological analyses. Ingestion and absorption rates were significantly affected by temperature and salinity, but not by the interaction of the two. Finally, we observed a negative effect of temperature but not of salinity or the interaction of both on the scope for growth of H. antarcticus. These results suggest that this species could cope with a moderate temperature increase (5 degrees C) in the Antarctic. However, the higher metabolic rates observed at 8 and 11 degrees C are associated with conditions beyond the natural thermal window of this species, representing a disadvantage in the face of climate change. Therefore, and even in the hypothetical case that H. antarcticus were able to disperse to sub-Antarctic areas such as the Magellan Region, current and projected scenarios of seawater temperatures might be unsuitable for the development of effective populations of this species. The results confirm the stenothermal nature of H. antarcticus, considering its high vulnerability to environmental changes and its limited ability to cope with the more severe global warming models projected for the Antarctic and Magellan regions for the end of the century (mainly temperature).</t>
  </si>
  <si>
    <t>[Navarro, Jorge M.; Ortiz, Alejandro; Vargas-Chacoff, Luis; Miguel Pardo, Luis; Valdivia, Nelson] Univ Austral Chile, Inst Ciencias Marinas &amp; Limnol, Valdivia, Chile; [Navarro, Jorge M.; Paschke, Kurt; Ortiz, Alejandro; Vargas-Chacoff, Luis; Miguel Pardo, Luis; Valdivia, Nelson] Univ Austral Chile, Ctr Fondap Invest Altas Latitudes Fondap IDEAL, Valdivia, Chile; [Paschke, Kurt] Univ Austral Chile, Inst Acuicultura, Puerto Montt, Chile</t>
  </si>
  <si>
    <t>Universidad Austral de Chile; Universidad Austral de Chile; Universidad Austral de Chile</t>
  </si>
  <si>
    <t>Navarro, JM (corresponding author), Univ Austral Chile, Inst Ciencias Marinas &amp; Limnol, Valdivia, Chile.</t>
  </si>
  <si>
    <t>jnavarro@uach.cl</t>
  </si>
  <si>
    <t>Pardo, L M/A-3178-2008; Vargas-Chacoff, Luis LVCh/A-5855-2012; Valdivia, Nelson/C-3613-2009</t>
  </si>
  <si>
    <t>ORTIZ, ALEJANDRO/0000-0001-5413-0503; Valdivia, Nelson/0000-0002-5394-2072; Vargas-Chacoff, Luis/0000-0002-0497-2582; Pardo, Luis Miguel/0000-0002-8179-5057</t>
  </si>
  <si>
    <t>Center FONDAP - IDEAL, CONICYT - CHILE [15150003]; FONDECYT [1161420, 1181300, 1161699]</t>
  </si>
  <si>
    <t>Center FONDAP - IDEAL, CONICYT - CHILE; FONDECYT(Comision Nacional de Investigacion Cientifica y Tecnologica (CONICYT)CONICYT FONDECYT)</t>
  </si>
  <si>
    <t>Thanks to the Instituto Antartico Chileno (INACh) for their logistic support during the experiments at the Base Profesor Julio Escudero, Antarctica, Chile. Funding was provided by Center FONDAP - IDEAL, CONICYT - CHILE (Grant 15150003). While writing JMN was financially supported by FONDECYT grant 1161420 and NV by FONDECYT grants 1181300 and 1161699.</t>
  </si>
  <si>
    <t>10.1016/j.pocean.2018.09.001</t>
  </si>
  <si>
    <t>WOS:000471364200005</t>
  </si>
  <si>
    <t>Zenteno, L; Cárdenas, L; Valdivia, N; Gomez, I; Höfer, J; Garrido, I; Pardo, LM</t>
  </si>
  <si>
    <t>Zenteno, L.; Cardenas, L.; Valdivia, N.; Gomez, I; Hofer, J.; Garrido, I; Pardo, L. M.</t>
  </si>
  <si>
    <t>Unraveling the multiple bottom-up supplies of an Antarctic nearshore benthic community</t>
  </si>
  <si>
    <t>Maxwell Bay; Trophic ecology; Ecosystem stability; Food web; Polar; Isotopic analysis; Western Antarctic Peninsula; Benthos</t>
  </si>
  <si>
    <t>KING-GEORGE-ISLAND; SOUTH-SHETLAND ISLANDS; STABLE-ISOTOPE RATIOS; FOOD-WEB; FEEDING ECOLOGY; TROPHIC RELATIONSHIPS; DELTA-C-13 MEASUREMENTS; CARBON ISOTOPES; POTTER COVE; MARINE</t>
  </si>
  <si>
    <t>Disentangling the bottom-up controls of natural ecosystems is key to understanding the capacity of local communities to resist natural and anthropogenic disturbances. Here, we used carbon and nitrogen stable isotope ratios with a Bayesian multiple source mixing model to trace diverse food sources supporting the benthic trophic network in Fildes Bay (South Shetland Island, Western Antarctic Peninsula). Individuals of 16 species of consumers and five potential food sources (e.g. inter- and subtidal macroalgae, suspended and sinking particulate organic matter, and particulate organic matter from sediment) were collected during January and February 2017. The results showed that benthic organisms of Fildes Bay assimilate a broad range of available organic matter: most of the energy channeled to upper trophic consumers comes from organic matter in the surface sediment, whereas energy moving among lower trophic consumers comes largely from macroalgae and pelagic primary food sources. Overall, our evidence indicates that the present-day nearshore benthic community of Fildes Bay relies on different primary food sources, channeling bottom-up supplies through multiple pathways, which leads to highly stable systems in the face of current scenarios of global change.</t>
  </si>
  <si>
    <t>[Zenteno, L.; Valdivia, N.; Gomez, I; Hofer, J.; Garrido, I; Pardo, L. M.] Univ Austral Chile, Fac Ciencias, Inst Ciencias Marinas &amp; Limnol, Valdivia, Chile; [Cardenas, L.] Univ Austral Chile, Fac Ciencias, Inst Ciencias Ambientales &amp; Evolut, Valdivia, Chile; [Zenteno, L.; Cardenas, L.; Valdivia, N.; Gomez, I; Hofer, J.; Garrido, I; Pardo, L. M.] Ctr Invest Dinam Ecosistemas Marinos Altas Latitu, Valdivia, Chile; [Garrido, I] Univ Laval, Fac Sci &amp; Genie, Dept Biol, Quebec City, PQ, Canada; [Garrido, I] Univ Laval, Fac Sci &amp; Genie, Quebec Ocean, Quebec City, PQ, Canada</t>
  </si>
  <si>
    <t>Universidad Austral de Chile; Universidad Austral de Chile; Laval University; Laval University</t>
  </si>
  <si>
    <t>Zenteno, L; Pardo, LM (corresponding author), Univ Austral Chile, Fac Ciencias, Inst Ciencias Marinas &amp; Limnol, Valdivia, Chile.</t>
  </si>
  <si>
    <t>lisette.zenteno@uach.cl; luispardo@uach.cl</t>
  </si>
  <si>
    <t>Pardo, L M/A-3178-2008; Zenteno-Devaud, Lisette/HGB-2633-2022; Cardenas, Leyla/AAY-5671-2020; Valdivia, Nelson/C-3613-2009</t>
  </si>
  <si>
    <t>Zenteno-Devaud, Lisette/0000-0002-1619-911X; Cardenas, Leyla/0000-0003-0676-6704; Hofer, Juan/0000-0002-5887-4929; Valdivia, Nelson/0000-0002-5394-2072; Pardo, Luis Miguel/0000-0002-8179-5057; Gomez, Ivan/0000-0001-8381-3792</t>
  </si>
  <si>
    <t>INACH [RG 20-16]; Fondecyt [1161129]; FONDAP IDEAL [15150003]</t>
  </si>
  <si>
    <t>INACH; Fondecyt(Comision Nacional de Investigacion Cientifica y Tecnologica (CONICYT)CONICYT FONDECYT); FONDAP IDEAL</t>
  </si>
  <si>
    <t>The authors acknowledge financial support from the grants INACH RG 20-16, Fondecyt 1161129, and FONDAP IDEAL 15150003. Thanks to Paulina Bruning, Mateo Caceres, Hans Bartsch, and Bastian Garrido for field assistance: both diving and laboratory work. Logistical support provided by the Institute Antartico Chileno (INACh) and the staff of Base Julio Escudero Station, King George Island, is greatly appreciated. The studies in the Antarctic were carried out under permission granted by INACh in accordance with the Protocol on Environmental Protection to the Antarctic Treaty. The study did not involve Antarctic Specially Protected Areas (ASPAs), nor sampling of protected or endangered species.</t>
  </si>
  <si>
    <t>10.1016/j.pocean.2018.10.016</t>
  </si>
  <si>
    <t>WOS:000471364200007</t>
  </si>
  <si>
    <t>Yang, EJ; Lee, Y; Lee, S</t>
  </si>
  <si>
    <t>Yang, Eun Jin; Lee, Youngju; Lee, SangHoon</t>
  </si>
  <si>
    <t>Trophic interactions of micro- and mesozooplankton in the Amundsen Sea polynya and adjacent sea ice zone during austral late summer</t>
  </si>
  <si>
    <t>Microzooplankton; Copepod; Krill larvae; Grazing; Amundsen Sea polynya</t>
  </si>
  <si>
    <t>KRILL EUPHAUSIA-CRYSTALLOROPHIAS; PHAEOCYSTIS SP BLOOM; COMMUNITY STRUCTURE; GRAZING IMPACT; MICROZOOPLANKTON HERBIVORY; PHYTOPLANKTON COMMUNITY; CALANUS-FINMARCHICUS; BELLINGSHAUSEN-SEA; ANTARCTIC COPEPODS; COASTAL POLYNYA</t>
  </si>
  <si>
    <t>To elucidate the trophic link between micro- and mesozooplankton in the Amundsen Sea polynya (ASP) and adjacent sea ice zone, we estimated the impact of microzooplankton grazing on major phytoplankton groups, as well as the diet composition, ingestion rate, and prey selectivity of two copepods and Euphausia crystallorophias larvae on microbial communities during the late summer. Phaeocystis antarctica, which was ingested by micro-and mesozooplankton, comprised most phytoplankton biomass. Herbivorous microzooplankton consumed at least half of the phytoplankton production, but the microzooplankton grazing may not contribute strongly to the decline of the phytoplankton bloom. Three mesozooplankton species (Calanoides acutus, Metridia gerlachei, and E. crystallorophias larvae) preferentially grazed on ciliates and heterotrophic dinoflagellates (HDF) with sizes from 20 to &gt; 100 mu m over phytoplankton. Although microzooplankton comprised only an average of 41.7 +/- 3.2% of the total carbon available in the natural prey pool, they accounted for an average of 75.4 +/- 2.9% of total carbon ingested by copepods and krill larvae. Heterotrophic food sources made up a substantial proportion of mesozooplankton diets, with strong positive selection for microzooplankton at most locations regardless of phytoplankton size and type. In particular, HDF comprised the major dietary component of mesozooplankton in the study area. The presence of mesozooplankton reduced the grazing pressure on P. antarctica and diatoms through predation on herbivorous microzooplankton. Approximately half of the primary production capacity may have indirectly reached mesozooplankton through microzooplankton consumption. Thus, strongly selective feeding behavior and higher grazing pressure on microzooplankton indicated the importance of microheterotrophic pathways through strong trophic coupling between mesozooplankton and the microbial food web during the decline of phytoplankton bloom. In the highly productive ASP system, food web structure can be classified as multivorous, whereby herbivorous and omnivorous modes both play significant roles in carbon export, enhancing the efficiency of the pelagic food web.</t>
  </si>
  <si>
    <t>[Yang, Eun Jin; Lee, Youngju; Lee, SangHoon] Korea Polar Res Inst, Div Polar Ocean Sci, 26 Songdomirae Ro, Incheon 21990, South Korea</t>
  </si>
  <si>
    <t>Yang, EJ (corresponding author), Korea Polar Res Inst, Div Polar Ocean Sci, 26 Songdomirae Ro, Incheon 21990, South Korea.</t>
  </si>
  <si>
    <t>ejyang@kopri.re.kr</t>
  </si>
  <si>
    <t>Yang, Eun Jin/0000-0002-8639-5968</t>
  </si>
  <si>
    <t>Korea Polar Research Institute, South Korea (KOPRI) [PE18060]</t>
  </si>
  <si>
    <t>Korea Polar Research Institute, South Korea (KOPRI)</t>
  </si>
  <si>
    <t>The authors thank the captain and crew of the IBRV ARAON who were most helpful in all shipboard operations. This research was supported by the Korea Polar Research Institute, South Korea (KOPRI grants; PE18060).</t>
  </si>
  <si>
    <t>10.1016/j.pocean.2018.12.003</t>
  </si>
  <si>
    <t>WOS:000471364200012</t>
  </si>
  <si>
    <t>Piñones, A; Hofmann, EE; Costa, DP; Goetz, K; Burns, JM; Roquet, F; Dinniman, MS; Klinck, JM</t>
  </si>
  <si>
    <t>Pinones, Andrea; Hofmann, Eileen E.; Costa, Daniel P.; Goetz, Kimberly; Burns, Jennifer M.; Roquet, Fabien; Dinniman, Michael S.; Klinck, John M.</t>
  </si>
  <si>
    <t>Hydrographic variability along the inner and mid-shelf region of the western Ross Sea obtained using instrumented seals</t>
  </si>
  <si>
    <t>Ross Sea; Seal satellite tags; Wind variability; Density gradients; Heat content</t>
  </si>
  <si>
    <t>PENINSULA CONTINENTAL-SHELF; SOUTHERN-OCEAN; LEPTONYCHOTES-WEDDELLII; DIVING BEHAVIOR; ICE SHELF; CIRCULATION; WINDS; MOVEMENTS; PREDATOR; TRENDS</t>
  </si>
  <si>
    <t>Temperature and salinity measurements obtained from sensors deployed on Weddell seals (Leptonychotes weddellii) between late austral summer and the following spring for 2010-2012 were used to describe the temporal and spatial variability of hydrographic conditions in the western Ross Sea, with particular emphasis on the inner-shelf region off Victoria Land and McMurdo Sound. Potential temperature-salinity diagrams constructed for regions where the seals remained for extended periods showed four water masses on the continental shelf: Modified Circumpolar Deep Water, Antarctic Surface Water, Shelf Water and Modified Shelf Water. Depth-time distributions of potential density and buoyancy frequency showed the erosion of the upper water column stratification associated with the transition from summer to fall/winter conditions. The within-year and interannual variability associated with this transition was related to wind speed. Changes in upper water column density were positively correlated with cross-shelf wind speeds &gt; 5.5 m s(-1) with a 3-4 day lag. A range of wind speeds was required to erode the density structure because of different levels of stratification in each year. A comparison of wind mixing potential versus stratification (Wedderburn number) showed that synoptic scale wind events during 2012 with speeds of 5.5 and 6.5 m s(-1) were needed to erode the summer stratification for Ross Island and Victoria Land regions, respectively. Stronger winds ( &gt; 8.5 m s(-1) ) were required during 2010 and 2011. The interannual variability in total heat content accumulated during summer (about 20%) was related to the duration of open water, with the largest heat content occurring in 2012, which was characterized by a summer sea ice minimum stronger than other years and relatively higher mCDW influence over the mid and outer-shelf regions. The heat content was lost after mid-April and reached a minimum in winter as a result of deep winter convection. The quantitative analysis of hydrographic variability of the inner-shelf region of the western Ross Sea obtained from the seal-derived measurements provides a baseline for assessing future changes.</t>
  </si>
  <si>
    <t>[Pinones, Andrea] Univ Austral Chile, Inst Ciencias Marinas &amp; Limnol, Valdivia, Chile; [Pinones, Andrea] Univ Austral Chile, Ctr FONDAP Invest Dinam Ecosistemas Marinos Altas, Valdivia, Chile; [Pinones, Andrea] Univ Concepcion, Ctr Invest Oceanog COPAS AS Sur Austral, Concepcion, Chile; [Hofmann, Eileen E.; Dinniman, Michael S.; Klinck, John M.] Old Dominion Univ, Ctr Coastal Phys Oceanog, Norfolk, VA USA; [Costa, Daniel P.] Univ Calif Santa Cruz, Dept Ecol &amp; Evolutionary Biol, Santa Cruz, CA 95064 USA; [Goetz, Kimberly] Natl Inst Water &amp; Atmospher Res NIWA, Newmarket, New Zealand; [Burns, Jennifer M.] Univ Alaska Anchorage, Dept Biol Sci, Anchorage, AK USA; [Roquet, Fabien] Univ Gothenburg, Dept Marine Sci, Gothenburg, Sweden</t>
  </si>
  <si>
    <t>Universidad Austral de Chile; Universidad Austral de Chile; Universidad de Concepcion; Old Dominion University; University of California System; University of California Santa Cruz; University of Alaska System; University of Alaska Anchorage; University of Gothenburg</t>
  </si>
  <si>
    <t>Piñones, A (corresponding author), Univ Austral Chile, Inst Ciencias Marinas &amp; Limnol, Valdivia, Chile.</t>
  </si>
  <si>
    <t>andrea.pinones@uach.cl</t>
  </si>
  <si>
    <t>Goetz, Kimberly/AID-8232-2022; Roquet, Fabien/D-4848-2013; Burns, Jennifer/AAC-8243-2019</t>
  </si>
  <si>
    <t>Burns, Jennifer/0000-0001-9652-2943; Klinck, John/0000-0003-4312-5201; Roquet, Fabien/0000-0003-1124-4564; Pinones, Andrea/0000-0002-1737-9016; Dinniman, Michael/0000-0001-7519-9278</t>
  </si>
  <si>
    <t>National Science Foundation [ANT-0944174, ANT-0838911, ANT-0838892, ANT-0838937]; CONICYT/Chile through the Program FONDAP [15150003]; CONICYT/Chile through PAI Project [79160077]</t>
  </si>
  <si>
    <t>National Science Foundation(National Science Foundation (NSF)); CONICYT/Chile through the Program FONDAP; CONICYT/Chile through PAI Project</t>
  </si>
  <si>
    <t>This study was supported by the National Science Foundation Grants ANT-0944174 (to EEH, JMK, MSD), ANT-0838911 (to EEH), ANT-0838892 (to DCP), and ANT-0838937 (to JMB). The U.S. National Science Foundation through the U.S. Antarctic Program provided logistical support for this project in Antarctica. A. Pffiones also acknowledges support from CONICYT/Chile through the Program FONDAP, Project 15150003 and PAI Project 79160077. JMB contributed to this work while serving at the National Science Foundation. Any opinion, findings, and conclusions or recommendations expressed in this material are those of the author(s) and do not necessarily reflect the views of the National Science Foundation. We thank Laurie Padman and one anonymous reviewer for insightful and helpful comments and suggestions on an earlier and this version of this manuscript.</t>
  </si>
  <si>
    <t>10.1016/j.pocean.2019.01.003</t>
  </si>
  <si>
    <t>WOS:000471364200013</t>
  </si>
  <si>
    <t>Mitani, K; Seki, K; Keika, K; Gkioulidou, M; Lanzerotti, LJ; Mitchell, DG; Kletzing, CA; Yoshikawa, A; Obana, Y</t>
  </si>
  <si>
    <t>Mitani, K.; Seki, K.; Keika, K.; Gkioulidou, M.; Lanzerotti, L. J.; Mitchell, D. G.; Kletzing, C. A.; Yoshikawa, A.; Obana, Y.</t>
  </si>
  <si>
    <t>Statistical Study of Selective Oxygen Increase in High-Energy Ring Current Ions During Magnetic Storms</t>
  </si>
  <si>
    <t>INNER MAGNETOSPHERE; TRANSPORT; MODEL; DEPENDENCE; DENSITY; ORIGIN; O+</t>
  </si>
  <si>
    <t>Ion transport from the plasma sheet to the ring current is the main cause of the development of the ring current. Energetic (&gt;150 keV) ring current ions are known to be transported diffusively in several days. A recent study suggested that energetic oxygen ions are transported closer to the Earth than protons due to the diffusive transport caused by a combination of the drift and drift-bounce resonances with Pc 3-5 ultralow frequency waves during the 24 April 2013 magnetic storm. To understand the occurrence conditions of such selective oxygen increase (SOI), we investigate the phase space densities (PSDs) between protons and oxygen ions with the first adiabatic invariants (mu) of 0.1-2.0 keV/nT measured by the Radiation Belt Storm Probes Ion Composition Experiment instrument on the Van Allen Probes at L similar to 3-6 during 90 magnetic storms in 2013-2017. We identified the SOI events in which oxygen PSDs increase while proton PSDs do not increase during a period of similar to 9 hr (one orbital period). Among the 90 magnetic storms, 33% were accompanied by the SOI events. Global enhancements of Pc 4 and Pc 5 waves observed by ground magnetometers during the SOI events suggest that radial transport due to combination of the drift-bounce resonance with Pc 4 oscillations and the drift resonance with Pc 5 oscillations can be the cause of SOIs. The contribution of the SOI events to the magnetic storm intensity is roughly estimated to be similar to 9% on average.</t>
  </si>
  <si>
    <t>[Mitani, K.] Nagoya Univ, Inst Space Hann Environm Res, Nagoya, Aichi, Japan; [Mitani, K.; Seki, K.; Keika, K.] Univ Tokyo, Dept Earth &amp; Planetary Sci, Tokyo, Japan; [Gkioulidou, M.; Mitchell, D. G.] Johns Hopkins Univ, Appl Phys Lab, Laurel, MD USA; [Lanzerotti, L. J.] New Jersey Inst Technol, Ctr Solar Terr Res, Newark, NJ 07102 USA; [Kletzing, C. A.] Univ Iowa, Dept Phys &amp; Astron, Iowa City, IA 52242 USA; [Yoshikawa, A.] Kyushu Univ, Dept Earth &amp; Planetary Sci, Fukuoka, Fukuoka, Japan; [Obana, Y.] Osaka Electrocommun Univ, Dept Engn Sci, Neyagawa, Osaka, Japan</t>
  </si>
  <si>
    <t>Nagoya University; University of Tokyo; Johns Hopkins University; Johns Hopkins University Applied Physics Laboratory; New Jersey Institute of Technology; University of Iowa; Kyushu University; Osaka Electro-Communication University</t>
  </si>
  <si>
    <t>Seki, K (corresponding author), Univ Tokyo, Dept Earth &amp; Planetary Sci, Tokyo, Japan.</t>
  </si>
  <si>
    <t>k.seki@eps.s.u-tokyo.ac.jp</t>
  </si>
  <si>
    <t>Gkioulidou, Matina/G-9009-2015; Mitchell, Donald G/H-4601-2016</t>
  </si>
  <si>
    <t>Gkioulidou, Matina/0000-0001-9979-2164; Mitchell, Donald G/0000-0003-1960-2119; Obana, Yuki/0000-0002-7291-3648; Seki, Kanako/0000-0001-5557-9062; Mitani (san gu), Kenji (xian si)/0000-0002-1238-0050; Kletzing, Craig/0000-0002-4136-3348; Keika, Kunihiro/0000-0003-0265-4318</t>
  </si>
  <si>
    <t>Japan Society for the Promotion of Science (JSPS) [16H06286, 16H02229]; Nagoya University Program for Leading Graduate Schools of Leadership Development Program for Space Exploration and Research from JSPS; ISEE/Nagoya University; JHU/APL [937836, NAS5-01072]; JHU/APL under NASA [NAS5-01072, 921647]; NASA [NAS5-02099]; NSF [AGS-1004814, ATM-0245139]; Canadian Space Agency</t>
  </si>
  <si>
    <t>Japan Society for the Promotion of Science (JSPS)(Ministry of Education, Culture, Sports, Science and Technology, Japan (MEXT)Japan Society for the Promotion of Science); Nagoya University Program for Leading Graduate Schools of Leadership Development Program for Space Exploration and Research from JSPS; ISEE/Nagoya University; JHU/APL; JHU/APL under NASA; NASA(National Aeronautics &amp; Space Administration (NASA)); NSF(National Science Foundation (NSF)); Canadian Space Agency(Canadian Space Agency)</t>
  </si>
  <si>
    <t>This work was supported by Grant-in-Aid for Scientific Research 16H06286 and 16H02229 by Japan Society for the Promotion of Science (JSPS). K. Mitani is supported by a research fellowship of Nagoya University Program for Leading Graduate Schools of Leadership Development Program for Space Exploration and Research from JSPS. This work was also supported by a general joint research (PI: K. Seki) under ISEE/Nagoya University collaborative research program. The RBSPICE instrument was supported by JHU/APL Subcontract 937836 to the New Jersey Institute of Technology under NASA Prime Contract NAS5-01072. The EMFISIS instrument was supported on JHU/APL Contract 921647 under NASA Prime Contract NAS5-01072. All Van Allen Probes data used are publicly available at http://rbspice.ftecs.com/Data.html for RBSPICE and http://emfisis.physics.uiowa.edu/data/index for EMFISIS. We acknowledge NASA contract NAS5-02099 and V. Angelopoulos for use of data from the THEMIS mission. Specifically, we thank S. Mende and C. T. Russell for use of the GMAG data and NSF for support through grant AGS-1004814; I. R. Mann, D. K. Milling, and the rest of the CARISMA team for use of GMAG data (CARISMA is operated by the University of Alberta, funded by the Canadian Space Agency); Martin Connors and C. T. Russell and the rest of the AUTUMN/AUTUMNX team for use of the GMAG data; Erik Steinmetz, Augsburg College, for the use of GMAG data; Peter Chi for use of the McMAC data and NSF for support through grant ATM-0245139; Kanji Hayashi, University of Tokyo, for the use of GMAG data; Tromso Geophysical Observatory, University of Tromso, Norway, for use of the Greenland and Norway magnetometer data; data provided by the Geophysical Institute Magnetometer Array operated by the Geophysical Institute, University of Alaska (more information about this data set is available at http://magnet.asf.alaska.edu/); original data provided by the USGS Geomagnetism Program (http://geomag.usgs.gov); the Canadian Magnetic Observatory Network (CANMON), maintained and operated by the Geological Survey of Canada, provided the data used in this study (http://www.geomag.nrcan.gc.ca); and Arctic and Antarctic Research Institute (AARI), Department of Geophysics (http://geophys.aari.ru). We acknowledge the pioneering work by the University of Tokyo (UT) Department of Earth and Planetary Science for the establishment of the STEP (Solar-Terrestrial Energy Program) Polar Network, as well as the long-term efforts by UT professor emeritus, Kanji Hayashi, for continuing to operate and maintain the STEP magnetometer chain for many years. We are grateful for this unique, multidecade spanning magnetic data set. We also used magnetic field data provided by National Institute of Polar Research, Japan (http://iugonet0.nipr.ac.jp/data/); Geomagnetic Observation using the Magnetometer Network (210 Magnetic: http://stdb2.stelab.nagoya-u.ac.jp/mm210/); MAGnetic Data Acquisition System (MAGDAS: http://data.icswse.kyushu-u.ac.jp/); and ISEE fluxgates (https://ergsc.isee.nagoya-u.ac.jp/data/ergsc/ground/geomag/stel/fluxgate/).</t>
  </si>
  <si>
    <t>10.1029/2018JA026168</t>
  </si>
  <si>
    <t>ID3UB</t>
  </si>
  <si>
    <t>WOS:000471601500002</t>
  </si>
  <si>
    <t>Macotela, EL; Clilverd, MA; Manninen, J; Thomson, NR; Newnham, DA; Raita, T</t>
  </si>
  <si>
    <t>Macotela, Edith L.; Clilverd, Mark A.; Manninen, Jyrki; Thomson, Neil R.; Newnham, David A.; Raita, Tero</t>
  </si>
  <si>
    <t>The Effect of Ozone Shadowing on the D Region Ionosphere During Sunrise</t>
  </si>
  <si>
    <t>NEGATIVE-IONS; VLF PHASE; PROPAGATION</t>
  </si>
  <si>
    <t>Diurnal very low frequency subionospheric radio wave phase measurements show a night-to-day transition pattern. During this sunrise transition a phase perturbation, which consist of a phase overshoot followed by a small phase recovery to normal daytime values, is often observed. The variability of the size of this sunrise phase perturbation and its maximum and end times were monitored to identify the associated physical causes. Very low frequency signal from the 22.1-kHz UK transmitter (call sign GVT) recorded at Sodankyla, Finland, from 20 April 2010 to 31 December 2016 were used. The timing at the maximum of the phase perturbation period has an annual pattern that is well described by the seasonal variation of the sunrise time 28 km above the transmitter. Variations in ozone number density at 38-42-km altitudes are better correlated (R = 0.7) with the sunrise phase perturbation variability than at any other altitudes below similar to 80 km, and exhibit higher correlation values than for atmospheric temperature. Our results show that the main characteristics of the observed very low frequency sunrise phase perturbation arise from shadowing of short-wavelength solar UV flux from the D region ionosphere due to stratospheric ozone absorption.</t>
  </si>
  <si>
    <t>[Macotela, Edith L.; Manninen, Jyrki; Raita, Tero] Univ Oulu, Sodankyla Geophys Observ, Sodankyla, Finland; [Clilverd, Mark A.; Newnham, David A.] British Antarctic Survey UKRT NERC, Space Weather &amp; Atmosphere, Cambridge, England; [Thomson, Neil R.] Univ Otago, Dept Phys, Dunedin, New Zealand</t>
  </si>
  <si>
    <t>University of Oulu; University of Otago</t>
  </si>
  <si>
    <t>Macotela, EL (corresponding author), Univ Oulu, Sodankyla Geophys Observ, Sodankyla, Finland.</t>
  </si>
  <si>
    <t>edith.macotelacruz@oulu.fi</t>
  </si>
  <si>
    <t>Manninen, Jyrki/I-4004-2019</t>
  </si>
  <si>
    <t>Manninen, Jyrki/0000-0003-2866-4231; Macotela, Liliana/0000-0003-3076-1946; Newnham, David/0000-0001-8422-1289</t>
  </si>
  <si>
    <t>Suomen Kulttuurirahasto [00180689]; Oulun yliopiston tukisaatio [20180003]; UK Natural Environment Research Council [NE/J022187/1, NE/R016038/1]; Natural Environment Research Council [NE/J022187/1] Funding Source: researchfish; NERC [bas0100031, NE/J022187/1, NE/R016038/1] Funding Source: UKRI</t>
  </si>
  <si>
    <t>Suomen Kulttuurirahasto; Oulun yliopiston tukisaatio;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</si>
  <si>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ELM was supported by the Suomen Kulttuurirahasto (grant 00180689) and the Oulun yliopiston tukisaatio (grant 20180003). D.A.N. and M.A.C. were supported in part by the UK Natural Environment Research Council (grants NE/J022187/1 and NE/R016038/1).</t>
  </si>
  <si>
    <t>10.1029/2018JA026415</t>
  </si>
  <si>
    <t>WOS:000471601500040</t>
  </si>
  <si>
    <t>Aryal, S; Geddes, G; Finn, SC; Mrak, S; Galkin, I; Cnossen, I; Cook, T; Chakrabarti, S</t>
  </si>
  <si>
    <t>Aryal, Saurav; Geddes, George; Finn, Susanna C.; Mrak, Sebastijan; Galkin, Ivan; Cnossen, Ingrid; Cook, Timothy; Chakrabarti, Supriya</t>
  </si>
  <si>
    <t>Multispectral and Multi-instrument Observation of TIDs Following the Total Solar Eclipse of 21 August 2017</t>
  </si>
  <si>
    <t>ATMOSPHERIC GRAVITY-WAVES; IONOSPHERE; THERMOSPHERE</t>
  </si>
  <si>
    <t>Wave-like structures in the upper atmospheric nightglow brightness were observed on the night of 22 August 2017, approximately 8 hr following a total solar eclipse. These wave-like perturbations are signatures of atmospheric gravity waves and associated traveling ionospheric disturbances (TIDs). Observations were made in the red line (OI 630.0 nm) and the green line (OI 557.7 nm) from Carbondale, IL, at 2-10 UTC on 22 August 2017. Based on wavelet analyses, the dominant time period in both the red and green lines was around 1.5 hr. Differential total electron content data obtained from Global Positioning System total electron content measurements at Carbondale, IL, and ionospheric parameters from digisonde measurements at Idaho National Laboratory and Millstone Hill showed a similar dominant time period. Based on these observations and their correlation with geomagnetic indices, the TIDs appear to be associated with geomagnetic disturbances. In addition, by modeling the ionosphere-thermosphere system's response to the eclipse, it was seen that while the eclipse enhanced the O/N-2 ratio and electron density (N-e) at 250 km during our observation period, it did not affect the TIDs. Vertical (7 m/s) and meridional (616 m/s) phase velocities of the TIDs were estimated using cross-correlation analysis between red and green line brightness profiles and spectral analysis of the differential total electron content keogram, respectively. This provides a method to characterize the three-dimensional wave properties of TIDs.</t>
  </si>
  <si>
    <t>[Aryal, Saurav; Geddes, George; Finn, Susanna C.; Galkin, Ivan; Cook, Timothy; Chakrabarti, Supriya] Univ Massachusetts Lowell, Dept Phys &amp; Appl Phys, Lowell Ctr Space Sci &amp; Technol LoCSST, Lowell, MA 01854 USA; [Mrak, Sebastijan] Boston Univ, Dept Elect &amp; Comp Engn, Boston, MA 02215 USA; [Mrak, Sebastijan] Boston Univ, Ctr Space Phys, Boston, MA 02215 USA; [Cnossen, Ingrid] Univ Michigan, Dept Climate &amp; Space Sci &amp; Engn, Ann Arbor, MI 48109 USA; [Cnossen, Ingrid] British Antarctic Survey, Cambridge, England</t>
  </si>
  <si>
    <t>University of Massachusetts System; University of Massachusetts Lowell; Boston University; Boston University; University of Michigan System; University of Michigan; UK Research &amp; Innovation (UKRI); Natural Environment Research Council (NERC); NERC British Antarctic Survey</t>
  </si>
  <si>
    <t>Aryal, S (corresponding author), Univ Massachusetts Lowell, Dept Phys &amp; Appl Phys, Lowell Ctr Space Sci &amp; Technol LoCSST, Lowell, MA 01854 USA.</t>
  </si>
  <si>
    <t>saurav_aryal@student.uml.edu</t>
  </si>
  <si>
    <t>Cnossen, Ingrid/E-5809-2010; Mrak, Sebastijan/AAD-9701-2020; Mrak, Sebastijan/HDM-3924-2022</t>
  </si>
  <si>
    <t>Cnossen, Ingrid/0000-0001-6469-7861; Mrak, Sebastijan/0000-0002-3925-760X; Mrak, Sebastijan/0000-0002-3925-760X; Aryal, Saurav/0000-0002-4919-1990; Geddes, George/0000-0001-8473-8878; Cook, Timothy/0000-0002-3963-6191; Chakrabarti, Supriya/0000-0001-7369-4769</t>
  </si>
  <si>
    <t>NSF [AGS1145166, AGS-1743832, ATM1452097]; UMass Lowell internal funds; NERC [bas0100031] Funding Source: UKRI</t>
  </si>
  <si>
    <t>NSF(National Science Foundation (NSF)); UMass Lowell internal funds; NERC(UK Research &amp; Innovation (UKRI)Natural Environment Research Council (NERC))</t>
  </si>
  <si>
    <t>This work was partially supported by the NSF grant AGS1145166 and UMass Lowell internal funds. Sebastijan Mrak was supported by NSF grant AGS-1743832 to Boston University. Dr. Ingrid Cnossen was supported by NSF grant ATM1452097. She can be contacted for any GITM runs. GITM simulations were performed on the NASA Pleiades high-performance computing facilities. The brightness data from HiT&amp;MIS used for this work are available online (10.5281/zenodo. 1494258). Digisonde data were retrieved from online DIDBase repository of the Global Ionosphere Radio Observatory (GIRO) via its SAO Explorer workstations and at http://giro.uml.edu portal. Digisonde data from Idaho National Laboratory are courtesy of Dr. James R. Hanneman. We thank Dr. Stan Solomon at UCAR/NCAR for constructive discussions on the GLOW model whose Python wrapped version can be found online (github. com/scivision/glowaurora).</t>
  </si>
  <si>
    <t>10.1029/2018JA026333</t>
  </si>
  <si>
    <t>WOS:000471601500043</t>
  </si>
  <si>
    <t>Lalegerie, F; Lajili, S; Bedoux, G; Taupin, L; Stiger-Pouvreau, V; Connan, S</t>
  </si>
  <si>
    <t>Lalegerie, Fanny; Lajili, Sirine; Bedoux, Gilles; Taupin, Laure; Stiger-Pouvreau, Valerie; Connan, Solene</t>
  </si>
  <si>
    <t>Photo-protective compounds in red macroalgae from Brittany: Considerable diversity in mycosporine-like amino acids (MAAs)</t>
  </si>
  <si>
    <t>Algae; Diversity; HPLC; MAAs; Metabolites; Photo-protection; Pigments; Rhodophyta; Screening</t>
  </si>
  <si>
    <t>ULTRAVIOLET-ABSORBING SUBSTANCES; CAROTENOID COMPOSITION; XANTHOPHYLL-CYCLE; MARINE ORGANISMS; PALMARIA-PALMATA; GRACILARIA-VERMICULOPHYLLA; ANTARCTIC MACROALGAE; LIGHT-INTENSITY; CLIMATE-CHANGE; UV</t>
  </si>
  <si>
    <t>To cope with the biotic and abiotic stresses experienced within their environment, marine macroalgae have developed certain defence mechanisms including the synthesis of photo-protective molecules against light and particularly harmful UV radiation. The aim of this study was to screen selected red algae, a highly diverse phylogenetic group, for the production of photo-protective molecules. The pigment content and composition (Le. chlorophyll-a, phycobiliproteins and carotenoids) and the composition of mycosporine-like amino acids (MAAs) were studied in 40 species of red macroalgae collected in Brittany (France), at two distinct periods (i.e. February and July 2017). A high inter-specific variability was demonstrated in terms of pigment content and MAA composition. Twenty-three potential MAAs were detected by HPLC, and six were identified by LC-MS (i.e. shinorine, palythine, asterina-330, porphyra-334, usurijene and palythene). This is the first study to report on the composition of pigments and MAAs in a diverse group of red seaweeds from Brittany, including some species for which the MAA composition has never been studied before. Nevertheless, the results suggested that some species of red algae are more likely to cope with high levels of light radiation since those species such as Bostrychia scorpioides, Porphyra dioica, Gracilaria vermiculophylla and Vertebrata lanosa are living in environments exposed to higher levels of irradiation, and had various MAAs in addition to their photo-protective pigments.</t>
  </si>
  <si>
    <t>[Lalegerie, Fanny; Lajili, Sirine; Stiger-Pouvreau, Valerie; Connan, Solene] Univ Brest, CNRS, IFREMER, IRD,LEMAR, F-29280 Plouzane, France; [Bedoux, Gilles; Taupin, Laure] Univ South Brittany UBS, Marine Biotechnol &amp; Chem Lab LBCM, EA 3884, F-56017 Vannes, France</t>
  </si>
  <si>
    <t>Universite de Bretagne Occidentale; Centre National de la Recherche Scientifique (CNRS); Ifremer; Institut de Recherche pour le Developpement (IRD)</t>
  </si>
  <si>
    <t>Lalegerie, F (corresponding author), Univ Brest, CNRS, IFREMER, IRD,LEMAR, F-29280 Plouzane, France.</t>
  </si>
  <si>
    <t>fanny.lalegerie@univ-brest.fr</t>
  </si>
  <si>
    <t>Connan, Solene/0000-0002-8280-1041; STIGER-POUVREAU, Valerie/0000-0003-3041-0468; Lalegerie, Fanny/0000-0001-7403-3380</t>
  </si>
  <si>
    <t>European Institute for Marine Studies (IUEM); University of Western Brittany (UBO, Brest); region Bretagne; region Bretagne [9648]</t>
  </si>
  <si>
    <t>European Institute for Marine Studies (IUEM); University of Western Brittany (UBO, Brest); region Bretagne(Region Bretagne); region Bretagne(Region Bretagne)</t>
  </si>
  <si>
    <t>We thank the European Institute for Marine Studies (IUEM), the University of Western Brittany (UBO, Brest) and the region Bretagne for funding Fanny Lalegerie's PhD, and the region Bretagne for the postdoctoral fellowship of Sirine Lajili through the SAD 2016 - MABIOPA (9648) project. Authors thanks T. Burel for the identification of some studied species.</t>
  </si>
  <si>
    <t>10.1016/j.marenvres.2019.04.001</t>
  </si>
  <si>
    <t>ID0FL</t>
  </si>
  <si>
    <t>WOS:000471359000005</t>
  </si>
  <si>
    <t>Clementi, VJ; Sikes, EL</t>
  </si>
  <si>
    <t>Clementi, Vincent J.; Sikes, Elisabeth L.</t>
  </si>
  <si>
    <t>Southwest Pacific Vertical Structure Influences on Oceanic Carbon Storage Since the Last Glacial Maximum</t>
  </si>
  <si>
    <t>ANTARCTIC INTERMEDIATE WATER; OXYGEN ISOTOPIC COMPOSITION; SEA-ICE TRANSPORT; SOUTHERN-OCEAN; ATMOSPHERIC CO2; DEEP-WATER; NORTH-ATLANTIC; OVERTURNING CIRCULATION; DEGLACIAL RISE; MASS STRUCTURE</t>
  </si>
  <si>
    <t>Lower atmospheric CO2 concentrations during the Last Glacial Maximum (LGM; 23.0-18.0 ka) have been attributed to the sequestration of respired carbon in the ocean interior, yet the mechanism responsible for the release of this CO(2 )during the deglaciation remains uncertain. Here we present calculations of vertical differences in oxygen and carbon isotopes (Delta delta O-18 and Delta delta C-13, respectively) from a depth transect of southwest Pacific Ocean sediment cores to reconstruct changes in water mass structure and CO2 storage. During the Last Glacial Maximum, Delta delta O-18 indicates a more homogenous deep Pacific below 1,100 m, whereas regional Delta delta C-13 elucidates greater sequestration of CO2 in two distinct layers: enhanced CO2 storage at intermediate depths between similar to 940 and 1,400 m, and significantly more CO2 at 1,600 m and below. This highlights an isolated glacial intermediate water mass and places the main geochemical divide at least 500 m shallower than the Holocene. During the initial stages of the deglaciation in Heinrich Stadial 1 (17.5-14.5 ka), restructuring of the upper similar to 2,000 m of the southwest Pacific water column coincided with sea-ice retreat and rapid CO2 release from intermediate depths, while CO2 release from the deep ocean was earlier and more gradual than waters above it. These changes suggest that sea-ice retreat and shifts in Southern Ocean frontal locations contributed to rapid CO2 ventilation from the Southern Ocean's intermediate depths and gradual ventilation from the deep ocean during the early deglaciation.</t>
  </si>
  <si>
    <t>[Clementi, Vincent J.; Sikes, Elisabeth L.] Rutgers State Univ, Dept Marine &amp; Coastal Sci, New Brunswick, NJ 08854 USA</t>
  </si>
  <si>
    <t>Rutgers University System; Rutgers University New Brunswick</t>
  </si>
  <si>
    <t>Clementi, VJ (corresponding author), Rutgers State Univ, Dept Marine &amp; Coastal Sci, New Brunswick, NJ 08854 USA.</t>
  </si>
  <si>
    <t>clementi@marine.rutgers.edu</t>
  </si>
  <si>
    <t>Sikes, Elisabeth/HPE-8194-2023</t>
  </si>
  <si>
    <t>Clementi, Vincent/0000-0003-3695-3412; Sikes, Elisabeth/0000-0003-2900-3283</t>
  </si>
  <si>
    <t>NSF [OCE-1159080, OCE-0823487, OCE-0425053]</t>
  </si>
  <si>
    <t>This work was funded in part by NSF grants OCE-1159080, OCE-0823487, and OCE-0425053 to E. L. S. Thanks to David Lund and participants at the OC3 meeting in Cambridge for fruitful discussions that improved this manuscript. We thank Eli Hunter for assistance with MATLAB. We would thank the Editor, Ellen Thomas, who shepherded this manuscript through a lengthy review processes, and an anonymous reviewer for feedback that greatly strengthened this paper. All data used in this paper are archived under the original publication with the NOAA Centers for Environmental Information in the online paleoclimate database: http://www.ncdc.noaa.gov/dataaccess/paleoclimatology-data.</t>
  </si>
  <si>
    <t>10.1029/2018PA003501</t>
  </si>
  <si>
    <t>IC8NL</t>
  </si>
  <si>
    <t>Green Published, Green Submitted, Bronze</t>
  </si>
  <si>
    <t>WOS:000471238100001</t>
  </si>
  <si>
    <t>Judd, EJ; Ivan, LC; DeConto, RM; Halberstadt, ARW; Miklus, NM; Junium, CK; Uveges, BT</t>
  </si>
  <si>
    <t>Judd, Emily J.; Ivan, Linda C.; DeConto, Robert M.; Halberstadt, Anna Ruth W.; Miklus, Nicole M.; Junium, Christopher K.; Uveges, Benjamin T.</t>
  </si>
  <si>
    <t>Seasonally Resolved Proxy Data From the Antarctic Peninsula Support a Heterogeneous Middle Eocene Southern Ocean</t>
  </si>
  <si>
    <t>SEYMOUR ISLAND; CLIMATE-CHANGE; SURFACE-TEMPERATURE; CONTINENTAL-SHELF; EXTREME LONGEVITY; STABLE-ISOTOPE; ARCTIC FORESTS; PRECIPITATION; MODEL; CYCLE</t>
  </si>
  <si>
    <t>Understanding conditions at both global and local scales during the greenhouse climate of the Eocene Epoch is critical for making accurate predictions in our rapidly warming world. Despite the wealth of proxy data and modeling studies, fundamental aspects of the climate system still remain uncertain. For example, accurate austral high-latitude temperatures are necessary to understand the evolution of temperatures during the lead-up to Antarctic glaciation and determine the meridional temperature gradient during greenhouse warmth, yet records are few and disparate. Here we present seasonally resolved temperature and precipitation data from the latest Lutetian (similar to 42 Ma) from the eastern Antarctic Peninsula. Oxygen isotopes from bivalves indicate a mean temperature of 13.1 degrees C and a seasonal range of 8.0 degrees C, slightly (&lt;1 degrees C) more seasonal than modeled temperatures from high-obliquity simulations. Carbon isotopes from driftwood suggest that summer accounts for just over half of annual precipitation. When compared with other austral high-latitude records, the data are consistent with a zonally heterogeneous middle Eocene Southern Ocean. Similar longitudinal variability is observed in the modern boreal high latitudes, where landmasses subdivide the ocean, subjecting basins to their own distinct circulation patterns and coastal processes. With closed Drake and Tasman passages, the middle Eocene Southern Ocean would also have been noncontiguous, resulting in larger variability of sea surface temperatures along individual zonal bands than today. This interpretation resolves inconsistencies among existing high-austral proxy records and suggests that the large seasonal range of temperatures may be indicative of regional-scale circulation patterns along the peninsula not captured by low-resolution climate simulations.</t>
  </si>
  <si>
    <t>[Judd, Emily J.; Ivan, Linda C.; Miklus, Nicole M.; Junium, Christopher K.; Uveges, Benjamin T.] Syracuse Univ, Dept Earth Sci, Syracuse, NY 13244 USA; [DeConto, Robert M.; Halberstadt, Anna Ruth W.] Univ Massachusetts, Dept Geosci, Amherst, MA 01003 USA</t>
  </si>
  <si>
    <t>Syracuse University; University of Massachusetts System; University of Massachusetts Amherst</t>
  </si>
  <si>
    <t>Judd, EJ (corresponding author), Syracuse Univ, Dept Earth Sci, Syracuse, NY 13244 USA.</t>
  </si>
  <si>
    <t>ejjudd@syr.edu</t>
  </si>
  <si>
    <t>Halberstadt, Anna Ruth/JPW-9990-2023; Uveges, Benjamin/AAA-1705-2020</t>
  </si>
  <si>
    <t>Uveges, Benjamin/0000-0002-8981-8970; Judd, Emily/0000-0003-3573-3610; Halberstadt, Anna Ruth/0000-0003-2582-7074</t>
  </si>
  <si>
    <t>NSF Antarctic Earth Science [PLR-1543031]; Sigma Xi; GSA; SU Department of Earth Sciences; [OPP-9908828]; [OPP-9908856]</t>
  </si>
  <si>
    <t>NSF Antarctic Earth Science; Sigma Xi; GSA; SU Department of Earth Sciences; ;</t>
  </si>
  <si>
    <t>Research was funded by NSF Antarctic Earth Science PLR-1543031 (to L. C. I.), and by grants from Sigma Xi and GSA (to E. J. J.) and the SU Department of Earth Sciences (to E. J. J. and N. M. M.). Samples were originally collected during fieldwork funded by OPP-9908828 to Richard Aronson and OPP-9908856 to Daniel Blake; specimens are housed at Syracuse University. We thank Lindsay Moon for assistance in micromilling, Lora Wingate at the University of Michigan Stable Isotope Lab and David Dettman at the University of Arizona Environmental Isotope Laboratory for performing isotope analyses, Edward Berry at the State University of New York-Upstate for assisting with X-Ray diffraction analyses, and Wanyi Lu and Zunli Lu for help with trace element analyses. We also thank Hope Jahren and Brian Schubert for guidance regarding interpretation of the driftwood data. Willem Sijp provided helpful discussion and insight at an early stage of this work. Tripti Bhattacharya and James Muirhead read the manuscript and offered thoughtful feedback. We thank the two anonymous reviewers, whose feedback improved the clarity and content of the manuscript. Oxygen isotope data can be found in the supporting information or through the US Antarctic Program Data Center (USAP-DC; http://www.usap-dc.org/view/dataset/601174). GCM simulation output files (http://www.usap-dc.org/view/dataset/601175) and organic carbon isotope data (http://www.usapdc.org/view/dataset/601173) are also available through USAP-DC.</t>
  </si>
  <si>
    <t>10.1029/2019PA003581</t>
  </si>
  <si>
    <t>WOS:000471238100004</t>
  </si>
  <si>
    <t>Gu, SF; Liu, ZY; Lynch-Stieglitz, J; Jahn, A; Zhang, JX; Lindsay, K; Wu, LX</t>
  </si>
  <si>
    <t>Gu, Sifan; Liu, Zhengyu; Lynch-Stieglitz, Jean; Jahn, Alexandra; Zhang, Jiaxu; Lindsay, Keith; Wu, Lixin</t>
  </si>
  <si>
    <t>Assessing the Ability of Zonal δ18O Contrast in Benthic Foraminifera to Reconstruct Deglacial Evolution of Atlantic Meridional Overturning Circulation</t>
  </si>
  <si>
    <t>OCEAN THERMOHALINE CIRCULATION; NORTH-ATLANTIC; LAST DEGLACIATION; WATER MASSES; VARIABILITY; GEOMETRY; COLLAPSE; MODEL</t>
  </si>
  <si>
    <t>delta O-18 in foraminifera (delta O-18(c)) is a useful proxy for density, and the strength of the Atlantic Meridional Overturning Circulation (AMOC) can be reconstructed by the zonal density contrast in the Atlantic. However, whether the deglacial zonal delta O-18(c) contrast can represent the AMOC change is still unclear. delta O-18(c) contrast across the Florida Straits has been hypothesized as a proxy for the AMOC evolution during the last deglaciation, but the strength of Florida Current could also be influenced by wind forcing. Here we examine the ability of the zonal delta O-18(c) contrast to reconstruct AMOC in a deglacial model simulation. The model simulation suggests that the deglacial variation of the Florida Current strength is dominated by AMOC, with the wind effect on the variation of the Florida Current being negligible. Furthermore, the delta O-18(c) contrast across the western boundary along the entire Atlantic and the basin-wide delta O-18(c) contrast in the North Atlantic in the upper ocean can also be used to reconstruct AMOC. However, using basin-wide delta O-18(c) contrast to reconstruct AMOC in the South Atlantic is not possible at all water depths. In the subtropical South Atlantic, the basin-wide delta O-18(c) contrast is decoupled from the density contrast between 400 to 600 m through the deglaciation because of the deglacial change of the Antarctic Intermediate Water. Therefore, delta O-18(c) is a useful proxy to reconstruct past density and in turn past AMOC, but caution has to be used when using the basin-wide delta O-18(c) contrast to reconstruct the basin-wide density contrast in the South Atlantic.</t>
  </si>
  <si>
    <t>[Gu, Sifan; Wu, Lixin] Ocean Univ China, Phys Oceanog Lab, Qingdao, Shandong, Peoples R China; [Gu, Sifan] Pilot Natl Lab Marine Sci &amp; Technol Qingdao, Open Studio Ocean Climate Isotope Modeling, Qingdao, Shandong, Peoples R China; [Liu, Zhengyu] Ohio State Univ, Dept Geog, Atmospher Sci Program, Columbus, OH 43210 USA; [Lynch-Stieglitz, Jean] Georgia Inst Technol, Sch Earth &amp; Atmospher Sci, Atlanta, GA 30332 USA; [Jahn, Alexandra] Univ Colorado, Dept Atmospher &amp; Ocean Sci, Boulder, CO 80309 USA; [Jahn, Alexandra] Univ Colorado, Inst Arctic &amp; Alpine Res, Boulder, CO 80309 USA; [Zhang, Jiaxu] Los Alamos Natl Lab, Computat Phys &amp; Methods CCS 2, Los Alamos, NM USA; [Zhang, Jiaxu] Los Alamos Natl Lab, Ctr Nonlinear Studies CNLS, Los Alamos, NM USA; [Lindsay, Keith] Natl Ctr Atmospher Res, Climate &amp; Global Dynam Div, POB 3000, Boulder, CO 80307 USA; [Wu, Lixin] Pilot Natl Lab marine Sci &amp; Technol Qingdao, Qingdao, Shandong, Peoples R China</t>
  </si>
  <si>
    <t>Ocean University of China; Laoshan Laboratory; University System of Ohio; Ohio State University; University System of Georgia; Georgia Institute of Technology; University of Colorado System; University of Colorado Boulder; University of Colorado System; University of Colorado Boulder; United States Department of Energy (DOE); Los Alamos National Laboratory; United States Department of Energy (DOE); Los Alamos National Laboratory; National Center Atmospheric Research (NCAR) - USA; Laoshan Laboratory</t>
  </si>
  <si>
    <t>Gu, SF (corresponding author), Ocean Univ China, Phys Oceanog Lab, Qingdao, Shandong, Peoples R China.;Gu, SF (corresponding author), Pilot Natl Lab Marine Sci &amp; Technol Qingdao, Open Studio Ocean Climate Isotope Modeling, Qingdao, Shandong, Peoples R China.;Liu, ZY (corresponding author), Ohio State Univ, Dept Geog, Atmospher Sci Program, Columbus, OH 43210 USA.</t>
  </si>
  <si>
    <t>gusifan@ouc.edu.cn; liu.7022@osu.edu</t>
  </si>
  <si>
    <t>Zhang, Jiaxu/J-9571-2019; Jahn, Alexandra/C-6545-2008; Lynch-Stieglitz, Jean/J-2277-2018</t>
  </si>
  <si>
    <t>Zhang, Jiaxu/0000-0002-8564-3026; Jahn, Alexandra/0000-0002-6580-2579; Lynch-Stieglitz, Jean/0000-0002-9353-1972</t>
  </si>
  <si>
    <t>US National Science Foundation (NSF) P2C2 projects [1401778, 1401802, 1566432]; Department of Energy (DOE) [DE-SC0006744]; National Science Foundation of China [41630527]; National Science Foundation; U.S. Department of Energy (DOE) [DE-SC0006744] Funding Source: U.S. Department of Energy (DOE); Directorate For Geosciences; Div Atmospheric &amp; Geospace Sciences [1401802] Funding Source: National Science Foundation; Directorate For Geosciences; Div Atmospheric &amp; Geospace Sciences [1401778] Funding Source: National Science Foundation; Division Of Ocean Sciences; Directorate For Geosciences [1566432] Funding Source: National Science Foundation</t>
  </si>
  <si>
    <t>US National Science Foundation (NSF) P2C2 projects; Department of Energy (DOE)(United States Department of Energy (DOE)); National Science Foundation of China(National Natural Science Foundation of China (NSFC)); National Science Foundation(National Science Foundation (NSF)); U.S. Department of Energy (DOE)(United States Department of Energy (DOE)); Directorate For Geosciences; Div Atmospheric &amp; Geospace Sciences(National Science Foundation (NSF)NSF - Directorate for Geosciences (GEO)); Directorate For Geosciences; Div Atmospheric &amp; Geospace Sciences(National Science Foundation (NSF)NSF - Directorate for Geosciences (GEO)); Division Of Ocean Sciences; Directorate For Geosciences(National Science Foundation (NSF)NSF - Directorate for Geosciences (GEO))</t>
  </si>
  <si>
    <t>This work is supported by US National Science Foundation (NSF) P2C2 projects (1401778, 1401802, and 1566432), Department of Energy (DOE) project DE-SC0006744, and the National Science Foundation of China No. 41630527. We would like to acknowledge high-performance computing support from Yellowstone (ark:/85065/d7wd3xhc) and Cheyenne (doi:10.5065/D6RX99HX) provided by NCAR's Computational and Information Systems Laboratory, sponsored by the National Science Foundation. Data used to produce the results in this study can be obtained from HPSS at CISL:/home/sgu28/CTRACE_decadal or by contacting the authors.</t>
  </si>
  <si>
    <t>10.1029/2019PA003564</t>
  </si>
  <si>
    <t>WOS:000471238100005</t>
  </si>
  <si>
    <t>Williams, TJ; Hillenbrand, CD; Piotrowski, AM; Allen, CS; Frederichs, T; Smith, JA; Ehrmann, W; Hodell, DA</t>
  </si>
  <si>
    <t>Williams, Thomas J.; Hillenbrand, Claus-Dieter; Piotrowski, Alexander M.; Allen, Claire S.; Frederichs, Thomas; Smith, James A.; Ehrmann, Werner; Hodell, David A.</t>
  </si>
  <si>
    <t>Paleocirculation and Ventilation History of Southern Ocean Sourced Deep Water Masses During the Last 800,000 Years</t>
  </si>
  <si>
    <t>ANTARCTIC SEA-ICE; CONTINENTAL-MARGIN SEDIMENTS; CARBON-ISOTOPE COMPOSITION; GLACIAL MAXIMUM; BOTTOM-WATER; OVERTURNING CIRCULATION; BENTHIC FORAMINIFERA; SURFACE TEMPERATURE; STABLE-ISOTOPE; ATLANTIC-OCEAN</t>
  </si>
  <si>
    <t>Most conceptual models of ocean circulation during past glacial periods invoke a shallowed North Atlantic-sourced water mass overlying an expanded, poorly ventilated Southern Ocean (SO)-sourced deep water mass (Southern Component Water or SCW), rich in remineralized carbon, within the Atlantic basin. However, the ventilation state, carbon inventory, and circulation pathway of SCW sourced in the Pacific sector of the SO (Pacific SO) during glacial periods are less well understood. Here we present multiproxy data-including delta O-18 and delta C-13 measured on the benthic and planktic foraminifera Cibicidoides wuellerstorfi, and Neogloboquadrina pachyderma, and productivity proxies including percent CaCO3, total organic carbon, and Ba/Ti-from a sediment core located in the high-latitude (71 degrees S) Pacific SO spanning the last 800 kyr. Typical glacial delta C-13 values of SCW at this core site are similar to 0%o. We find no evidence for SCW with extremely low delta C-13 values during glacials in the high-latitude Pacific SO. This leads to a spatial gradient in the stable carbon isotope composition of SCW from the high-latitude SO, suggesting that there are different processes of deep- and bottom-water formation around Antarctica. A reduced imprint of air-sea gas exchange is evident in the SCW formed in the Atlantic SO compared with the Pacific SO. A spatial delta C-13 gradient in SCW is apparent throughout much of the last 800,000 years, including interglacials. A SO-wide depletion in benthic delta C-13 is observed in early MIS 16, coinciding with the lowest atmospheric pCO(2) recorded in Antarctic ice cores.</t>
  </si>
  <si>
    <t>[Williams, Thomas J.] Univ Florida, Dept Geol Sci, Gainesville, FL 32610 USA; [Williams, Thomas J.; Hillenbrand, Claus-Dieter; Allen, Claire S.; Smith, James A.] British Antarctic Survey, Cambridge, England; [Williams, Thomas J.; Piotrowski, Alexander M.; Hodell, David A.] Univ Cambridge, Dept Earth Sci, Cambridge, England; [Frederichs, Thomas] Univ Bremen, Fac Geosci, Bremen, Germany; [Ehrmann, Werner] Univ Leipzig, Inst Geophys &amp; Geol, Leipzig, Germany</t>
  </si>
  <si>
    <t>State University System of Florida; University of Florida; UK Research &amp; Innovation (UKRI); Natural Environment Research Council (NERC); NERC British Antarctic Survey; University of Cambridge; University of Bremen; Leipzig University</t>
  </si>
  <si>
    <t>Williams, TJ (corresponding author), Univ Florida, Dept Geol Sci, Gainesville, FL 32610 USA.;Williams, TJ; Hillenbrand, CD (corresponding author), British Antarctic Survey, Cambridge, England.;Williams, TJ (corresponding author), Univ Cambridge, Dept Earth Sci, Cambridge, England.</t>
  </si>
  <si>
    <t>thomas.williams@ufl.edu; hilc@bas.ac.uk</t>
  </si>
  <si>
    <t>Smith, James/0000-0002-1333-2544; Williams, Thomas/0000-0001-8869-0488; Hodell, David/0000-0001-8537-1588</t>
  </si>
  <si>
    <t>Natural Environment Research Council (NERC); NERC [bas0100030] Funding Source: UKRI</t>
  </si>
  <si>
    <t>Natural Environment Research Council (NERC)(UK Research &amp; Innovation (UKRI)Natural Environment Research Council (NERC)); NERC(UK Research &amp; Innovation (UKRI)Natural Environment Research Council (NERC))</t>
  </si>
  <si>
    <t>We thank the captain, crew, scientists, and support staff of expedition JR179 and Simon Crowhurst for performing XRF scanning of core PC493. T. J. W., C. D. H., C. S. A., and J. A. S. are supported by the Natural Environment Research Council (NERC). All data produced as part of this study are available in the supporting information and online in the Pangea database.</t>
  </si>
  <si>
    <t>10.1029/2018PA003472</t>
  </si>
  <si>
    <t>WOS:000471238100007</t>
  </si>
  <si>
    <t>Grosser, S; Sauer, J; Paijmans, AJ; Caspers, BA; Forcada, J; Wolf, JBW; Hoffman, JI</t>
  </si>
  <si>
    <t>Grosser, Stefanie; Sauer, Jan; Paijmans, Anneke J.; Caspers, Barbara A.; Forcada, Jaume; Wolf, Jochen B. W.; Hoffman, Joseph I.</t>
  </si>
  <si>
    <t>Fur seal microbiota are shaped by the social and physical environment, show mother-offspring similarities and are associated with host genetic quality</t>
  </si>
  <si>
    <t>Arctocephalus gazella; host control; inbreeding; mother-offspring recognition; pinniped; skin microbiome</t>
  </si>
  <si>
    <t>GUT MICROBIOTA; PAIRWISE RELATEDNESS; FOSTERING BEHAVIOR; R PACKAGE; HETEROZYGOSITY; DIVERSITY; COMMUNITIES; FITNESS; COLONY; WILD</t>
  </si>
  <si>
    <t>Despite an increasing appreciation of the importance of host-microbe interactions in ecological and evolutionary processes, the factors shaping microbial communities in wild populations remain poorly understood. We therefore exploited a natural experiment provided by two adjacent Antarctic fur seal (Arctocephalus gazella) colonies of high and low social density and combined 16S rRNA metabarcoding with microsatellite profiling of mother-offspring pairs to investigate environmental and genetic influences on skin microbial communities. Seal-associated bacterial communities differed profoundly between the two colonies, despite the host populations themselves being genetically undifferentiated. Consistent with the hypothesis that social stress depresses bacterial diversity, we found that microbial alpha diversity was significantly lower in the high-density colony. Seals from one of the colonies that contained a stream also carried a subset of freshwater-associated bacteria, indicative of an influence of the physical environment. Furthermore, mothers and their offspring shared similar microbial communities, in support of the notion that microbes may facilitate mother-offspring recognition. Finally, a significant negative association was found between bacterial diversity and heterozygosity, a measure of host genetic quality. Our study thus reveals a complex interplay between environmental and host genetic effects, while also providing empirical support for the leash model of host control, which posits that bacterial communities are driven not only by bottom-up species interactions, but also by top-down host regulation. Taken together, our findings have broad implications for understanding host-microbe interactions as well as prokaryotic diversity in general.</t>
  </si>
  <si>
    <t>[Grosser, Stefanie; Sauer, Jan; Paijmans, Anneke J.; Caspers, Barbara A.; Hoffman, Joseph I.] Bielefeld Univ, Dept Anim Behav, Bielefeld, Germany; [Grosser, Stefanie; Wolf, Jochen B. W.] Ludwig Maximilians Univ Munchen, Fac Biol, Div Evolutionary Biol, Planegg Martinsried, Germany; [Forcada, Jaume; Hoffman, Joseph I.] NERC, British Antarctic Survey, Cambridge, England; [Wolf, Jochen B. W.] Uppsala Univ, Dept Evolutionary Biol, Uppsala, Sweden</t>
  </si>
  <si>
    <t>University of Bielefeld; University of Munich; UK Research &amp; Innovation (UKRI); Natural Environment Research Council (NERC); NERC British Antarctic Survey; Uppsala University</t>
  </si>
  <si>
    <t>Grosser, S; Hoffman, JI (corresponding author), Bielefeld Univ, Dept Anim Behav, Bielefeld, Germany.;Grosser, S (corresponding author), Ludwig Maximilians Univ Munchen, Fac Biol, Div Evolutionary Biol, Planegg Martinsried, Germany.</t>
  </si>
  <si>
    <t>s.grosser@biologie.uni-muenchen.de; joseph.hoffman@uni-bielefeld.de</t>
  </si>
  <si>
    <t>Forcada, Jaume/GYU-0677-2022; Wolf, Jochen B. W./U-2243-2017; Caspers, Barbara A/C-5573-2011; Hoffman, Joseph/K-7725-2012</t>
  </si>
  <si>
    <t>Wolf, Jochen B. W./0000-0002-2958-5183; Paijmans, A.J./0000-0002-5481-7337; Hoffman, Joseph/0000-0001-5895-8949</t>
  </si>
  <si>
    <t>Deutsche Forschungsgemeinschaft [SFB TRR 212 (NC3)]; LMU Munich; NERC [bas0100035] Funding Source: UKRI</t>
  </si>
  <si>
    <t>Deutsche Forschungsgemeinschaft(German Research Foundation (DFG)); LMU Munich; NERC(UK Research &amp; Innovation (UKRI)Natural Environment Research Council (NERC))</t>
  </si>
  <si>
    <t>Deutsche Forschungsgemeinschaft, Grant/Award Number: HO 5122/3-1; LMU Munich; Deutsche Forschungsgemeinschaft, Grant/Award Number: SFB TRR 212 (NC3, project A01)</t>
  </si>
  <si>
    <t>10.1111/mec.15070</t>
  </si>
  <si>
    <t>IC6HP</t>
  </si>
  <si>
    <t>WOS:000471073000019</t>
  </si>
  <si>
    <t>Dwinovantyo, A; Manik, HM; Prartono, T; Susilohadi, S; Mukai, T</t>
  </si>
  <si>
    <t>Dwinovantyo, Angga; Manik, Henry M.; Prartono, Tri; Susilohadi, Susilohadi; Mukai, Tohru</t>
  </si>
  <si>
    <t>Variation of Zooplankton Mean Volume Backscattering Strength from Moored and Mobile ADCP Instruments for Diel Vertical Migration Observation</t>
  </si>
  <si>
    <t>ADCP; distorted-wave Born approximation (DWBA); diel vertical migration (DVM); mean volume backscattering strength (MVBS); target strength (TS); zooplankton</t>
  </si>
  <si>
    <t>DOPPLER CURRENT PROFILER; KRILL EUPHAUSIA-SUPERBA; ANTARCTIC KRILL; ACOUSTIC BACKSCATTER; SOUND-SCATTERING; TARGET STRENGTH; VARIABILITY; ORIENTATION; ABUNDANCE; INFERENCE</t>
  </si>
  <si>
    <t>Zooplankton can be detected by using acoustic Doppler current profiler (ADCP) instruments through acquiring the mean volume backscattering strength (MVBS) data. However, the precision of the backscattered signal measured by single ADCP measurement has a limitation in the MVBS variation of zooplankton. The objectives of this study were to analyze the MVBS and vertical velocity from ADCPs at the same time and location for zooplankton's daily vertical migration (DVM) observation. Measurements were conducted in Lembeh Strait, North Sulawesi, Indonesia. Instruments used included a moored ADCP 750 kHz and a mobile ADCP 307.2 kHz. High MVBS value was found at 11.5-16 m depths and was identified as the sound scattering layer (SSL). The DVM patterns in the SSL displayed significant differences over time and had good relationships with the diurnal cycle. Theoretical target strength (TS) from the scattering models based on a distorted-wave Born approximation (DWBA) was estimated for Oithona sp. and Paracalanus sp.; the two dominant species found in the observed area. However, MVBS and TS proved that the dominant zooplankton species were not the main scatterers. The strong signal in SSL was instead caused by the schools of various zooplankton species.</t>
  </si>
  <si>
    <t>[Dwinovantyo, Angga] Bogor Agr Univ, Grad Sch Marine Technol, PMDSU Batch 2, Jln Agatis IPB Dramaga Campus, Bogor 16680, West Java, Indonesia; [Dwinovantyo, Angga; Mukai, Tohru] Hokkaido Univ, Fac Fisheries Sci, Lab Marine Environm &amp; Resources Sensing, 3-1-1 Minato Cho, Hakodate, Hokkaido 0418611, Japan; [Manik, Henry M.; Prartono, Tri] Bogor Agr Univ, Fac Fisheries &amp; Marine Sci, Dept Marine Sci &amp; Technol, Jln Agatis IPB Dramaga Campus, Bogor 16680, West Java, Indonesia; [Susilohadi, Susilohadi] Minist Energy &amp; Mineral Resources Republ Indonesi, Marine Geol Inst, Jl Dr Djunjunan 236, Bandung 40174, West Java, Indonesia</t>
  </si>
  <si>
    <t>Bogor Agricultural University; Hokkaido University; Bogor Agricultural University; Ministry of Energy &amp; Mineral Resources</t>
  </si>
  <si>
    <t>Mukai, T (corresponding author), Hokkaido Univ, Fac Fisheries Sci, Lab Marine Environm &amp; Resources Sensing, 3-1-1 Minato Cho, Hakodate, Hokkaido 0418611, Japan.;Manik, HM (corresponding author), Bogor Agr Univ, Fac Fisheries &amp; Marine Sci, Dept Marine Sci &amp; Technol, Jln Agatis IPB Dramaga Campus, Bogor 16680, West Java, Indonesia.</t>
  </si>
  <si>
    <t>angga_dwi@apps.ipb.ac.id; henrymanik@ipb.ac.id; tripr@apps.ipb.ac.id; s.susilohadi@mgi.esdm.go.id; mukai@fish.hokudai.ac.jp</t>
  </si>
  <si>
    <t>Mukai, Tohru/F-9143-2012; Manik, Henry M./GPJ-9994-2022; Prartono, Tri/GPP-1284-2022; Dwinovantyo, Angga/K-7485-2017</t>
  </si>
  <si>
    <t>MUKAI, TOHRU/0000-0002-7211-9727; Prartono, Tri/0000-0003-1304-2384; Dwinovantyo, Angga/0000-0001-7946-1843</t>
  </si>
  <si>
    <t>Directorate General of Higher Education (DIKTI) through PMDSU Research Grant Scheme [129/SP2H/PTNBH/DRPM/2018]; Directorate of Human Resource Qualifications, Directorate General of Resources for Science and Technology and Higher Education (DG-RSTHE), Ministry of Research, Technology and Higher Education of Republic of Indonesia [1406.3/D3/PG/2018]</t>
  </si>
  <si>
    <t>Directorate General of Higher Education (DIKTI) through PMDSU Research Grant Scheme; Directorate of Human Resource Qualifications, Directorate General of Resources for Science and Technology and Higher Education (DG-RSTHE), Ministry of Research, Technology and Higher Education of Republic of Indonesia(Ministry of Research and Technology of the Republic of Indonesia (RISTEK))</t>
  </si>
  <si>
    <t>The authors would like to acknowledge the Directorate General of Higher Education (DIKTI) for financially supporting this research through PMDSU Research Grant Scheme (No. 129/SP2H/PTNBH/DRPM/2018), also Directorate of Human Resource Qualifications, Directorate General of Resources for Science and Technology and Higher Education (DG-RSTHE), Ministry of Research, Technology and Higher Education of Republic of Indonesia for financially supporting this publication through Enhanced International Publication (EIP) Program (No. 1406.3/D3/PG/2018).</t>
  </si>
  <si>
    <t>MAY 1</t>
  </si>
  <si>
    <t>10.3390/app9091851</t>
  </si>
  <si>
    <t>IA7SH</t>
  </si>
  <si>
    <t>WOS:000469756000130</t>
  </si>
  <si>
    <t>Liu, ZK; Li, YX; Pan, L; Meng, FL; Zhang, XY</t>
  </si>
  <si>
    <t>Liu, Zhenkai; Li, Yongxia; Pan, Long; Meng, Fanli; Zhang, Xingyao</t>
  </si>
  <si>
    <t>Cold adaptive potential of pine wood nematodes overwintering in plant hosts</t>
  </si>
  <si>
    <t>BIOLOGY OPEN</t>
  </si>
  <si>
    <t>Pine wood nematode; Overwintering; Fatty acid composition; Cryoprotectant</t>
  </si>
  <si>
    <t>TREHALOSE ACCUMULATION; ANTARCTIC NEMATODE; ENTOMOPATHOGENIC NEMATODES; TEMPERATURE; TOLERANCE; SURVIVAL; LIPIDS; ACCLIMATION; LEPIDOPTERA; LARVAE</t>
  </si>
  <si>
    <t>The pine wood nematode (PWN; Bursaphelenchus xylophilus) is the causal agent of pine wilt disease, which results in severe ecological and economic losses in coniferous forests. During overwintering, PWNs undergo morphological and physiological changes to adapt to low temperature environments. Here, the physiological changes of the PWN populations sampled in the summer and winter were compared to analyze the role of low temperatures in their response. The PWN overwinters as third-stage dispersal juveniles, which showed significantly greater survival rates than summer populations (propagative forms) at sub-zero temperatures. The major biochemical compounds in the populations were analyzed by gas chromatography. Eight dominant fatty acids, with stearic acid being the most important, were identified from PWN propagative stage and third-stage dispersal stage. Compared with the propagative stage, the dispersal stage showed significant increases in the fatty acid content and the proportion of unsaturated fatty acids. Three carbohydrates, trehalose, glycerol and glucose, were detected in the PWN. Compared with the summer population, the levels of trehalose and glycerol increased significantly, while glucose decreased, in the winter population. The modifications in fatty acid composition and cryoprotectant levels, as elements of its changing physiology, play important roles in the overwintering success of the PWN.</t>
  </si>
  <si>
    <t>[Liu, Zhenkai; Li, Yongxia; Pan, Long; Meng, Fanli; Zhang, Xingyao] Chinese Acad Forestry, Res Inst Forestry New Technol, Lab Forestry Pathogen Integrated Biol, Beijing 100091, Peoples R China; [Liu, Zhenkai; Li, Yongxia; Pan, Long; Meng, Fanli; Zhang, Xingyao] Nanjing Forestry Univ, Coinnovat Ctr Sustainable Forestry Southern China, Nanjing 210037, Jiangsu, Peoples R China</t>
  </si>
  <si>
    <t>Chinese Academy of Forestry; Research Institute of Forestry New Technology, CAF; Nanjing Forestry University</t>
  </si>
  <si>
    <t>Li, YX (corresponding author), Chinese Acad Forestry, Res Inst Forestry New Technol, Lab Forestry Pathogen Integrated Biol, Beijing 100091, Peoples R China.;Li, YX (corresponding author), Nanjing Forestry Univ, Coinnovat Ctr Sustainable Forestry Southern China, Nanjing 210037, Jiangsu, Peoples R China.</t>
  </si>
  <si>
    <t>lyx020419@caf.ac.cn</t>
  </si>
  <si>
    <t>Meng, Fanli/0000-0002-7276-9842</t>
  </si>
  <si>
    <t>National Key Research and Development Program of China [2017YFD0600102]</t>
  </si>
  <si>
    <t>This research was funded by the National Key Research and Development Program of China [2017YFD0600102].</t>
  </si>
  <si>
    <t>2046-6390</t>
  </si>
  <si>
    <t>BIOL OPEN</t>
  </si>
  <si>
    <t>Biol. Open</t>
  </si>
  <si>
    <t>bio041616</t>
  </si>
  <si>
    <t>10.1242/bio.041616</t>
  </si>
  <si>
    <t>IB2VA</t>
  </si>
  <si>
    <t>WOS:000470125600014</t>
  </si>
  <si>
    <t>Thiéblemont, A; Hernández-Molina, FJ; Miramontes, E; Raisson, F; Penven, P</t>
  </si>
  <si>
    <t>Thieblemont, Antoine; Hernandez-Molina, F. Javier; Miramontes, Elda; Raisson, Francois; Penven, Pierrick</t>
  </si>
  <si>
    <t>Contourite depositional systems along the Mozambique channel: The interplay between bottom currents and sedimentary processes</t>
  </si>
  <si>
    <t>Contourites; Bottom currents; Sedimentary processes; Water mass interfaces; Continental margin; Mozambique channel</t>
  </si>
  <si>
    <t>OCEANIC PYCNOCLINES CHALLENGES; MEDITERRANEAN OUTFLOW WATER; AFRICAN CONTINENTAL-MARGIN; MODERN INTERNAL WAVES; DEEP-WATER; NATAL VALLEY; INDIAN-OCEAN; ANTARCTIC PENINSULA; CRUSTAL STRUCTURE; AGULHAS LEAKAGE</t>
  </si>
  <si>
    <t>We present a combined study of the geomorphology, sedimentology, and physical oceanography of the Mozambique Channel to evaluate the role of bottom currents in shaping the Mozambican continental margin and adjacent Durban basin. Analysis of 2D multichannel seismic reflection profiles and bathymetric features revealed major contourite deposits with erosive (abraded surfaces, contourite channels, moats, furrows and scours), depositional (plastered and elongated-mounded drifts, sedimentary waves), and mixed (terraces) features, which were then used to construct a morpho-sedimentary map of the study area. Hydrographic data and hydrodynamic modelling provide new insights into the distribution of water masses, bottom current circulation and associated processes (e.g., eddies, internal waves, etc.) occurring along the Mozambican slope, base-of-slope and basin floor. Results from this work represent a novel deep-sea sedimentation model for the Mozambican continental margin and adjacent Durban basin. This model shows 1) how bottom circulation of water masses and associated sedimentary processes shape the continental margin, 2) how interface positions of water-masses with contrasting densities (i.e., internal waves) sculpt terraces along the slope at a regional scale, and 3) how morphologic obstacles (seamounts, Mozambique Ridge, etc.) play an essential role in local water mass behaviours and dynamics. Further analysis of similar areas can expand understanding of the global role of bottom currents in deep-sea sedimentation.</t>
  </si>
  <si>
    <t>[Thieblemont, Antoine; Hernandez-Molina, F. Javier] Univ London, Royal Holloway, Dept Earth Sci, Egham TW20 0EX, Surrey, England; [Thieblemont, Antoine; Raisson, Francois] R&amp;D Frontier Explorat Program, TOTAL, Ave Larribau, F-64000 Pau, France; [Miramontes, Elda] IUEM, UMR 6538 CNRS UBO, Lab Geosci Ocean, F-29280 Plouzane, France; [Penven, Pierrick] UBO, UMR 6523 CNRS, IRD, IFREMER,Lab Ocianog Phys &amp; Spatiale, F-29280 Plouzane, France</t>
  </si>
  <si>
    <t>University of London; Royal Holloway University London; Total SA; Universite de Bretagne Occidentale; Institut Universitaire Europeen de la Mer (IUEM); Centre National de la Recherche Scientifique (CNRS); CNRS - National Institute for Earth Sciences &amp; Astronomy (INSU); Institut de Recherche pour le Developpement (IRD); Ifremer; Universite de Bretagne Occidentale</t>
  </si>
  <si>
    <t>Thiéblemont, A (corresponding author), Univ London, Royal Holloway, Dept Earth Sci, Egham TW20 0EX, Surrey, England.</t>
  </si>
  <si>
    <t>Antoine.Thieblemont.2016@live.rhul.ac.uk</t>
  </si>
  <si>
    <t>Penven, Pierrick/A-6665-2008</t>
  </si>
  <si>
    <t>Penven, Pierrick/0000-0001-6456-3142; RAISSON, Francois/0000-0001-7920-8506; Miramontes, Elda/0000-0001-5968-9277</t>
  </si>
  <si>
    <t>TOTAL as part of the Frontier Exploration research program; TOTAL; IFREMER as part of the PAMELA (Passive Margin Exploration Laboratory) scientific project; [CTM 2012-39599-C03]; [CGL2016-80445-R]; [CTM2016-75129-C3-1-R]</t>
  </si>
  <si>
    <t>TOTAL as part of the Frontier Exploration research program; TOTAL(Total SA); IFREMER as part of the PAMELA (Passive Margin Exploration Laboratory) scientific project; ; ;</t>
  </si>
  <si>
    <t>The Authors sincerely thank TOTAL S.A., WesternGeco, and CGG for permission in using seismic datasets. We also thank to the reviewers for their suggestions that helped us to improve the paper. The research formed part of Ph.D. thesis for A. Thieblemont funded by TOTAL as part of the Frontier Exploration research program. Elda Miramontes' Post-Doctoral fellowship was co-funded by TOTAL and IFREMER as part of the PAMELA (Passive Margin Exploration Laboratory) scientific project. The research was conducted in the framework of The Drifters Research Group' of the Royal Holloway University of London (UK), and it is related to the projects CTM 2012-39599-C03, CGL2016-80445-R and CTM2016-75129-C3-1-R.</t>
  </si>
  <si>
    <t>10.1016/j.dsr.2019.03.012</t>
  </si>
  <si>
    <t>IB1RV</t>
  </si>
  <si>
    <t>WOS:000470043200007</t>
  </si>
  <si>
    <t>Remeslo, A; Yukhov, V; Bolstad, K; Laptikhovsky, V</t>
  </si>
  <si>
    <t>Remeslo, Alexander; Yukhov, Valentin; Bolstad, Kathrin; Laptikhovsky, Vladimir</t>
  </si>
  <si>
    <t>Distribution and biology of the colossal squid, Mesonychoteuthis hamiltoni: New data from depredation in toothfish fisheries and sperm whale stomach contents</t>
  </si>
  <si>
    <t>DISSOSTICHUS-MAWSONI; MATURE FEMALE; FEATURES; CEPHALOPODA; CRANCHIIDAE; DIET</t>
  </si>
  <si>
    <t>We provide new insights into the biology and distribution of the colossal squid (Mesonychoteuthis hamiltoni), by analysing historical data collected during the commercial whaling years (1967-1974) together with recent information collated by CCAMLR observers in 2012-2017. The maximum abundance of colossal squid has been observed in the Indian Ocean sector of the Antarctic (Cooperation Sea), and the lowest in the Ross Sea (the area of highest abundance of its predator and competitor, the Antarctic toothfish, Dissostichus mawsoni). The colossal squid appears to feed primarily on mesopelagic fish. Spawning likely occurs in summer; ovulation is synchronous and mature egg size is similar to 3 mm. Adult (large and maturing) M. hamiltoni are the most abundant in sperm whale diets at surface temperatures of -0.9 to 0 degrees C, which may indicate the locations of spawning grounds.</t>
  </si>
  <si>
    <t>[Remeslo, Alexander] All Russian Res Inst Fisheries &amp; Oceanog AtlantNI, Atlantic Branch, 5 DmDonskoy St, Kaliningrad 236000, Russia; [Yukhov, Valentin] Odessa Ctr YugNIRO, 12 Pr T Sheychenko, UA-65058 Odessa, Ukraine; [Bolstad, Kathrin] Auckland Univ Technol, Sch Sci, AUT Lab Cephalopod Ecol &amp; Systemat, Private Bag 92006, Auckland 1142, New Zealand; [Laptikhovsky, Vladimir] CEFAS, Pakefield Rd, Lowestoft NR33 OHT, Suffolk, England</t>
  </si>
  <si>
    <t>Research lnstitute of Fisheries &amp; Oceanography; Auckland University of Technology; Centre for Environment Fisheries &amp; Aquaculture Science</t>
  </si>
  <si>
    <t>Laptikhovsky, V (corresponding author), CEFAS, Pakefield Rd, Lowestoft NR33 OHT, Suffolk, England.</t>
  </si>
  <si>
    <t>vladimir.laptikhovsky@cefas.co.uk</t>
  </si>
  <si>
    <t>10.1016/j.dsr.2019.04.008</t>
  </si>
  <si>
    <t>WOS:000470043200010</t>
  </si>
  <si>
    <t>Ho, P; Resing, JA; Shiller, AM</t>
  </si>
  <si>
    <t>Ho, Peng; Resing, Joseph A.; Shiller, Alan M.</t>
  </si>
  <si>
    <t>Processes controlling the distribution of dissolved Al and Ga along the US GEOTRACES East Pacific Zonal Transect (GP16)</t>
  </si>
  <si>
    <t>Aluminum; Gallium; Eastern tropical Pacific; GEOTRACES; Hydrothermal plume; Sediment resuspension</t>
  </si>
  <si>
    <t>NORTH-ATLANTIC; PARTICULATE ALUMINUM; HYDROTHERMAL PLUMES; COASTAL WATERS; COLUMBIA RIVER; SURFACE WATERS; TRACE-ELEMENTS; IRON; GALLIUM; OCEAN</t>
  </si>
  <si>
    <t>Gallium (Ga) behaves similarly to aluminum (Al) in the ocean. However, there are key differences in their behaviors resulting from the small differences in their chemistry. Here we present the distributions of dissolved Ga and Al in the Eastern Tropical Pacific Ocean, obtained as part of the 2013 U.S. GEOTRACES GP16 Eastern Pacific Zonal Transect (EPZT) from Peru to Tahiti. Low surface water dissolved Ga and Al, as well as high and variable surface water Ga/Al ratios along the EPZT reflect low aeolian input and a longer Ga residence time than Al. A gradient of decreasing surface water Ga toward the Peru upwelling region but not seen in surface water Al can be explained by additional dissolved Al inputs from shelf sediments, the presence of less reactive Al species or advection of low-Ga water from elsewhere. Beyond the coastal upwelling zone, the absence of Ga and Al removal associated with the chlorophyll a maximum suggests minimal removal of Al and Ga by biological scavenging in the oligotrophic gyre waters in the EPZT. West of 105 degrees W, an expanding shallow pool ( &lt; 200 m) of Ga-enriched water suggests Ga accumulation within the gyre circulation. However, we did not observe dissolved Al enrichment in this Ga-enriched pool. West of 90 degrees W, a dissolved Ga minimum is centered within the nutricline, right below the Ga-enriched pool, and is likely a result of advective input of low-Ga water. Anomalously high dissolved Al water in the upper 200 m at the middle of section (106-112 degrees W) was not an artifact of contamination, though the reasons for this remain unknown. Slightly elevated dissolved Al was observed near the Peru margin and at mid-depth in the western part of the section. Surprisingly, this mid-depth dissolved Al enrichment in the west is more prominent than that on the Peru margin. This may result from greater biological Al removal along the margin and/or different dust sources with differing Al solubility. A Ga depletion was commonly observed in the intermediate waters, especially near the Peru margin. This is opposite from the observation of slightly increased Al in these waters and still remains to be explained. Generally, elevated deep water Ga and Al concentrations were observed in this section, indicating inputs from hydrothermal activity and resuspended sediments. However, similar to 930 km east of the East Pacific Rise, decreased bottom water Al, even in the nepheloid layer, might be due to low Al dissolution from these resuspended hydrothermal particles and/or the advection of low-Al Pacific Deep Water from the north. West of 143 degrees W, decreased Ga and increased dissolved Al near the bottom indicate Antarctic Bottom Water influence. In the hydrothermal plumes, dissolved Ga and Al behavior is largely regulated by dilution of the hydrothermal signal. Hydrothermal Al flux estimates show hydrothermal inputs of Al are likely to be of regional, not global importance while the hydrothermal Ga flux might be comparable to the aeolian Ga flux.</t>
  </si>
  <si>
    <t>[Ho, Peng; Shiller, Alan M.] Univ Southern Mississippi, Div Marine Sci, Stennis Space Ctr, MS 39529 USA; [Resing, Joseph A.] Univ Washington, Joint Inst Study Atmosphere &amp; Ocean, 7600 Sand Point Way NE, Seattle, WA 98115 USA; [Resing, Joseph A.] NOAA PMEL, 7600 Sand Point Way NE, Seattle, WA 98115 USA</t>
  </si>
  <si>
    <t>University of Southern Mississippi; University of Washington; University of Washington Seattle; National Oceanic Atmospheric Admin (NOAA) - USA</t>
  </si>
  <si>
    <t>Ho, P (corresponding author), Univ Southern Mississippi, Div Marine Sci, Stennis Space Ctr, MS 39529 USA.</t>
  </si>
  <si>
    <t>peng.ho@usm.edu</t>
  </si>
  <si>
    <t>Resing, Joseph A/J-6110-2017</t>
  </si>
  <si>
    <t>Resing, Joseph A/0000-0002-7334-4176; Shiller, Alan/0000-0002-2068-7909</t>
  </si>
  <si>
    <t>National Science Foundation [OCE-1261214]; US NSF [OCE-1237011]; NOAA [NA150AR432006]</t>
  </si>
  <si>
    <t>National Science Foundation(National Science Foundation (NSF)); US NSF(National Science Foundation (NSF)); NOAA(National Oceanic Atmospheric Admin (NOAA) - USA)</t>
  </si>
  <si>
    <t>We thank Jim Moffett and Greg Cutter for their successful leadership of this expedition. Many thanks to the supertechs, the staff of the Oceanic Data Facility, and the Captain and crew of the RN Thomas G. Thompson. We especially thank Missy Gilbert for her analytical skills in our lab. This work was supported by the National Science Foundation grant OCE-1261214 to AMS. JAR was funded by US NSF award OCE-1237011 and NOAA Cooperative Agreement NA150AR432006. This is JISAO Publication number 2018-0179 and PMEL number XXXX. Data produced under this grant have been submitted to BCO-DMO.</t>
  </si>
  <si>
    <t>10.1016/j.dsr.2019.04.009</t>
  </si>
  <si>
    <t>WOS:000470043200011</t>
  </si>
  <si>
    <t>Oliver, H; St-Laurent, P; Sherrell, RM; Yager, PL</t>
  </si>
  <si>
    <t>Oliver, Hilde; St-Laurent, Pierre; Sherrell, Robert M.; Yager, Patricia L.</t>
  </si>
  <si>
    <t>Modeling Iron and Light Controls on the Summer Phaeocystis antarctica Bloom in the Amundsen Sea Polynya</t>
  </si>
  <si>
    <t>SOUTHERN-OCEAN PHYTOPLANKTON; COMMUNITY STRUCTURE; ROSS SEA; FRAGILARIOPSIS-CYLINDRUS; DATA ASSIMILATION; DISSOLVED IRON; GROWTH-RATES; ICE; CARBON; AVAILABILITY</t>
  </si>
  <si>
    <t>Of all the Antarctic coastal polynyas, the Amundsen Sea Polynya is the most productive per unit area. Observations from the 2010-2011 Amundsen Sea Polynya International Research Expedition (ASPIRE) revealed that both light and iron can limit the growth of phytoplankton (Phaeocystis antarctica), but how these controls manifest over the bloom season is poorly understood, especially with respect to their climate sensitivity. Using a 1-D biogeochemical model, we examine the influence of light and iron limitation on the phytoplankton bloom and vertical carbon flux at 12 stations representing different bloom stages within the polynya. Model parameters are determined by Bayesian optimization and assimilation of ASPIRE observations. The model-data fit is most sensitive to phytoplankton physiological parameters, which among all model parameters are best constrained by the optimization. We find that the 1-D model captures the basic elements of the bloom observed during ASPIRE, despite some discrepancies between modeled and observed dissolved iron distributions. With this model, we explore the way iron availability, in combination with light availability, controlled the rise, peak, and decline of the bloom at the 12 stations. Modeled light limitation by self-shading is very strong, but iron is drawn down as the bloom rises, becoming limiting in combination with light as the bloom declines. These model results mechanistically confirm the importance of climate-sensitive controls like stratification and meltwater on phytoplankton bloom development and carbon export in this region.</t>
  </si>
  <si>
    <t>[Oliver, Hilde; Yager, Patricia L.] Univ Georgia, Dept Marine Sci, Athens, GA 30602 USA; [St-Laurent, Pierre] Old Dominion Univ, Ctr Coastal Phys Oceanog, Norfolk, VA USA; [Sherrell, Robert M.] Rutgers State Univ, Dept Marine &amp; Coastal Sci, New Brunswick, NJ USA; [Sherrell, Robert M.] Rutgers State Univ, Dept Earth &amp; Planetary Sci, Piscataway, NJ USA</t>
  </si>
  <si>
    <t>University System of Georgia; University of Georgia; Old Dominion University; Rutgers University System; Rutgers University New Brunswick; Rutgers University System; Rutgers University New Brunswick</t>
  </si>
  <si>
    <t>Oliver, H (corresponding author), Univ Georgia, Dept Marine Sci, Athens, GA 30602 USA.</t>
  </si>
  <si>
    <t>hildeoliver@uga.edu</t>
  </si>
  <si>
    <t>Yager, Patricia/K-8020-2014</t>
  </si>
  <si>
    <t>Yager, Patricia/0000-0002-8462-6427; Oliver, Hilde/0000-0002-5507-3333; St-Laurent, Pierre/0000-0002-1700-9509</t>
  </si>
  <si>
    <t>National Science Foundation Office of Polar Programs [1443657, 1443315, 1443604]; University of Georgia Presidential Scholarship; NSF Graduate Research Fellowship (GRFP); Directorate For Geosciences; Office of Polar Programs (OPP) [1443657] Funding Source: National Science Foundation; Office of Polar Programs (OPP); Directorate For Geosciences [1443315, 1443604] Funding Source: National Science Foundation</t>
  </si>
  <si>
    <t>National Science Foundation Office of Polar Programs(National Science Foundation (NSF)NSF - Directorate for Geosciences (GEO)); University of Georgia Presidential Scholarship; NSF Graduate Research Fellowship (GRFP); Directorate For Geosciences; Office of Polar Programs (OPP)(National Science Foundation (NSF)NSF - Directorate for Geosciences (GEO)); Office of Polar Programs (OPP); Directorate For Geosciences(National Science Foundation (NSF)NSF - Directorate for Geosciences (GEO))</t>
  </si>
  <si>
    <t>This project was supported by National Science Foundation Office of Polar Programs (collaborative grants 1443657, 1443315, and 1443604) and a University of Georgia Presidential Scholarship and NSF Graduate Research Fellowship (GRFP; to H. O.). ROMS source code is available at www.myroms.org.ECMWF ERA-Interim reanalysis data are available at www.ecmwf.int/en/research/climate-reanalysis/era-interim and AMPS atmospheric data were provided by Ohio State University (http://polarmet.osu.edu/AMPS/). ASPIRE data used for this manuscript are available at BCO-DMO (doi:10.1575/1912/bco-dmo.765081.1). The model data used in the manuscript are also permanently archived at BCO-DMO (https://www.bco-dmo.org/dataset/765252). We would also like to thank the three reviewers of this work for their thoughtful and constructive criticism.</t>
  </si>
  <si>
    <t>10.1029/2018GB006168</t>
  </si>
  <si>
    <t>IB5NJ</t>
  </si>
  <si>
    <t>WOS:000470318300004</t>
  </si>
  <si>
    <t>Carter, BR; Feely, RA; Wanninkhof, R; Kouketsu, S; Sonnerup, RE; Pardo, PC; Sabine, CL; Johnson, GC; Sloyan, BM; Murata, A; Mecking, S; Tilbrook, B; Speer, K; Talley, LD; Millero, FJ; Wijffels, SE; Macdonald, AM; Gruber, N; Bullister, JL</t>
  </si>
  <si>
    <t>Carter, B. R.; Feely, R. A.; Wanninkhof, R.; Kouketsu, S.; Sonnerup, R. E.; Pardo, P. C.; Sabine, C. L.; Johnson, G. C.; Sloyan, B. M.; Murata, A.; Mecking, S.; Tilbrook, B.; Speer, K.; Talley, L. D.; Millero, F. J.; Wijffels, S. E.; Macdonald, A. M.; Gruber, N.; Bullister, J. L.</t>
  </si>
  <si>
    <t>Pacific Anthropogenic Carbon Between 1991 and 2017</t>
  </si>
  <si>
    <t>ANTARCTIC BOTTOM WATER; DISSOLVED INORGANIC CARBON; GLOBAL OCEAN; SOUTHERN-OCEAN; NORTHEAST PACIFIC; CO2 UPTAKE; CIRCULATION; SIMULATION; INCREASE; ACIDIFICATION</t>
  </si>
  <si>
    <t>We estimate anthropogenic carbon (C-anth) accumulation rates in the Pacific Ocean between 1991 and 2017 from 14 hydrographic sections that have been occupied two to four times over the past few decades, with most sections having been recently measured as part of the Global Ocean Ship-based Hydrographic Investigations Program. The rate of change of C-anth is estimated using a new method that combines the extended multiple linear regression method with improvements to address the challenges of analyzing multiple occupations of sections spaced irregularly in time. The C-anth accumulation rate over the top 1,500 m of the Pacific increased from 8.8 (+/- 1.1, 1 sigma) Pg of carbon per decade between 1995 and 2005 to 11.7 (+/- 1.1) PgC per decade between 2005 and 2015. For the entire Pacific, about half of this decadal increase in the accumulation rate is attributable to the increase in atmospheric CO2, while in the South Pacific subtropical gyre this fraction is closer to one fifth. This suggests a substantial enhancement of the accumulation of C-anth in the South Pacific by circulation variability and implies that a meaningful portion of the reinvigoration of the global CO2 sink that occurred between similar to 2000 and similar to 2010 could be driven by enhanced ocean C-anth uptake and advection into this gyre. Our assessment suggests that the accuracy of C-anth accumulation rate reconstructions along survey lines is limited by the accuracy of the full suite of hydrographic data and that a continuation of repeated surveys is a critical component of future carbon cycle monitoring.</t>
  </si>
  <si>
    <t>[Carter, B. R.; Sonnerup, R. E.] Univ Washington, Joint Inst Study Atmosphere &amp; Ocean, Seattle, WA 98195 USA; [Carter, B. R.; Feely, R. A.; Johnson, G. C.; Bullister, J. L.] NOAA, Pacific Marine Environm Lab, 7600 Sand Point Way Ne, Seattle, WA 98115 USA; [Wanninkhof, R.] NOAA, Atlantic Oceanog &amp; Meteorol Lab, Miami, FL 33149 USA; [Kouketsu, S.; Murata, A.] Japan Agcy Marine Earth Sci &amp; Technol JAMSTEC, Yokosuka, Kanagawa, Japan; [Pardo, P. C.] Univ Tasmania, Antarctic Climate &amp; Ecosyst Cooperat Res Ctr, Hobart, Tas, Australia; [Sabine, C. L.] Univ Hawaii Manoa, SOEST, Honolulu, HI 96822 USA; [Sloyan, B. M.; Wijffels, S. E.] CSIRO Oceans &amp; Atmosphere, Hobart, Tas, Australia; [Mecking, S.] Univ Washington, Appl Phys Lab, Seattle, WA 98105 USA; [Tilbrook, B.] CSIRO, Marine Res &amp; Antarctic Climate &amp; Ecosyst Cooperat, Hobart, Tas, Australia; [Speer, K.] Florida State Univ, Dept Oceanog, Tallahassee, FL 32306 USA; [Talley, L. D.] Univ Calif San Diego, Scripps Inst Oceanog, La Jolla, CA 92093 USA; [Millero, F. J.] Univ Miami, Rosenstiel Sch Marine &amp; Atmospher Sci, Coral Gables, FL 33124 USA; [Wijffels, S. E.; Macdonald, A. M.] Woods Hole Oceanog Inst, Woods Hole, MA 02543 USA; [Gruber, N.] Swiss Fed Inst Technol, Inst Biogeochem &amp; Pollutant Dynam, Environm Phys, Zurich, Switzerland</t>
  </si>
  <si>
    <t>University of Washington; University of Washington Seattle; National Oceanic Atmospheric Admin (NOAA) - USA; National Oceanic Atmospheric Admin (NOAA) - USA; Atlantic Oceanographic &amp; Meteorological Laboratory (AOML); Japan Agency for Marine-Earth Science &amp; Technology (JAMSTEC); Antarctic Climate &amp; Ecosystems Cooperative Research Centre (ACE CRC); University of Tasmania; University of Hawaii System; University of Hawaii Manoa; Commonwealth Scientific &amp; Industrial Research Organisation (CSIRO); University of Washington; University of Washington Seattle; Commonwealth Scientific &amp; Industrial Research Organisation (CSIRO); State University System of Florida; Florida State University; University of California System; University of California San Diego; Scripps Institution of Oceanography; University of Miami; Woods Hole Oceanographic Institution; Swiss Federal Institutes of Technology Domain; ETH Zurich</t>
  </si>
  <si>
    <t>Carter, BR (corresponding author), Univ Washington, Joint Inst Study Atmosphere &amp; Ocean, Seattle, WA 98195 USA.;Carter, BR (corresponding author), NOAA, Pacific Marine Environm Lab, 7600 Sand Point Way Ne, Seattle, WA 98115 USA.</t>
  </si>
  <si>
    <t>brendan.carter@noaa.gov</t>
  </si>
  <si>
    <t>Sloyan, Bernadette/N-8989-2014; Wijffels, Susan E/I-8215-2012; Feely, Richard A./ABI-5740-2020; Tilbrook, Bronte/W-4007-2019; Johnson, Gregory C/I-6559-2012; C. Pardo, Paula/A-8217-2019; Carter, Brendan/AAB-1327-2021; Carter, Brendan/ABG-9706-2021; Gruber, Nicolas/B-7013-2009</t>
  </si>
  <si>
    <t>Sloyan, Bernadette/0000-0003-0250-0167; Tilbrook, Bronte/0000-0001-9385-3827; Johnson, Gregory C/0000-0002-8023-4020; C. Pardo, Paula/0000-0001-6348-2332; Gruber, Nicolas/0000-0002-2085-2310; Talley, Lynne/0000-0003-1574-729X; Wijffels, Susan/0000-0002-4717-0811; Kouketsu, Shinya/0000-0002-8217-5888; Sabine, Christopher/0000-0001-6945-8552</t>
  </si>
  <si>
    <t>NSF OCE; NOAA OAR; National Oceanic and Atmospheric Administration Global Ocean Monitoring and Observing Program [N8R3CEA-PDM]; Australian Government Department of the Environment; CSIRO through the Australian Climate Change Science Programme; National Environmental Science Program; ETH Zurich; Climate Observation Division, Climate Program Office, National Oceanic and Atmospheric Administration (NOAA), U.S. Department of Commerce; NOAA [100007298, N8R1SE3-PGC]</t>
  </si>
  <si>
    <t>NSF OCE(National Science Foundation (NSF)NSF - Directorate for Geosciences (GEO)); NOAA OAR(National Oceanic Atmospheric Admin (NOAA) - USA); National Oceanic and Atmospheric Administration Global Ocean Monitoring and Observing Program(National Oceanic Atmospheric Admin (NOAA) - USA); Australian Government Department of the Environment(Australian Government); CSIRO through the Australian Climate Change Science Programme; National Environmental Science Program; ETH Zurich(ETH Zurich); Climate Observation Division, Climate Program Office, National Oceanic and Atmospheric Administration (NOAA), U.S. Department of Commerce(National Oceanic Atmospheric Admin (NOAA) - USA); NOAA(National Oceanic Atmospheric Admin (NOAA) - USA)</t>
  </si>
  <si>
    <t>The data we use can be accessed at CCHDO website (https://cchdo.ucsd.edu/) and GLODAP website (https://www.glodap.info/). This research would not be possible without the hard work of the scientists and crew aboard the many repeated hydrographic cruises coordinated by GO-SHIP, which is funded by NSF OCE and NOAA OAR. We thank funding agencies and program managers as follows: U.S., Australian, Japanese national science funding agencies that support data collection, data QA/QC, and data centers. Contributions from B. R. C., R. A. F., and R. W. are supported by the National Oceanic and Atmospheric Administration Global Ocean Monitoring and Observing Program (Data Management and Synthesis Grant: N8R3CEA-PDM managed by Kathy Tedesco and David Legler). G. C. J. is supported by the Climate Observation Division, Climate Program Office, National Oceanic and Atmospheric Administration (NOAA), U.S. Department of Commerce and NOAA Research (fund reference 100007298), grant (N8R1SE3-PGC). B. M. S was supported by the Australian Government Department of the Environment and CSIRO through the Australian Climate Change Science Programme and by the National Environmental Science Program. N. G. acknowledges support by ETH Zurich. This is JISAO contribution 2018-0149 and PMEL contribution 4786. We fondly remember John Bullister as a treasured friend, valued colleague, and dedicated mentor, and we thank him for sharing his days with us. He is and will be dearly missed.</t>
  </si>
  <si>
    <t>10.1029/2018GB006154</t>
  </si>
  <si>
    <t>WOS:000470318300005</t>
  </si>
  <si>
    <t>Pour, AB; Hashim, M; Hong, JK; Park, Y</t>
  </si>
  <si>
    <t>Pour, Amin Beiranvand; Hashim, Mazlan; Hong, Jong Kuk; Park, Yongcheol</t>
  </si>
  <si>
    <t>Lithological and alteration mineral mapping in poorly exposed lithologies using Landsat-8 and ASTER satellite data: North-eastern Graham Land, Antarctic Peninsula</t>
  </si>
  <si>
    <t>ORE GEOLOGY REVIEWS</t>
  </si>
  <si>
    <t>Satellite-based remote sensing approach; Antarctic Peninsula; Graham Land; Poorly exposed lithologies; Landsat-8; ASTER; Inaccessible regions</t>
  </si>
  <si>
    <t>REFLECTION RADIOMETER ASTER; SPACEBORNE THERMAL EMISSION; INDEPENDENT COMPONENT ANALYSIS; ADAPTIVE COHERENCE ESTIMATOR; SUBPIXEL TARGET DETECTION; PORPHYRY COPPER-DEPOSIT; REMOTE-SENSING DATA; OSCAR-II COAST; SNOW-COVER; TRINITY PENINSULA</t>
  </si>
  <si>
    <t>Antarctica remains a remote and logistically difficult region to conduct geological field mapping and mineral exploration. Remote sensing satellite imagery has high potential to provide a solution to overcome the difficulties and limitations associated with geological field mapping and mineral exploration in inaccessible regions. In this study, the applications of Landsat-8 and the Advanced Spacebome Thermal Emission and Reflection Radiometer (ASTER) data were investigated to extract geological information for lithological and alteration mineral mapping in poorly exposed lithologies located in inaccessible regions. The north-eastern Graham Land, Antarctic Peninsula (AP) was selected in this study to conduct a satellite-based remote sensing mapping approach. A two-stage methodology was adopted to distinguish pixel and sub-pixel targets in the satellite images. In the first stage, Continuum Removal (CR) spectral mapping tool and Independent Components Analysis (ICA) technique were applied to Landsat-8 and ASTER spectral bands to map the pixels related to poorly exposed lithological units. The second step was established based on the application of target detection algorithms to shortwave infrared bands of ASTER for detecting spectral features attributed to alteration mineral assemblages at the sub-pixel level. Pixels composed of distinctive absorption features of alteration mineral assemblages and Si-O bond emission minima features were detected by applying CR mapping tool to reflective and thermal bands of Landsat-8 and ASTER. Anomaly pixels related to spectral features of Al-O-H, Fe, Mg-O-H and CO3 groups as well as lithological attributions from felsic to mafic rocks were detected by the implementation of ICA technique to reflective and thermal bands of Landsat-8 and ASTER. ICA method provided image maps of alteration mineral assemblages and lithological units (mafic to felsic trend) for poorly mapped and/or unmapped regions. Fractional abundance of alteration minerals such as muscovite, kaolinite, illite, montmorillonite, epidote, chlorite and biotite were detected in poorly exposed lithologies using target detection algorithms. Several prospecting areas for Cu, Mo, Au and Ag mineralization related to propyllitically and argillically altered units of Andean Intrusive Suite (AIS) were identified in the southern sector of the study region. The results of this investigation demonstrated the applicability of Landsat-8 and ASTER spectral data for lithological and alteration mineral mapping in poorly exposed lithologies located in inaccessible regions, particularly using the image processing algorithms that are capable of detecting anomaly pixels and sub-pixel targets in the remotely sensed images, where no prior information is available. In conclusion, a simple and robust satellite-based remote sensing approach for mapping poorly exposed lithologies in inaccessible regions was established, which is comprehensively applicable for lithological and alteration mineral mapping in the Antarctic environments and hydrothermal ore minerals prospecting in other inaccessible regions around the world.</t>
  </si>
  <si>
    <t>[Pour, Amin Beiranvand; Hashim, Mazlan] Univ Teknol Malaysia, Geosci &amp; Digital Earth Ctr INSTeG, Johor Baharu 81310, Utm Skudai, Malaysia; [Pour, Amin Beiranvand; Hong, Jong Kuk; Park, Yongcheol] Korea Polar Res Inst KOPRI, Incheon 21990, South Korea</t>
  </si>
  <si>
    <t>Universiti Teknologi Malaysia; Korea Polar Research Institute (KOPRI)</t>
  </si>
  <si>
    <t>Pour, AB (corresponding author), Univ Teknol Malaysia, Geosci &amp; Digital Earth Ctr INSTeG, Johor Baharu 81310, Utm Skudai, Malaysia.</t>
  </si>
  <si>
    <t>beiranvand.amin80@gmail.com; mazlanhashim@utm.my; jkhong@kopri.re.kr; ypark@kopri.re.kr</t>
  </si>
  <si>
    <t>Hashim, Mazlan/J-7291-2012; Beiranvand Pour, Amin/E-1723-2013</t>
  </si>
  <si>
    <t>Hashim, Mazlan/0000-0001-8284-3332; Beiranvand Pour, Amin/0000-0001-8783-5120</t>
  </si>
  <si>
    <t>Yayasan Penyelidikan Antartika Sultan Mizan (YPASM) research grant [R.J130000.7309.4B221]; KOPRI Grant [PE17050]; KOPRI's Asian Polar Science Fellowship Program</t>
  </si>
  <si>
    <t>Yayasan Penyelidikan Antartika Sultan Mizan (YPASM) research grant; KOPRI Grant(Korea Polar Research Institute of Marine Research Placement (KOPRI)); KOPRI's Asian Polar Science Fellowship Program(Korea Polar Research Institute of Marine Research Placement (KOPRI))</t>
  </si>
  <si>
    <t>This study was conducted as a part of Yayasan Penyelidikan Antartika Sultan Mizan (YPASM) research grant (Vote no: R.J130000.7309.4B221), Sultan Mizan Antarctic Research Foundation, Malaysia. This study was partially supported by KOPRI Grant PE17050 and KOPRI's Asian Polar Science Fellowship Program. We are thankful to the Universiti Teknologi Malaysia and Korea Polar Research Institute (KOPRI) for providing the facilities for this investigation. We also would like to express our great appreciation to Prof. Franco Pirajno and Dr. Gonzalez-Alvarez, Prof. Ravi P. Gupta and the anonymous reviewer for their very useful and constructive comments and suggestions for improvement of the manuscript.</t>
  </si>
  <si>
    <t>0169-1368</t>
  </si>
  <si>
    <t>1872-7360</t>
  </si>
  <si>
    <t>ORE GEOL REV</t>
  </si>
  <si>
    <t>Ore Geol. Rev.</t>
  </si>
  <si>
    <t>10.1016/j.oregeorev.2017.07.018</t>
  </si>
  <si>
    <t>Geology; Mineralogy; Mining &amp; Mineral Processing</t>
  </si>
  <si>
    <t>IB1RJ</t>
  </si>
  <si>
    <t>WOS:000470042000009</t>
  </si>
  <si>
    <t>Gonzalez, S; Bech, J; Udina, M; Codina, B; Paci, A; Trapero, L</t>
  </si>
  <si>
    <t>Gonzalez, Sergi; Bech, Joan; Udina, Mireia; Codina, Bernat; Paci, Alexandre; Trapero, Laura</t>
  </si>
  <si>
    <t>Decoupling between Precipitation Processes and Mountain Wave Induced Circulations Observed with a Vertically Pointing K-Band Doppler Radar</t>
  </si>
  <si>
    <t>MRR; Parsivel disdrometer; orographic precipitation; mountain waves; rotor; winter storm; Pyrenees</t>
  </si>
  <si>
    <t>OROGRAPHIC PRECIPITATION; WEATHER RADAR; TURBULENCE; SNOW; DISDROMETER; IMPROVEMENT; ANTARCTICA; EVOLUTION; EVENTS; GROWTH</t>
  </si>
  <si>
    <t>Recent studies reported that precipitation and mountain waves induced low tropospheric level circulations may be decoupled or masked by greater spatial scale variability despite generally there is a connection between microphysical processes of precipitation and mountain driven air flows. In this paper we analyse two periods of a winter storm in the Eastern Pyrenees mountain range (NE Spain) with different mountain wave induced circulations and low-level turbulence as revealed by Micro Rain Radar (MRR), microwave radiometer and Parsivel disdrometer data during the Cerdanya-2017 field campaign. We find that during the event studied mountain wave wind circulations and low-level turbulence do not affect neither the snow crystal riming or aggregation along the vertical column nor the surface particle size distribution of the snow. This study illustrates that precipitation profiles and mountain induced circulations may be decoupled which can be very relevant for either ground-based or spaceborne remote sensing of precipitation.</t>
  </si>
  <si>
    <t>[Gonzalez, Sergi] AEMET, DT Catalonia, Barcelona 08005, Spain; [Gonzalez, Sergi; Bech, Joan; Udina, Mireia; Codina, Bernat] Univ Barcelona, Dept Appl Phys Meteorol, E-08028 Barcelona, Spain; [Paci, Alexandre] METEO FRANCE, CNRS, Ctr Natl Rech Meteorol, F-31100 Toulouse, France; [Trapero, Laura] Inst Estudis Andorrans CENMA IEA, Snow &amp; Mt Res Ctr Andorra, AD-600 St Julia De Loria, Andorra</t>
  </si>
  <si>
    <t>Agencia Estatal de Meteorologia (AEMET); University of Barcelona; Meteo France; Centre National de la Recherche Scientifique (CNRS)</t>
  </si>
  <si>
    <t>Gonzalez, S (corresponding author), AEMET, DT Catalonia, Barcelona 08005, Spain.;Gonzalez, S; Bech, J (corresponding author), Univ Barcelona, Dept Appl Phys Meteorol, E-08028 Barcelona, Spain.</t>
  </si>
  <si>
    <t>sgonzalezh@aemet.es; joan.bech@ub.edu; mudina@meteo.ub.edu; bcodina@ub.edu; alexandre.paci@meteo.fr; ltrapero@iea.ad</t>
  </si>
  <si>
    <t>Bech, Joan/A-8408-2008; Gonzalez-Herrero, Sergi/Y-7279-2018; Udina, Mireia/G-9775-2015</t>
  </si>
  <si>
    <t>Bech, Joan/0000-0003-3597-7439; Gonzalez-Herrero, Sergi/0000-0002-2505-2435; Udina, Mireia/0000-0002-8024-3293</t>
  </si>
  <si>
    <t>MINECO/FEDER [CGL2015-65627-C3-1-R, CGL2015-65627-C3-2-R]; MINECO [CGL2016-81828-REDT]; Water Research Institute (IdRA) of the University of Barcelona; ANTALP (Antarctic, Arctic and Alpine Environments) Research Group of the Catalan Government [2017-SGR-1102]; Meteorology Research Group of the Catalan Government [2017-SGR-0651]</t>
  </si>
  <si>
    <t>MINECO/FEDER(Spanish Government); MINECO(Spanish Government); Water Research Institute (IdRA) of the University of Barcelona; ANTALP (Antarctic, Arctic and Alpine Environments) Research Group of the Catalan Government; Meteorology Research Group of the Catalan Government</t>
  </si>
  <si>
    <t>The Cerdanya-2017 field campaign is a research e ff ort organized by the University of the Balearic Islands, the University of Barcelona, METEO-FRANCE and the Meteorological Service of Catalonia and was funded by the Spanish projects CGL2015-65627-C3-1-R (MINECO/FEDER), CGL2015-65627-C3-2-R (MINECO/FEDER), CGL2016-81828-REDT (MINECO) and the Water Research Institute (IdRA) of the University of Barcelona. Research activities of S.G. and of J.B., M.U., B.C., are supported respectively by the ANTALP (Antarctic, Arctic and Alpine Environments, 2017-SGR-1102) and the Meteorology (2017-SGR-0651) Research Groups of the Catalan Government.</t>
  </si>
  <si>
    <t>10.3390/rs11091034</t>
  </si>
  <si>
    <t>IA7US</t>
  </si>
  <si>
    <t>WOS:000469763600042</t>
  </si>
  <si>
    <t>Ito, A; Myriokefalitakis, S; Kanakidou, M; Mahowald, NM; Scanza, RA; Hamilton, DS; Baker, AR; Jickells, T; Sarin, M; Bikkina, S; Gao, Y; Shelley, RU; Buck, CS; Landing, WM; Bowie, AR; Perron, MMG; Guieu, C; Meskhidze, N; Johnson, MS; Feng, Y; Kok, JF; Nenes, A; Duce, RA</t>
  </si>
  <si>
    <t>Ito, Akinori; Myriokefalitakis, Stelios; Kanakidou, Maria; Mahowald, Natalie M.; Scanza, Rachel A.; Hamilton, Douglas S.; Baker, Alex R.; Jickells, Timothy; Sarin, Manmohan; Bikkina, Srinivas; Gao, Yuan; Shelley, Rachel U.; Buck, Clifton S.; Landing, William M.; Bowie, Andrew R.; Perron, Morgane M. G.; Guieu, Cecile; Meskhidze, Nicholas; Johnson, Matthew S.; Feng, Yan; Kok, Jasper F.; Nenes, Athanasios; Duce, Robert A.</t>
  </si>
  <si>
    <t>Pyrogenic iron: The missing link to high iron solubility in aerosols</t>
  </si>
  <si>
    <t>ATMOSPHERIC IRON; MINERAL DUST; PACIFIC-OCEAN; CHEMICAL-CHARACTERIZATION; COMBUSTION AEROSOLS; ARABIAN SEA; DESERT DUST; DISSOLUTION; DEPOSITION; EMISSIONS</t>
  </si>
  <si>
    <t>Atmospheric deposition is a source of potentially bioavailable iron (Fe) and thus can partially control biological productivity in large parts of the ocean. However, the explanation of observed high aerosol Fe solubility compared to that in soil particles is still controversial, as several hypotheses have been proposed to explain this observation. Here, a statistical analysis of aerosol Fe solubility estimated from four models and observations compiled from multiple field campaigns suggests that pyrogenic aerosols are the main sources of aerosols with high Fe solubility at low concentration. Additionally, we find that field data over the Southern Ocean display a much wider range in aerosol Fe solubility compared to the models, which indicate an underestimation of labile Fe concentrations by a factor of 15. These findings suggest that pyrogenic Fe-containing aerosols are important sources of atmospheric bioavailable Fe to the open ocean and crucial for predicting anthropogenic perturbations to marine productivity.</t>
  </si>
  <si>
    <t>[Ito, Akinori] JAMSTEC, Yokohama Inst Earth Sci, Yokohama, Kanagawa 2360001, Japan; [Myriokefalitakis, Stelios] Univ Utrecht, IMAU, NL-3584 CC Utrecht, Netherlands; [Myriokefalitakis, Stelios; Nenes, Athanasios] NOA, Inst Environm Res &amp; Sustainable Dev, GR-15236 Palea Penteli, Greece; [Kanakidou, Maria] Univ Crete, Dept Chem, ECPL, Iraklion 70013, Greece; [Mahowald, Natalie M.; Scanza, Rachel A.; Hamilton, Douglas S.] Cornell Univ, Dept Earth &amp; Atmospher Sci, Ithaca, NY 14853 USA; [Baker, Alex R.; Jickells, Timothy] Univ East Anglia, Sch Environm Sci, Ctr Ocean &amp; Atmospher Sci, Norwich, Norfolk, England; [Sarin, Manmohan; Bikkina, Srinivas] Phys Res Lab, Ahmadabad, Gujarat, India; [Gao, Yuan] Rutgers State Univ, Newark, NJ 07102 USA; [Shelley, Rachel U.; Landing, William M.] Florida State Univ, Tallahassee, FL 32301 USA; [Buck, Clifton S.] Univ Georgia, Skidaway Inst Oceanog, Savannah, GA 31411 USA; [Bowie, Andrew R.; Perron, Morgane M. G.] Univ Tasmania, Inst Marine &amp; Antarctic Studies, Hobart, Tas, Australia; [Guieu, Cecile] Sorbonne Univ, CNRS, LOV, F-06230 Villefranche Sur Mer, France; [Meskhidze, Nicholas] North Carolina State Univ, Raleigh, NC 27695 USA; [Johnson, Matthew S.] NASA, Ames Res Ctr, Moffett Field, CA 94035 USA; [Feng, Yan] Argonne Natl Lab, Argonne, IL 60439 USA; [Kok, Jasper F.] Univ Calif Los Angeles, Dept Atmospher &amp; Ocean Sci, Los Angeles, CA 90095 USA; [Nenes, Athanasios] Ecole Polytech Fed Lausanne, Sch Architecture Civil &amp; Environm Engn, Lab Atmospher Proc &amp; Their Impacts, CH-1015 Lausanne, Switzerland; [Nenes, Athanasios] Fdn Res &amp; Technol Hellas, Inst Chem Engn Sci, GR-26504 Patras, Greece; [Duce, Robert A.] Texas A&amp;M Univ, Dept Oceanog, College Stn, TX 77843 USA; [Duce, Robert A.] Texas A&amp;M Univ, Dept Atmospher Sci, College Stn, TX 77843 USA</t>
  </si>
  <si>
    <t>Japan Agency for Marine-Earth Science &amp; Technology (JAMSTEC); Utrecht University; University of Crete; Cornell University; University of East Anglia; Department of Space (DoS), Government of India; Physical Research Laboratory - India; Rutgers University System; Rutgers University Newark; Rutgers University New Brunswick; State University System of Florida; Florida State University; University System of Georgia; University of Georgia; Skidaway Institute of Oceanography; University of Tasmania; Centre National de la Recherche Scientifique (CNRS); Sorbonne Universite; North Carolina State University; National Aeronautics &amp; Space Administration (NASA); NASA Ames Research Center; United States Department of Energy (DOE); Argonne National Laboratory; University of California System; University of California Los Angeles; Swiss Federal Institutes of Technology Domain; Ecole Polytechnique Federale de Lausanne; Foundation for Research &amp; Technology - Hellas (FORTH); Institute of Chemical Engineering Sciences (ICE-HT); Texas A&amp;M University System; Texas A&amp;M University College Station; Texas A&amp;M University System; Texas A&amp;M University College Station</t>
  </si>
  <si>
    <t>Ito, A (corresponding author), JAMSTEC, Yokohama Inst Earth Sci, Yokohama, Kanagawa 2360001, Japan.</t>
  </si>
  <si>
    <t>akinorii@jamstec.go.jp</t>
  </si>
  <si>
    <t>Duce, Robert A/A-9917-2010; BIKKINA, SRINIVAS/A-2519-2014; Guieu, Cecile/AAU-6883-2021; Ito, Akinori/M-9599-2014; Baker, Alex R/D-1233-2011; Perron, Morgane/HHS-1241-2022; Mahowald, Natalie M/D-8388-2013; Kok, Jasper F/A-9698-2008; Landing, William/KBA-8522-2024; Nenes, Athanasios/ABE-6478-2020; Myriokefalitakis, Stelios/J-3701-2014; Bowie, Andrew/C-8677-2013; Kanakidou, Maria/D-7882-2012; Buck, Clifton/F-5820-2010</t>
  </si>
  <si>
    <t>Guieu, Cecile/0000-0001-6373-8326; Ito, Akinori/0000-0002-4937-2927; Mahowald, Natalie M/0000-0002-2873-997X; Landing, William/0000-0002-7514-3247; Nenes, Athanasios/0000-0003-3873-9970; Myriokefalitakis, Stelios/0000-0002-1541-7680; Bowie, Andrew/0000-0002-5144-7799; BIKKINA, SRINIVAS/0000-0001-8519-012X; Scanza, Rachel/0000-0001-8196-9953; Perron, Morgane/0000-0001-5424-7138; Kanakidou, Maria/0000-0002-1724-9692; Baker, Alex/0000-0002-8365-8953; Buck, Clifton/0000-0002-5691-9636; Hamilton, Douglas/0000-0002-8171-5723</t>
  </si>
  <si>
    <t>JSPS KAKENHI [JP16K00530]; Integrated Research Program for Advancing Climate Models (MEXT); Marie-Curie H2020-MSCA-IF-2015 grant ODEON [705652]; DOE [DE-SC0006791]; Argonne National Laboratory under the U.S. Department of Energy [DE-AC02-06CH11357]; ICSU Scientific Committee on Oceanic Research; U.S. NSF; Global Atmosphere Watch of the World Meteorological Organization; International Maritime Organization; University of East Anglia; SURF Cooperative; [NSF-CLD-1552519]; [NSF-OCE-0929919]; [NSF-OCE-1034764]; [NSF-OPP-0944589]; U.S. Department of Energy (DOE) [DE-SC0006791] Funding Source: U.S. Department of Energy (DOE); Marie Curie Actions (MSCA) [705652] Funding Source: Marie Curie Actions (MSCA)</t>
  </si>
  <si>
    <t>JSPS KAKENHI(Ministry of Education, Culture, Sports, Science and Technology, Japan (MEXT)Japan Society for the Promotion of ScienceGrants-in-Aid for Scientific Research (KAKENHI)); Integrated Research Program for Advancing Climate Models (MEXT); Marie-Curie H2020-MSCA-IF-2015 grant ODEON(European Union (EU)Marie Curie Actions); DOE(United States Department of Energy (DOE)); Argonne National Laboratory under the U.S. Department of Energy(United States Department of Energy (DOE)); ICSU Scientific Committee on Oceanic Research; U.S. NSF(National Science Foundation (NSF)); Global Atmosphere Watch of the World Meteorological Organization; International Maritime Organization; University of East Anglia; SURF Cooperative; ; ; ; ; U.S. Department of Energy (DOE)(United States Department of Energy (DOE)); Marie Curie Actions (MSCA)(Marie Curie Actions)</t>
  </si>
  <si>
    <t>Support for this research was provided to A. I. by JSPS KAKENHI grant number JP16K00530 and Integrated Research Program for Advancing Climate Models (MEXT). S.M. acknowledges financial support by the Marie-Curie H2020-MSCA-IF-2015 grant ODEON (ID 705652). Part of model data post-processing was carried out on the Dutch national e-infrastructure with the support of the SURF Cooperative. N.M.M., R.A.S., and D.S.H. acknowledge support from DOE DE-SC0006791. This work was supported by grants to J.F.K. (NSF-CLD-1552519), W.M.L. (NSF-OCE-0929919 and NSF-OCE-1034764), and Y.G. (NSF-OPP-0944589). Support to Y.F. is provided by Argonne National Laboratory under the U.S. Department of Energy contract DE-AC02-06CH11357. This paper resulted from the deliberations of United Nations GESAMP Working Group 38, The Atmospheric Input of Chemicals to the Ocean. We thank the ICSU Scientific Committee on Oceanic Research, the U.S. NSF, the Global Atmosphere Watch of the World Meteorological Organization, the International Maritime Organization, and the University of East Anglia for their support.</t>
  </si>
  <si>
    <t>eaau7671</t>
  </si>
  <si>
    <t>10.1126/sciadv.aau7671</t>
  </si>
  <si>
    <t>IB2UU</t>
  </si>
  <si>
    <t>WOS:000470125000021</t>
  </si>
  <si>
    <t>Burri, L; Heggen, K; Storsve, AB</t>
  </si>
  <si>
    <t>Burri, Lena; Heggen, Knut; Storsve, Andreas Berg</t>
  </si>
  <si>
    <t>Phosphatidylcholine from krill increases plasma choline and its metabolites in dogs</t>
  </si>
  <si>
    <t>VETERINARY WORLD</t>
  </si>
  <si>
    <t>choline metabolites; choline; dog; krill meal; phosphatidylcholine</t>
  </si>
  <si>
    <t>LECITHIN; SUPPLEMENTATION; HOMOCYSTEINE; CONSUMPTION; DEFICIENCY; DISEASE</t>
  </si>
  <si>
    <t>Background and Aim: Choline and its metabolites have multiple physiological roles in the body, which are important for muscle function, memory, methylation reactions, and hepatic lipid transport. This study aimed to investigate, if inclusion of phosphatidylcholine (PC) from Antarctic krill (Euphausia superba) can increase the concentration of choline and its metabolites in plasma of sled dogs in comparison to a control group. Materials and Methods: Ten adult Alaskan Huskies of both genders were supplemented with PC from 8% dietary krill meal inclusion for 6 weeks, while another ten dogs received no krill meal supplementation. Blood measurements of the two groups were taken at baseline and end of the study and compared for choline and its metabolite concentrations. Results: The choline concentration of the krill meal-supplemented dogs was significantly higher after 6 weeks of krill meal feeding compared to the control group (mean increase =4.53 mu mol/L in the supplemented versus 1.21 mu mol/L in the control group, p=0.014). Furthermore, krill meal-supplemented dogs showed significantly more pronounced increases in betaine (p&lt;0.001), dimethylglycine (p&lt;0.01), trimethylamine-N-oxide (p&lt;0.001), and trimethyllysine (p&lt;0.001) compared to the control group. Significant correlations between changes in choline and changes in its metabolites were observed. Conclusion: The results showed that krill meal supplementation was associated with significantly higher plasma choline concentrations, which correlated with changed concentrations of choline metabolites.</t>
  </si>
  <si>
    <t>[Burri, Lena; Heggen, Knut; Storsve, Andreas Berg] Aker BioMarine Antarctic AS, Lysaker, Norway</t>
  </si>
  <si>
    <t>Burri, L (corresponding author), Aker BioMarine Antarctic AS, Lysaker, Norway.</t>
  </si>
  <si>
    <t>lena.burri@akerbiomarine.com; knut.heggen@akerbiomarine.com; andreas.storsve@akerbiomarine.com</t>
  </si>
  <si>
    <t>Storsve, Andreas B/0000-0001-6807-8638</t>
  </si>
  <si>
    <t>GUJARAT</t>
  </si>
  <si>
    <t>STAR, GULSHAN PARK, NH-8A, CHANDRAPUR RD, WANKANER, GUJARAT, 363 621, INDIA</t>
  </si>
  <si>
    <t>0972-8988</t>
  </si>
  <si>
    <t>2231-0916</t>
  </si>
  <si>
    <t>VET WORLD</t>
  </si>
  <si>
    <t>Vet. World</t>
  </si>
  <si>
    <t>10.14202/vetworld.2019.671-676</t>
  </si>
  <si>
    <t>IB1DP</t>
  </si>
  <si>
    <t>WOS:000470004400007</t>
  </si>
  <si>
    <t>Leane, E; Maddison, B; Norris, K</t>
  </si>
  <si>
    <t>Leane, Elizabeth; Maddison, Ben; Norris, Kimberley</t>
  </si>
  <si>
    <t>Beyond the Heroic Stereotype: Sidney Jeffryes and the Mythologising of Australian Antarctic History</t>
  </si>
  <si>
    <t>AUSTRALIAN HUMANITIES REVIEW</t>
  </si>
  <si>
    <t>[Leane, Elizabeth] Univ Tasmania, English, Hobart, Tas, Australia; [Maddison, Ben] Univ Wollongong, Inst Marine &amp; Antarctic Studies, Wollongong, NSW, Australia; [Maddison, Ben] Univ Wollongong, Wollongong, NSW, Australia; [Norris, Kimberley] Univ Tasmania, Psychol, Hobart, Tas, Australia</t>
  </si>
  <si>
    <t>University of Tasmania; University of Wollongong; University of Wollongong; University of Tasmania</t>
  </si>
  <si>
    <t>Leane, E (corresponding author), Univ Tasmania, English, Hobart, Tas, Australia.</t>
  </si>
  <si>
    <t>Norris, Kimberley/J-7260-2014</t>
  </si>
  <si>
    <t>Leane, Elizabeth/0000-0002-7954-6529</t>
  </si>
  <si>
    <t>Australian Research Council [FT120100402]; University of Tasmania [L0024246]; Australian Research Council [FT120100402] Funding Source: Australian Research Council</t>
  </si>
  <si>
    <t>Australian Research Council(Australian Research Council); University of Tasmania; Australian Research Council(Australian Research Council)</t>
  </si>
  <si>
    <t>This work was supported by the Australian Research Council under FT120100402; and the University of Tasmania under L0024246.</t>
  </si>
  <si>
    <t>AUSTRALIAN NATL UNIV, SCH HUMANITIES</t>
  </si>
  <si>
    <t>CANBERRA</t>
  </si>
  <si>
    <t>AD HOPE BLDG, STE 14, CANBERRA, ACT 0200, AUSTRALIA</t>
  </si>
  <si>
    <t>1835-8063</t>
  </si>
  <si>
    <t>1325-8338</t>
  </si>
  <si>
    <t>AUST HUMANIT REV</t>
  </si>
  <si>
    <t>Aust. Humanit. Rev.</t>
  </si>
  <si>
    <t>Humanities, Multidisciplinary</t>
  </si>
  <si>
    <t>Arts &amp; Humanities - Other Topics</t>
  </si>
  <si>
    <t>HZ8AT</t>
  </si>
  <si>
    <t>WOS:000469076600001</t>
  </si>
  <si>
    <t>Han, ZG; Zhang, YX; Yang, JK</t>
  </si>
  <si>
    <t>Han, Zhenggang; Zhang, Yuxi; Yang, Jiangke</t>
  </si>
  <si>
    <t>Biochemical Characterization of a New β-Agarase from Cellulophaga algicola</t>
  </si>
  <si>
    <t>INTERNATIONAL JOURNAL OF MOLECULAR SCIENCES</t>
  </si>
  <si>
    <t>agar; agarose; beta-agarase; glycoside hydrolase; neoagarooligosaccharide</t>
  </si>
  <si>
    <t>DEEP-SEA BACTERIUM; MARINE BACTERIUM; ZOBELLIA-GALACTANIVORANS; ENZYMATIC-HYDROLYSIS; EXPRESSION; CLONING; PURIFICATION; OLIGOSACCHARIDES; IDENTIFICATION; AGAROSE</t>
  </si>
  <si>
    <t>Cellulophaga algicola DSM 14237, isolated from the Eastern Antarctic coastal zone, was found to be able to hydrolyze several types of polysaccharide materials. In this study, a predicted -agarase (CaAga1) from C. algicola was heterologously expressed in Escherichia coli. The purified recombinant CaAga1 showed specific activities of 29.39, 20.20, 14.12, and 8.99 U/mg toward agarose, pure agar, and crude agars from Gracilaria lemaneiformis and Porphyra haitanensis, respectively. CaAga1 exhibited an optimal temperature and pH of 40 degrees C and 7, respectively. CaAga1 was stable over a wide pH range from 4 to 11. The recombinant enzyme showed an unusual thermostability, that is, it was stable at temperature below or equal to 40 degrees C and around 70 degrees C, but was thermolabile at about 50 degrees C. With the agarose as the substrate, the K-m and V-max values for CaAga1 were 1.19 mg/mL and 36.21 U/mg, respectively. The reducing reagent (dithiothreitol) enhanced the activity of CaAga1 by more than one fold. In addition, CaAga1 was salt-tolerant given that it retained approximately 70% of the maximum activity in the presence of 2 M NaCl. The thin layer chromatography results indicated that CaAga1 is an endo-type -agarase and efficiently hydrolyzed agarose into neoagarotetraose (NA4) and neoagarohexaose (NA6). A structural model of CaAga1 in complex with neoagarooctaose (NA8) was built by homology modeling and explained the hydrolysis pattern of CaAga1.</t>
  </si>
  <si>
    <t>[Han, Zhenggang; Zhang, Yuxi; Yang, Jiangke] Wuhan Polytech Univ, Coll Biol &amp; Pharmaceut Engn, Wuhan 430023, Hubei, Peoples R China</t>
  </si>
  <si>
    <t>Wuhan Polytechnic University</t>
  </si>
  <si>
    <t>Yang, JK (corresponding author), Wuhan Polytech Univ, Coll Biol &amp; Pharmaceut Engn, Wuhan 430023, Hubei, Peoples R China.</t>
  </si>
  <si>
    <t>zhengganghan@whpu.edu.cn; zhangyuxi162@163.com; jiangke.yang@gmail.com</t>
  </si>
  <si>
    <t>China Ocean Mineral Resources Research and Development Association [DY135-B2-06]</t>
  </si>
  <si>
    <t>China Ocean Mineral Resources Research and Development Association</t>
  </si>
  <si>
    <t>This work was financially supported by the project (no. DY135-B2-06) from China Ocean Mineral Resources Research and Development Association.</t>
  </si>
  <si>
    <t>1422-0067</t>
  </si>
  <si>
    <t>INT J MOL SCI</t>
  </si>
  <si>
    <t>Int. J. Mol. Sci.</t>
  </si>
  <si>
    <t>10.3390/ijms20092143</t>
  </si>
  <si>
    <t>IA7RK</t>
  </si>
  <si>
    <t>WOS:000469753500090</t>
  </si>
  <si>
    <t>Kriegisch, N; Reeves, SE; Johnson, CR; Ling, SD</t>
  </si>
  <si>
    <t>Kriegisch, N.; Reeves, S. E.; Johnson, C. R.; Ling, S. D.</t>
  </si>
  <si>
    <t>Top-down sea urchin overgrazing overwhelms bottom-up stimulation of kelp beds despite sediment enhancement</t>
  </si>
  <si>
    <t>Herbivory; Heliocidaris erythrogramma; Ecklonia radiata; Phase shift; Nutrification; Sedimentation</t>
  </si>
  <si>
    <t>TURF-FORMING ALGAE; MACROALGAL ASSEMBLAGES; HELIOCIDARIS-ERYTHROGRAMMA; NUTRIENT ENRICHMENT; MARINE DIVERSITY; HABITAT; COMMUNITY; RESPONSES; ECOSYSTEM; SURVIVAL</t>
  </si>
  <si>
    <t>Biogenic marine habitats are threatened by a multitude of human stressors, and urbanised temperate coasts in particular are exposed to an intense and accumulating range of impacts. Here we use a 3-way factorial design to test the individual and combined effects of an approximate doubling of nutrients, sedimentation and sea urchin herbivory on rocky reef macroalgal bed structure over a 14-month field experiment within the urbanised setting of Australia's largest embayment (Port Phillip Bay, Victoria). Our aim was to examine whether these stressors would result in altered macroalgal bed structure (i.e. canopy and understorey components) when applied singly and in combination. The experiment was designed to evaluate the opposing influences of top-down (urchin overgrazing) and bottom-up (elevated nutrients) control of macroalgal bed structure in the presence and absence of elevated sedimentation. We show that kelp cover and abundance respond positively to nutrient enrichment (approximately twice ambient nutrient levels overall; with NH3, NOx and FRP being 2.6, 1.5 and 1.4 times higher respectively), but when combined with enhanced abundance of grazing sea urchins (at double ambient abundance), the local positive effect of nutrient enrichment was overwhelmed by the negative effect of increased herbivory. Fucoid cover showed no response to experimental treatments indicating greater resilience to urban stressors, however the trends in abundance of fucoids indicated the potential for positive nutrient and negative urchin effects manifesting beyond 14-months. Turf cover showed a very different trend, with no detectable response to nutrient enrichment, yet showed a positive response to urchin enhancement mediated by competitive release from kelp as a result of preferential urchin grazing of kelp. Enhanced sedimentation (twice ambient load), had no detectable effects on kelp, fucoids or other algal guilds, but appeared to negate the effect of urchin grazing when applied in combination with enhanced urchin abundance. Cover of non-turf understorey showed no response across all experimental treatments, indicating relatively high resilience of this guild. Collectively, our study demonstrates that 'top-down' effects of urchin grazing can overwhelm the positive 'bottom-up' effect of nutrient enhancement on kelp, and providing urchin abundance does not exceed the overgrazing threshold, that macroalgal community structure appears to demonstrate resilience to an approximate doubling in nutrient levels and/or sedimentation.</t>
  </si>
  <si>
    <t>[Kriegisch, N.; Reeves, S. E.; Johnson, C. R.; Ling, S. D.] Univ Tasmania, Inst Marine &amp; Antarctic Studies, Hobart, Tas 7001, Australia</t>
  </si>
  <si>
    <t>Ling, SD (corresponding author), Univ Tasmania, Inst Marine &amp; Antarctic Studies, Hobart, Tas 7001, Australia.</t>
  </si>
  <si>
    <t>Scott.Ling@utas.edu.au</t>
  </si>
  <si>
    <t>Reeves, Simon E/AAJ-3379-2021; Ling, Scott/J-7161-2014</t>
  </si>
  <si>
    <t>Ling, Scott/0000-0002-5544-8174; Reeves, Simon/0000-0001-6715-466X</t>
  </si>
  <si>
    <t>Victorian State Government Department of Environment Land Water and Planning grant; plus Australian Postgraduate Awards; plus Holsworth Wildlife Endowments; Australian Research Council</t>
  </si>
  <si>
    <t>Victorian State Government Department of Environment Land Water and Planning grant; plus Australian Postgraduate Awards; plus Holsworth Wildlife Endowments; Australian Research Council(Australian Research Council)</t>
  </si>
  <si>
    <t>We would like to thank Steve Swearer (SS) from the University of Melbourne for providing laboratory space, plus use of field equipment including boats, vehicles and SCUBA gear. We thank Dean Chamberlain for driving boats and assisting fieldwork. This study was supported by a Victorian State Government Department of Environment Land Water and Planning grant (CRJ and SS), plus Australian Postgraduate Awards (NK and SER), plus Holsworth Wildlife Endowments (SDL, NK and SER) and the Australian Research Council (SDL). CRJ and SDL designed the research; SDL, NK and SER performed all field sampling; NK and SDL wrote the manuscript; all authors provided edits.</t>
  </si>
  <si>
    <t>10.1016/j.jembe.2019.03.012</t>
  </si>
  <si>
    <t>HZ9DD</t>
  </si>
  <si>
    <t>WOS:000469155100007</t>
  </si>
  <si>
    <t>Olmi, R; Priori, S; Toccafondi, A; Puggelli, F</t>
  </si>
  <si>
    <t>Olmi, Roberto; Priori, Saverio; Toccafondi, Alberto; Puggelli, Federico</t>
  </si>
  <si>
    <t>An Open-Resonator Sensor for Measuring the Dielectric Properties of Antarctic Ice</t>
  </si>
  <si>
    <t>SENSORS</t>
  </si>
  <si>
    <t>complex permittivity measurement; dielectric spectroscopy; dielectric measurement; Antarctic firn</t>
  </si>
  <si>
    <t>PERMITTIVITY MEASUREMENT</t>
  </si>
  <si>
    <t>In this paper, the theory behind the design of a microwave sensor for the accurate measurement of firn complex permittivity is presented. This class of microwave sensors, based on the open-coaxial re-entrant cavity method, is specifically designed to measure, by means of a simple and quick procedure, the complex permittivity profile of low loss materials. A calibration procedure is introduced to derive the complex permittivity of the material under measurement (MUM). Two specimens of this class of microwave sensors have been realized to sample the complex permittivity profile of a 106-m long ice core drilled from the Antarctic plateau at Concordia Station. The preliminary results of the on site measurement campaign are reported, showing very good agreement with theoretical models available in the literature.</t>
  </si>
  <si>
    <t>[Olmi, Roberto; Priori, Saverio] IFAC CNR, I-50019 Sesto Fiorentino, Italy; [Toccafondi, Alberto; Puggelli, Federico] DIISM UNISI, I-53100 Siena, Italy</t>
  </si>
  <si>
    <t>Consiglio Nazionale delle Ricerche (CNR); Istituto di Fisica Applicata Nello Carrara (IFAC-CNR)</t>
  </si>
  <si>
    <t>Olmi, R (corresponding author), IFAC CNR, I-50019 Sesto Fiorentino, Italy.</t>
  </si>
  <si>
    <t>r.olmi@ifac.cnr.it; s.priori@ifac.cnr.it; albertot@dii.unisi.it; fede.puggelli@gmail.com</t>
  </si>
  <si>
    <t>TOCCAFONDI, Alberto/0000-0001-7492-9902</t>
  </si>
  <si>
    <t>2016 Italian National Antarctic Program (PNRA-MIUR) [PNRA 2016/AC3.05]; French-Italian Concordia Station</t>
  </si>
  <si>
    <t>2016 Italian National Antarctic Program (PNRA-MIUR); French-Italian Concordia Station</t>
  </si>
  <si>
    <t>This work is supported by the 2016 Italian National Antarctic Program (PNRA-MIUR) under the project PNRA 2016/AC3.05. The field operations benefited from the support of the French-Italian Concordia Station.</t>
  </si>
  <si>
    <t>1424-8220</t>
  </si>
  <si>
    <t>SENSORS-BASEL</t>
  </si>
  <si>
    <t>Sensors</t>
  </si>
  <si>
    <t>10.3390/s19092099</t>
  </si>
  <si>
    <t>Chemistry, Analytical; Engineering, Electrical &amp; Electronic; Instruments &amp; Instrumentation</t>
  </si>
  <si>
    <t>Chemistry; Engineering; Instruments &amp; Instrumentation</t>
  </si>
  <si>
    <t>IA7VU</t>
  </si>
  <si>
    <t>WOS:000469766800143</t>
  </si>
  <si>
    <t>Yadav, JS; Pratap, B; Gupta, AK; Dobhal, DP; Yadav, RBS; Tiwari, SK</t>
  </si>
  <si>
    <t>Yadav, Jairam Singh; Pratap, Bhanu; Gupta, Anil K.; Dobhal, D. P.; Yadav, R. B. S.; Tiwari, Sameer K.</t>
  </si>
  <si>
    <t>Spatio-temporal variability of near-surface air temperature in the Dokriani glacier catchment (DGC), central Himalaya</t>
  </si>
  <si>
    <t>THEORETICAL AND APPLIED CLIMATOLOGY</t>
  </si>
  <si>
    <t>LAPSE-RATE; GARHWAL HIMALAYA; ENERGY-BALANCE; SOLAR-RADIATION; CLIMATE-CHANGE; MASS-BALANCE; ALTITUDE; RATES; RUNOFF; TRENDS</t>
  </si>
  <si>
    <t>Air temperature is one of the most important meteorological factors that affect melting of glaciers, distribution of snowfall and rain at higher altitudes in the Himalaya. However, studies on spatio-temporal variability of air temperature in the central Himalaya are limited. In the present study, seasonal and annual characteristics (July 2011 to December 2015) of near-surface temperature and lapse rate in the Dokriani glacier catchment (DGC) of the central Himalaya are investigated using data from three automatic weather stations (AWSs). An attempt is also made to quantify 0 degrees C isotherm and temperate sustainability over the glacierized area. The results reveal that the average near-surface temperature lapse rate (NSTLR) of the catchment varies from 4.6 to 7.5 degrees Ckm(-1) during all measurement seasons, suggesting that the standard environmental lapse rate (SELR, 6.5 degrees Ckm(-1)) is not a promising input for realistic glacio-hydrological modeling. The seasonal variability of the NSTLR indicates that the monsoon (warm and humid period) lowers the temperature lapse rate in this catchment due to the presence of high moisture content in the air. The steepest lapse rate is investigated during the pre-monsoon season due to clear and drier weather conditions. In addition to this, the results reveal strong variability in NSTLR at diurnal and sub-diurnal levels, with high variability in the day time and low in the night-time hours. A higher air temperature is examined in the ablation zone of the Dokriani Glacier during the monsoon season (i.e., JJAS: June, July, August, September), while other seasons (pre-monsoon, post-monsoon, winter) show both higher as well as lower temperatures. A large variation in 0 degrees C isotherm is also observed ranging from 5000 to 5500m asl during 2012-2015. The present work emphasizes that the study of monthly, seasonal, and annual variability of the NSTLR are very important for glacio-hydrological research in the central Himalaya.</t>
  </si>
  <si>
    <t>[Yadav, Jairam Singh; Dobhal, D. P.; Tiwari, Sameer K.] Wadia Inst Himalayan Geol, Ctr Glaciol, Dehra Dun 248001, India; [Yadav, Jairam Singh; Yadav, R. B. S.] Kurukshetra Univ, Dept Geophys, Kurukshetra 136119, Haryana, India; [Pratap, Bhanu] Minist Earth Sci, Natl Ctr Antarctic &amp; Ocean Res, Vasco Da Gama 403804, Goa, India; [Gupta, Anil K.] Wadia Inst Himalayan Geol, Dehra Dun 248001, India; [Gupta, Anil K.] Indian Inst Technol, Dept Geol &amp; Geophys, Kharagpur 721302, W Bengal, India</t>
  </si>
  <si>
    <t>Department of Science &amp; Technology (India); Wadia Institute of Himalayan Geology (WIHG); Kurukshetra University; Ministry of Earth Sciences (MoES) - India; National Centre for Polar and Ocean Research (NCPOR); Department of Science &amp; Technology (India); Wadia Institute of Himalayan Geology (WIHG); Indian Institute of Technology System (IIT System); Indian Institute of Technology (IIT) - Kharagpur</t>
  </si>
  <si>
    <t>Yadav, JS (corresponding author), Wadia Inst Himalayan Geol, Ctr Glaciol, Dehra Dun 248001, India.;Yadav, JS (corresponding author), Kurukshetra Univ, Dept Geophys, Kurukshetra 136119, Haryana, India.</t>
  </si>
  <si>
    <t>jai.au08@gmail.com</t>
  </si>
  <si>
    <t>Pratap, Bhanu/G-5509-2014</t>
  </si>
  <si>
    <t>Pratap, Bhanu/0000-0001-9454-7274; Yadav, R B S/0000-0001-9890-3926; Gupta, Anil/0000-0003-0536-3911</t>
  </si>
  <si>
    <t>Department of Science and Technology (DST), Government of India; DST, New Delhi; Wadia Institute of Himalayan Geology (WIHG), Dehradun</t>
  </si>
  <si>
    <t>Department of Science and Technology (DST), Government of India(Department of Science &amp; Technology (India)); DST, New Delhi(Department of Science &amp; Technology (India)); Wadia Institute of Himalayan Geology (WIHG), Dehradun</t>
  </si>
  <si>
    <t>The authors are thankful to the Director, Wadia Institute of Himalayan Geology (WIHG), Dehradun for providing the necessary facilities and support to carry out this study. The authors would like to thank the Department of Science and Technology (DST), Government of India, for providing funds to carry out this research work. AKG thanks the DST, New Delhi for J.C. Bose fellowship. JSY is thankful to Dr. Kishor Kumar for improving the manuscript. JSY is thankful to Dr. Rakesh Bhamri, Dr. Amit Kumar, Mr. Akshaya Verma, Mr. Anshuman Misra, and Mr. Anupam Anand Gokhale for their encouragement and unending support. Authors are indebted to the Editor-in-Chief Dr. Hartmut Grassl and reviewers for critical reviews and suggestions, which improved the quality of manuscript significantly.</t>
  </si>
  <si>
    <t>SPRINGER WIEN</t>
  </si>
  <si>
    <t>WIEN</t>
  </si>
  <si>
    <t>SACHSENPLATZ 4-6, PO BOX 89, A-1201 WIEN, AUSTRIA</t>
  </si>
  <si>
    <t>0177-798X</t>
  </si>
  <si>
    <t>1434-4483</t>
  </si>
  <si>
    <t>THEOR APPL CLIMATOL</t>
  </si>
  <si>
    <t>Theor. Appl. Climatol.</t>
  </si>
  <si>
    <t>10.1007/s00704-018-2544-z</t>
  </si>
  <si>
    <t>HX1KU</t>
  </si>
  <si>
    <t>WOS:000467151000053</t>
  </si>
  <si>
    <t>Spatio-temporal variability of near-surface air temperature in the Dokriani glacier catchment (DGC), central Himalaya (vol 136, pg 1513, 2019)</t>
  </si>
  <si>
    <t>10.1007/s00704-018-2575-5</t>
  </si>
  <si>
    <t>WOS:000467151000054</t>
  </si>
  <si>
    <t>Madeira, C; Mendonça, V; Leal, MC; Diniz, MS; Cabral, HN; Flores, AAV; Vinagre, C</t>
  </si>
  <si>
    <t>Madeira, Carolina; Mendonca, Vanessa; Leal, Miguel C.; Diniz, Mario S.; Cabral, Henrique N.; Flores, Augusto A. V.; Vinagre, Catarina</t>
  </si>
  <si>
    <t>Present and future invasion perspectives of an alien shrimp in South Atlantic coastal waters: an experimental assessment of functional biomarkers and thermal tolerance</t>
  </si>
  <si>
    <t>BIOLOGICAL INVASIONS</t>
  </si>
  <si>
    <t>Tropical shrimp; Invasive species; Warming oceans; Rocky reefs; Thermal biology; Stress physiology</t>
  </si>
  <si>
    <t>HEAT-SHOCK PROTEINS; CLIMATE-CHANGE; OXIDATIVE STRESS; GENE-EXPRESSION; NATURAL-POPULATIONS; ANTARCTIC FISH; LONG-TERM; TEMPERATURE; RESPONSES; MARINE</t>
  </si>
  <si>
    <t>Climate change, particularly ocean warming, is thought to benefit the spread of invasive species due to their increased tolerance to temperature fluctuations as compared to native species. The physiological tolerance of invasive species as a potential mechanism driving invasion success is therefore a subject that merits further study. Specifically, we need to adequately evaluate the potential of species invasions under changing environmental conditions, so that adequate preventive measures can be taken to minimize any impacts on coastal ecosystems. Here, we experimentally evaluated the physiological responses of a recent invader in the Southern Atlantic, the shrimp Lysmata lipkei, under a warming ocean scenario. Adult shrimps were collected from rocky shores in southeastern Brazil and subjected to experimental trials under a control and a +3 degrees C scenario. Molecular biomarkers (in gills and muscle), upper thermal limits, acclimation response ratios, thermal safety margins, mortality rates, estimates of body condition and energy reserves were measured over 1month. Results suggest that higher temperatures elicit physiological adjustments at the molecular level, underpinning a high thermal tolerance. In addition, results indicated substantial acclimation capacity, with no evidence of decreased performance under an ocean-warming scenario. Thermal safety margins were low for shrimp from intertidal rock pools but high for shrimp from subtidal habitats. We conclude that the thermal tolerance of this shrimp species may favor its ongoing invasion along the Southwestern Atlantic Ocean, mainly in subtidal habitats, both under present and future thermal conditions. [GRAPHICS] .</t>
  </si>
  <si>
    <t>[Madeira, Carolina; Mendonca, Vanessa; Leal, Miguel C.; Cabral, Henrique N.; Vinagre, Catarina] Univ Lisbon, Fac Ciencias, MARE Marine &amp; Environm Sci Ctr, P-1749016 Lisbon, Portugal; [Madeira, Carolina; Diniz, Mario S.] Univ Nova Lisboa, Fac Ciencias &amp; Tecnol, Dept Quim, UCIBIO,REQUIMTE, P-2829516 Caparica, Portugal; [Leal, Miguel C.] Swiss Fed Inst Aquatic Sci &amp; Technol Eawag, Ctr Ecol Evolut &amp; Biogeochem, Dept Fish Ecol &amp; Evolut, Seestr 79, CH-6047 Kastanienbaum, Switzerland; [Cabral, Henrique N.] Irstea, UR EABX, 50 Ave Verdun, F-33612 Cestas, France; [Flores, Augusto A. V.] Univ Sao Paulo, Cebimar Ctr Biol Marinha, Rod Manoel Hipolito Rego,Km 131-5, Sao Sebastiao, SP, Brazil</t>
  </si>
  <si>
    <t>Universidade de Lisboa; Universidade Nova de Lisboa; INRAE; Universidade de Sao Paulo</t>
  </si>
  <si>
    <t>Madeira, C (corresponding author), Univ Lisbon, Fac Ciencias, MARE Marine &amp; Environm Sci Ctr, P-1749016 Lisbon, Portugal.</t>
  </si>
  <si>
    <t>scmadeira@fc.ul.pt</t>
  </si>
  <si>
    <t>Cabral, Henrique/D-5201-2011; Vinagre, Catarina/G-1965-2015; Diniz, Mário/C-7849-2013; Madeira, Carolina/B-1531-2019; Leal, Miguel/C-8611-2009; Mendonca, Vanessa/C-5774-2015; Flores, Augusto A. V./B-7092-2011</t>
  </si>
  <si>
    <t>Cabral, Henrique/0000-0002-7646-6208; Vinagre, Catarina/0000-0003-2146-7948; Diniz, Mário/0000-0003-1571-0366; Madeira, Carolina/0000-0003-1632-634X; Leal, Miguel/0000-0003-0672-6251; Mendonca, Vanessa/0000-0002-3658-9502; Flores, Augusto A. V./0000-0001-9347-8860</t>
  </si>
  <si>
    <t>Portuguese Foundation for Science and Technology (FCT) [PTDC/MAR-EST/2141/2012, UID/MAR/04292/2013, UID/Multi/04378/2013, SFRH/BD/92975/2013, SFRH/BD/109618/2015, SFRH/BPD/115298/2016]; Fundação para a Ciência e a Tecnologia [SFRH/BPD/115298/2016, SFRH/BD/92975/2013] Funding Source: FCT</t>
  </si>
  <si>
    <t>Portuguese Foundation for Science and Technology (FCT)(Fundacao para a Ciencia e a Tecnologia (FCT)); Fundação para a Ciência e a Tecnologia(Fundacao para a Ciencia e a Tecnologia (FCT))</t>
  </si>
  <si>
    <t>The present research was financially supported by the Portuguese Foundation for Science and Technology (FCT) through the WarmingWebs Project (PTDC/MAR-EST/2141/2012), the Investigador FCT'' position granted to C.V. and the strategic Projects UID/MAR/04292/2013 granted to MARE and UID/Multi/04378/2013 granted to UCIBIO. Authors C.M. and V.M. acknowledge Ph.D. Grants (SFRH/BD/92975/2013 and SFRH/BD/109618/2015, respectively), and M.C.L. acknowledges a post-doc Grant (SFRH/BPD/115298/2016), all Granted by FCT. The funding institution had no influence in the study design, collection and analysis of datasets or in the decision to publish the work. Authors would like to thank everyone who helped during field work and experimental trials, and to a Megan Walters for proofreading.</t>
  </si>
  <si>
    <t>1387-3547</t>
  </si>
  <si>
    <t>1573-1464</t>
  </si>
  <si>
    <t>BIOL INVASIONS</t>
  </si>
  <si>
    <t>Biol. Invasions</t>
  </si>
  <si>
    <t>10.1007/s10530-019-01921-1</t>
  </si>
  <si>
    <t>HV3CU</t>
  </si>
  <si>
    <t>WOS:000465867500011</t>
  </si>
  <si>
    <t>Dall'Osto, M; Airs, RL; Beale, R; Cree, C; Fitzsimons, MF; Beddows, D; Harrison, RM; Ceburnis, D; O'Dowd, C; Rinaldi, M; Paglione, M; Nenes, A; Decesari, S; Simó, R</t>
  </si>
  <si>
    <t>Dall'Osto, Manuel; Airs, Ruth L.; Beale, Rachael; Cree, Charlotte; Fitzsimons, Mark F.; Beddows, David; Harrison, Roy M.; Ceburnis, Darius; O'Dowd, Colin; Rinaldi, Matteo; Paglione, Marco; Nenes, Athanasios; Decesari, Stefano; Simo, Rafel</t>
  </si>
  <si>
    <t>Simultaneous Detection of Alkylamines in the Surface Ocean and Atmosphere of the Antarctic Sympagic Environment</t>
  </si>
  <si>
    <t>ACS EARTH AND SPACE CHEMISTRY</t>
  </si>
  <si>
    <t>Polar biogeochemistry; marine aerosol; ATOFMS; Secondary Aerosols; Southern Ocean; polar emissions; Polar ecology</t>
  </si>
  <si>
    <t>CLOUD CONDENSATION NUCLEI; SIZE-SEGREGATED AEROSOL; SOUTHERN-OCEAN; MIXING STATE; CHEMICAL-CHARACTERIZATION; CONTAINING PARTICLES; MASS-SPECTROMETRY; CONCORDIA SITE; BOUNDARY-LAYER; SULFURIC-ACID</t>
  </si>
  <si>
    <t>Measurements of alkylamines from seawater and atmospheric samples collected simultaneously across the Antarctic Peninsula, South Orkney and South Georgia Islands are reported. Concentrations of mono-, di-, and trimethylamine (MMA, DMA, and TMA, respectively), and their precursors, the quarternary amines glycine betaine and choline, were enhanced in sympagic seawater samples relative to ice-devoid pelagic ones, suggesting the microbiota of sea ice and sea ice-influenced ocean is a major source of these compounds. Primary sea-spray aerosol particles artificially generated by bubbling seawater samples were investigated by aerosol time-of-flight mass spectrometry (ATOFMS) of single particles; their mixing state indicated that alkylamines were aerosolized with sea spray from dissolved and particulate organic nitrogen pools. Despite this unequivocal sea spray-associated source of alkylamines, ATOFMS analyses of ambient aerosols in the sympagic region indicated that the majority (75-89%) of aerosol alkylamines were of secondary origin, that is, incorporated into the aerosol after gaseous air-sea exchange. These findings show that sympagic seawater properties are a source of alkylamines influencing the biogenic aerosol fluxed from the ocean into the boundary layer; these organic nitrogen compounds should be considered when assessing secondary aerosol formation processes in Antarctica.</t>
  </si>
  <si>
    <t>[Dall'Osto, Manuel; Simo, Rafel] Inst Marine Sci, Passeig Maritim de la Barceloneta 37-49, E-08003 Barcelona, Spain; [Dall'Osto, Manuel; Beddows, David; Harrison, Roy M.] Univ Birmingham, Natl Ctr Atmospher Sci, Birmingham B15 2TT, W Midlands, England; [Dall'Osto, Manuel; Ceburnis, Darius; O'Dowd, Colin] Natl Univ Ireland Galway, Ryan Inst, Sch Phys, Univ Rd, Galway, Ireland; [Dall'Osto, Manuel; Ceburnis, Darius; O'Dowd, Colin] Natl Univ Ireland Galway, Ryan Inst, Ctr Climate &amp; Air Pollut Studies, Univ Rd, Galway, Ireland; [Airs, Ruth L.; Beale, Rachael] Plymouth Marine Lab, Prospect Pl, Plymouth PL1 3DH, Devon, England; [Cree, Charlotte; Fitzsimons, Mark F.] Univ Plymouth, Biogeochem Res Ctr, Plymouth PL4 8AA, Devon, England; [Rinaldi, Matteo; Paglione, Marco] CNR, Inst Atmospher Sci &amp; Climate, I-40129 Bologna, Italy; [Paglione, Marco; Nenes, Athanasios] Fdn Res &amp; Technol Hellas Forth Ice HT, Inst Chem Engn Sci, Patras 26504, Greece; [Nenes, Athanasios] Ecole Polytech Fed Lausanne, Sch Architecture Civil &amp; Environm Engn, Lab Atmospher Proc &amp; Their Impacts, CH-1015 Lausanne, Switzerland; [Harrison, Roy M.; Decesari, Stefano] King Abdulaziz Univ, Ctr Excellence Environm Studies, Dept Environm Sci, POB 80203, Jeddah 21589, Saudi Arabia</t>
  </si>
  <si>
    <t>Consejo Superior de Investigaciones Cientificas (CSIC); CSIC - Centro Mediterraneo de Investigaciones Marinas y Ambientales (CMIMA); CSIC - Instituto de Ciencias del Mar (ICM); University of Birmingham; UK Research &amp; Innovation (UKRI); Natural Environment Research Council (NERC); NERC National Centre for Atmospheric Science; Ollscoil na Gaillimhe-University of Galway; Ollscoil na Gaillimhe-University of Galway; Plymouth Marine Laboratory; University of Plymouth; Consiglio Nazionale delle Ricerche (CNR); Istituto di Scienze dell'Atmosfera e del Clima (ISAC-CNR); Foundation for Research &amp; Technology - Hellas (FORTH); Institute of Chemical Engineering Sciences (ICE-HT); Swiss Federal Institutes of Technology Domain; Ecole Polytechnique Federale de Lausanne; King Abdulaziz University</t>
  </si>
  <si>
    <t>Dall'Osto, M (corresponding author), Inst Marine Sci, Passeig Maritim de la Barceloneta 37-49, E-08003 Barcelona, Spain.;Dall'Osto, M (corresponding author), Univ Birmingham, Natl Ctr Atmospher Sci, Birmingham B15 2TT, W Midlands, England.;Dall'Osto, M (corresponding author), Natl Univ Ireland Galway, Ryan Inst, Sch Phys, Univ Rd, Galway, Ireland.;Dall'Osto, M (corresponding author), Natl Univ Ireland Galway, Ryan Inst, Ctr Climate &amp; Air Pollut Studies, Univ Rd, Galway, Ireland.</t>
  </si>
  <si>
    <t>dallosto@icm.csic.es</t>
  </si>
  <si>
    <t>rinaldi, matteo/K-6083-2012; Ceburnis, Darius/C-1293-2012; Harrison, Roy Michael/A-2256-2008; Paglione, Marco/J-9760-2012; Nenes, Athanasios/ABE-6478-2020; O'Dowd, Colin D/K-8904-2012; Beddows, David/ABA-7223-2021; Fitzsimons, Mark/J-6854-2015; dallosto, manuel/G-3584-2016</t>
  </si>
  <si>
    <t>Paglione, Marco/0000-0002-4423-2570; Nenes, Athanasios/0000-0003-3873-9970; O'Dowd, Colin D/0000-0002-3068-2212; Beddows, David/0000-0001-9277-2099; Harrison, Roy/0000-0002-2684-5226; Simo, Rafel/0000-0003-3276-7663; Fitzsimons, Mark/0000-0002-6443-6087; Cree, Charlotte/0000-0003-0930-3959; dallosto, manuel/0000-0003-4203-894X</t>
  </si>
  <si>
    <t>Spanish Ministry of Economy through project BIOeNUC [CGL2013-49020-R]; Spanish Ministry of Economy through Ramon y Cajal fellowship [RYC-2012-11922]; EU though the FP7-PEOPLE-2013-IOF programme [624680]; EU though the PEGASO [CTM2012-37615]; U.K. Natural Environment Research Council; Spanish Ministry of Economy through PI-ICE [CTM2017-89117-R]; Natural Environment Research Council [NE/R015953/1, NE/M003361/1, NE/P012930/1, NE/P008526/1, NE/I025077/1, NE/P021409/1, NE/R010382/1] Funding Source: researchfish; NERC [NE/M003361/1, NE/P012930/1, NE/R015953/1, NE/R010013/1, NE/P008526/1, NE/I025077/1, NE/R010382/1, NE/P021409/1] Funding Source: UKRI</t>
  </si>
  <si>
    <t>Spanish Ministry of Economy through project BIOeNUC; Spanish Ministry of Economy through Ramon y Cajal fellowship; EU though the FP7-PEOPLE-2013-IOF programme; EU though the PEGASO; U.K. Natural Environment Research Council(UK Research &amp; Innovation (UKRI)Natural Environment Research Council (NERC)); Spanish Ministry of Economy through PI-ICE; Natural Environment Research Council(UK Research &amp; Innovation (UKRI)Natural Environment Research Council (NERC)); NERC(UK Research &amp; Innovation (UKRI)Natural Environment Research Council (NERC))</t>
  </si>
  <si>
    <t>The study was supported by the Spanish Ministry of Economy through project BIOeNUC (CGL2013-49020-R), PI-ICE (CTM2017-89117-R,) and the Ramon y Cajal fellowship (RYC-2012-11922) and by the EU though the FP7-PEOPLE-2013-IOF programme (Project Number 624680, MANU Marine Aerosol NUcleations), all to M.D., and PEGASO (CTM2012-37615) to R.S.. We wish to thank the Spanish Armada, and particularly the captains and crew of the BIO A-33 Hesperides, for their invaluable collaboration. We are also indebted to the UTM, and especially Miki Ojeda, for logistic and technical support. The Spanish Antarctic Programme and Polar Committee provided context and advice. The National Centre for Atmospheric Science NCAS Birmingham group is funded by the U.K. Natural Environment Research Council. We would like to thank Dr. K. Sellegri (LaMP/CNRS, France) for lending a small sea spray tank for lab studies. The whole PEGASO team is also acknowledged.</t>
  </si>
  <si>
    <t>2472-3452</t>
  </si>
  <si>
    <t>ACS EARTH SPACE CHEM</t>
  </si>
  <si>
    <t>ACS Earth Space Chem.</t>
  </si>
  <si>
    <t>10.1021/acsearthspacechem.9b00028</t>
  </si>
  <si>
    <t>Chemistry, Multidisciplinary; Geochemistry &amp; Geophysics</t>
  </si>
  <si>
    <t>Chemistry; Geochemistry &amp; Geophysics</t>
  </si>
  <si>
    <t>HY8CZ</t>
  </si>
  <si>
    <t>WOS:000468366300018</t>
  </si>
  <si>
    <t>Nayak, S</t>
  </si>
  <si>
    <t>Nayak, Shailesh</t>
  </si>
  <si>
    <t>Cooperation with China to Advance Scientific and Technological Knowledge</t>
  </si>
  <si>
    <t>CHINA REPORT</t>
  </si>
  <si>
    <t>Science and technology; Himalayan ecosystem; polar science; Indian ocean; India and China</t>
  </si>
  <si>
    <t>CLIMATE</t>
  </si>
  <si>
    <t>The development of a country is closely linked to investments made in science and technology as well as in social science and humanities. The investments made by China during last three decades in scientific research and technological innovation have led to flourishing industries and ultimately to economic development. India needs to enhance its investment in scientific research and innovation. However, unregulated development also leads to environmental and ecological issues. India and China are both actively addressing issues related to climate change. It may be worthwhile to develop a joint strategy by India and China to mitigate impacts of climate change. Another area where India and China can work together to understand the Himalayan eco-system as it affects many countries in this region. A formation of the Himalayan Science Council has been proposed to address issues related to glaciology, biodiversity, earthquakes and landslide as well as social and cultural issues. Such collaboration can be further advanced in the Arctic and Antarctica through the Asian Forum for Polar Sciences and influence Arctic and Antarctic research. The scientific leadership which India has in the Indian Ocean needs to leveraged for scientific diplomacy with China. Such scientific collaboration will not only help India and China but also contribute towards addressing regional and global scientific challenges.</t>
  </si>
  <si>
    <t>[Nayak, Shailesh] Natl Inst Adv Studies, Bengaluru, India</t>
  </si>
  <si>
    <t>Nayak, S (corresponding author), Natl Inst Adv Studies, Bengaluru, India.</t>
  </si>
  <si>
    <t>shailesh@nias.res.in</t>
  </si>
  <si>
    <t>Nayak, Shailesh/AAC-7784-2021</t>
  </si>
  <si>
    <t>SAGE PUBLICATIONS INDIA PVT LTD</t>
  </si>
  <si>
    <t>NEW DELHI</t>
  </si>
  <si>
    <t>B-1-I-1 MOHAN CO-OPERATIVE INDUSTRIAL AREA, MATHURA RD, POST BAG NO 7, NEW DELHI 110 044, INDIA</t>
  </si>
  <si>
    <t>0009-4455</t>
  </si>
  <si>
    <t>0973-063X</t>
  </si>
  <si>
    <t>CHINA REP</t>
  </si>
  <si>
    <t>China Rep.</t>
  </si>
  <si>
    <t>10.1177/0009445519834700</t>
  </si>
  <si>
    <t>Area Studies</t>
  </si>
  <si>
    <t>HY9EJ</t>
  </si>
  <si>
    <t>WOS:000468441700004</t>
  </si>
  <si>
    <t>Pelorosso, B; Bonadiman, C; Ntaflos, T; Gregoire, M; Gentili, S; Zanetti, A; Coltorti, M</t>
  </si>
  <si>
    <t>Pelorosso, Beatrice; Bonadiman, Costanza; Ntaflos, Theodoros; Gregoire, Michel; Gentili, Silvia; Zanetti, Alberto; Coltorti, Massimo</t>
  </si>
  <si>
    <t>An insight into the first stages of the Ferrar magmatism: ultramafic cumulates from Harrow Peaks, northern Victoria Land, Antarctica</t>
  </si>
  <si>
    <t>CONTRIBUTIONS TO MINERALOGY AND PETROLOGY</t>
  </si>
  <si>
    <t>Ultramafic xenoliths; High-Mg magmatic olivines; Orthopyroxenite; Karoo-Ferrar large igneous province</t>
  </si>
  <si>
    <t>LITHOSPHERIC MANTLE; ORTHO-PYROXENE; OXIDATION-STATE; THERMAL EVOLUTION; MELT INCLUSIONS; RECYCLED CRUST; O-ISOTOPE; ROSS SEA; XENOLITHS; OLIVINE</t>
  </si>
  <si>
    <t>A group of ultramafic xenoliths hosted in Cenozoic hypabyssal rocks from Harrow Peaks (northern Victoria Land, Antarctica) show textural and geochemical features far removed from anything previously observed in mantle xenoliths of this region and elsewhere in Antarctica. They consist of spinel-bearing lherzolites and harzburgites, characterised by a predominant equigranular texture with orthopyroxene modal contents remarkably higher in lherzolites (18-26 volume%) with respect to the harzburgite (13 vol%), one orthopyroxenite, and three composite xenoliths. The latter are formed by an olivine-dominant assemblage (olivine&gt;70%) crosscut by large monomineralic (amphibole or clinopyroxene) or bimineralic (amphibole+clinopyroxene) veins. No significant correlation was observed between the lithology and the Fo content (90.21-82.81) of olivine, suggesting that these rocks could be derived from a cumulus process. The presence of the orthopyroxenite suggests that the inferred melt/s from which they stemmed was close (or even above) to silica saturation. Based on major and trace-element mineral/melt and mineral/mineral equilibrium modelling, these rocks were formed by progressive extraction of olivine from a high magnesium (Mg=72)high temperature (similar to 1300 degrees C) melt following a very short fractionation line. Thermobarometric results indicate the stationing of Harrow Peaks cumulates in the P field of 1.3 +/- 0.2 (dunites)0.5 +/- 0.2 (orthopyroxenite)GPa. These values well match the crust/mantle boundary (Moho) of the region. The combined geochemical and petrological data suggest that Harrow Peaks melts could be related to the initial stage of the Jurassic Ferrar magmatism, whose deep cumulates were subsequently affected by the Cenozoic alkaline metasomatism, widely detected in the northern Victoria Land lithosphere and responsible for the formation of the late amphibole/amphibole+clinopyroxene veins.</t>
  </si>
  <si>
    <t>[Pelorosso, Beatrice; Bonadiman, Costanza; Coltorti, Massimo] Univ Ferrara, Dipartimento Fis &amp; Sci Terra, Ferrara, Italy; [Ntaflos, Theodoros] Univ Vienna, Dept Lithospher Res, Vienna, Austria; [Gregoire, Michel] Univ Toulouse III, IRD, CNES, GET,CNRS, Toulouse, France; [Gentili, Silvia] Univ Perugia, Dipartimento Fis &amp; Geol, Perugia, Italy; [Zanetti, Alberto] CNR, IGG, Sez Pavia, Pavia, Italy</t>
  </si>
  <si>
    <t>University of Ferrara; University of Vienna; Centre National de la Recherche Scientifique (CNRS); Universite de Toulouse; Universite Toulouse III - Paul Sabatier; Institut de Recherche pour le Developpement (IRD); University of Perugia; Consiglio Nazionale delle Ricerche (CNR); Istituto di Geoscienze e Georisorse (IGG-CNR)</t>
  </si>
  <si>
    <t>Bonadiman, C (corresponding author), Univ Ferrara, Dipartimento Fis &amp; Sci Terra, Ferrara, Italy.</t>
  </si>
  <si>
    <t>costanza.bonadiman@unife.it</t>
  </si>
  <si>
    <t>Gregoire, Michel/B-5738-2008</t>
  </si>
  <si>
    <t>Gregoire, Michel/0000-0001-9196-876X; Bonadiman, Costanza/0000-0003-0596-2703</t>
  </si>
  <si>
    <t>PNRA (National Programme Antarctic Research); MIUR [20158A9CBM]</t>
  </si>
  <si>
    <t>PNRA (National Programme Antarctic Research); MIUR(Ministry of Education, Universities and Research (MIUR))</t>
  </si>
  <si>
    <t>We would like to thank two anonymous reviewers for their careful reading of the manuscript. In particular, we would thank Reviewer #1 for the detailed and helpful comments, which helped us to enrich the discussion of our results. In addition, the valuable remarks and editorial handling improved the clarity of our arguments and the presentation of this manuscript. The authors would like to thank Barbara Galassi and Steve Deforie (Brighton, UK) for checking the English language in this paper. This work was funded by PNRA (National Programme Antarctic Research) project: 2013-2015 Hydrous phases stability in the lithospheric mantle of the large continental rift systems: a petrological/experimental study of the mantle xenoliths and lavas of the Northern Victoria Land (principal investigator; C.B). B.P was supported by MIUR-2015 20158A9CBM Grant (principal investigator: C.B).</t>
  </si>
  <si>
    <t>0010-7999</t>
  </si>
  <si>
    <t>1432-0967</t>
  </si>
  <si>
    <t>CONTRIB MINERAL PETR</t>
  </si>
  <si>
    <t>Contrib. Mineral. Petrol.</t>
  </si>
  <si>
    <t>10.1007/s00410-019-1579-1</t>
  </si>
  <si>
    <t>Geochemistry &amp; Geophysics; Mineralogy</t>
  </si>
  <si>
    <t>HY0JG</t>
  </si>
  <si>
    <t>WOS:000467797000002</t>
  </si>
  <si>
    <t>Ohneiser, C; Yoo, KC; Albot, OB; Cortese, G; Riesselman, C; Lee, JI; McKay, R; Bollen, M; Lee, MK; Moon, HS; Kim, S; Beltran, C; Levy, R; Wilson, GS</t>
  </si>
  <si>
    <t>Ohneiser, Christian; Yoo, Kyu-Cheul; Albot, Olga Borisovna; Cortese, Giuseppe; Riesselman, Christina; Lee, Jae Il; McKay, Rob; Bollen, Michael; Lee, Min Kyung; Moon, Heung Soo; Kim, Sunghan; Beltran, Catherine; Levy, Richard; Wilson, Gary S.</t>
  </si>
  <si>
    <t>Magneto-biostratigraphic age models for Pleistocene sedimentary records from the Ross Sea</t>
  </si>
  <si>
    <t>ANTARCTIC ICE-SHEET; VICTORIA LAND; GYROREMANENT MAGNETIZATION; RELATIVE PALEOINTENSITY; HYSTERESIS PROPERTIES; GEOMAGNETIC-FIELD; ROCK MAGNETISM; PLIOCENE; GREIGITE; BEHAVIOR</t>
  </si>
  <si>
    <t>The Ross Sea is one of the major sites of formation for Antarctic Bottom Water (AABW), a key component of the global ocean overturning circulation. However, there is currently a lack of high quality stratigraphic records documenting how this water mass flows from the continental shelf into the abyssal ocean, and specifically how this pathway is affected by changes in ice sheet cover on the Ross Sea continental shelf through Pleistocene glacial-interglacial cycles. Over the course of two expeditions in 2015 and 2016, a suite of cores from the upper continental slope to the abyssal plain was obtained by the Korea Polar Research Institute from the R/V Araon. The age of these cores ranges from Holocene to the latest Pliocene, and they hold the potential to document a source-to-sink record of AABW transfer into the abyssal Pacific Ocean. The cores are located in regions with distinct differences in bottom water energy, with high-energy cascading water masses on the upper slope creating the potential for erosional hiatuses, passing downslope into a lower energy setting. To decipher the complex environmental records and allow core-to-core correlation, robust chronostratigraphies are essential. Here, we present age models for four of these cores, based on correlation between their magnetostratigraphy and the geomagnetic polarity timescale, resulting in sedimentation rates between 1.5 cm/ky and 0.5 cm/ky. Rock magnetic data indicate the remanence is carried by magnetite with an almost ubiquitous contribution of high coercivity fraction that is not demagnetised by 100 mT. We demonstrate that a reliable magnetostratigraphy is established for each of these cores, and magnetic properties can be used to identify potential hiatuses in the cores and as a proxy for sedimentary grain-size.</t>
  </si>
  <si>
    <t>[Ohneiser, Christian; Riesselman, Christina; Bollen, Michael; Beltran, Catherine] Univ Otago, Dept Geol, POB 56, Dunedin, New Zealand; [Yoo, Kyu-Cheul; Lee, Jae Il; Lee, Min Kyung; Moon, Heung Soo; Kim, Sunghan] Korea Polar Res Inst, Songdomirae Ro 26, Incheon 21990, South Korea; [Albot, Olga Borisovna; McKay, Rob] Victoria Univ Wellington, Antarctic Res Ctr, Wellington, New Zealand; [Cortese, Giuseppe; Levy, Richard] GNS Sci, Lower Hutt, New Zealand; [Riesselman, Christina; Beltran, Catherine; Wilson, Gary S.] Univ Otago, Dept Marine Sci, POB 56, Dunedin, New Zealand</t>
  </si>
  <si>
    <t>University of Otago; Korea Polar Research Institute (KOPRI); Victoria University Wellington; GNS Science - New Zealand; University of Otago</t>
  </si>
  <si>
    <t>Ohneiser, C (corresponding author), Univ Otago, Dept Geol, POB 56, Dunedin, New Zealand.</t>
  </si>
  <si>
    <t>christian.ohneiser@otago.ac.nz</t>
  </si>
  <si>
    <t>Wilson, Gary S/B-3803-2010; Kim, Sunghan/CAG-2289-2022; Riesselman, Christina R/H-5037-2012</t>
  </si>
  <si>
    <t>Ohneiser, Christian/0000-0002-2781-2522; Wilson, Gary/0000-0003-0025-3641; Riesselman, Christina/0000-0002-2436-4306; Cortese, Giuseppe/0000-0003-1780-3371; McKay, Robert/0000-0002-5602-6985</t>
  </si>
  <si>
    <t>Ministry of Oceans and Fisheries (Korea) KIFES (KOPRI) [PM 16060]; Korea Polar Research Institute (KOPRI) [PE19030]; New Zealand Ministry of Business, Innovation and Employment [NZARI1401, C05X1001]; New Zealand Ministry of Business, Innovation &amp; Employment (MBIE) [NZARI1401, C05X1001] Funding Source: New Zealand Ministry of Business, Innovation &amp; Employment (MBIE)</t>
  </si>
  <si>
    <t>Ministry of Oceans and Fisheries (Korea) KIFES (KOPRI); Korea Polar Research Institute (KOPRI); New Zealand Ministry of Business, Innovation and Employment(New Zealand Ministry of Business, Innovation and Employment (MBIE)); New Zealand Ministry of Business, Innovation &amp; Employment (MBIE)(New Zealand Ministry of Business, Innovation and Employment (MBIE))</t>
  </si>
  <si>
    <t>We thank technicians and staff of the R/V Araon and gratefully acknowledge the constructive criticism provided reviewers of this manuscript. This research was a funded by the Ministry of Oceans and Fisheries (Korea) KIFES (KOPRI, PM 16060), by the Korea Polar Research Institute (KOPRI) project PE19030, by the New Zealand Ministry of Business, Innovation and Employment Contract C05X1001, and by the New Zealand Ministry of Business, Innovation and Employment contract NZARI1401 to GW.</t>
  </si>
  <si>
    <t>10.1016/j.gloplacha.2019.02.013</t>
  </si>
  <si>
    <t>HU6BV</t>
  </si>
  <si>
    <t>WOS:000465364600003</t>
  </si>
  <si>
    <t>Treasure, AM; Chown, SL</t>
  </si>
  <si>
    <t>Treasure, Anne M.; Chown, Steven L.</t>
  </si>
  <si>
    <t>Phenotypic plasticity in locomotor performance of a monophyletic group of weevils accords with the 'warmer is better' hypothesis</t>
  </si>
  <si>
    <t>Acclimation; Locomotion; Thermal performance; Ectotherm; Sub-Antarctic</t>
  </si>
  <si>
    <t>SUB-ANTARCTIC CATERPILLAR; CRITICAL THERMAL LIMITS; BENEFICIAL ACCLIMATION HYPOTHESIS; CLIMATE-CHANGE; BODY-SIZE; INTERSPECIFIC VARIATION; DESICCATION RESISTANCE; TEMPERATURE-DEPENDENCE; EXPERIMENTAL EVOLUTION; COLD ADAPTATION</t>
  </si>
  <si>
    <t>Ectotherms may respond to variable environmental conditions by altering their phenotypes. Phenotypic plasticity was initially thought to be beneficial to an organism's physiological fitness but several alternative hypotheses have been proposed with growing empirical support. In this study, we tested the full suite of hypotheses by investigating acclimation responses of locomotor performance for nine populations of five species of sub-Antarctic weevils, using static and fluctuating temperatures. Species showed typical locomotion thermal performance curves with temperature of the maximum speed (T-opt) ranging between 22.3 +/- 1.7 degrees C (mean +/- s.e.m.) and 31.1 +/- 0.7 degrees C. For most species, T-opt was not affected by acclimation. For maximum speed (U-max), significant, positive effects of acclimation were found for all species except a supralittoral one. Individuals acclimated to 0 degrees C showed much lower values than the other two acclimation treatments (15 degrees C and fluctuating 0-15 degrees C). Performance breadth (the index of the breadth of the curve, T-br) typically showed little response to acclimation. None of the traits of the supralittoral species was affected by acclimation treatment. Responses to stable and fluctuating temperature treatments were similar. Our findings also revealed that the mean estimated activation energy 0.40 +/- 0.015 eV (mean +/- s.e.m.) was lower than for other herbivores, the category to which these weevils belong, suggesting that some form of compensation in the rate-temperature relationship may be evident. Thus, we typically found support for the 'warmer is better' hypothesis for acclimation of locomotor performance, although some compensation was evident.</t>
  </si>
  <si>
    <t>[Treasure, Anne M.] Stellenbosch Univ, Ctr Invas Biol, Dept Bot &amp; Zool, Private Bag X1, ZA-7602 Matieland, South Africa; [Chown, Steven L.] Monash Univ, Sch Biol Sci, Clayton, Vic 3800, Australia; [Treasure, Anne M.] South African Environm Observat Network, Cape Town, South Africa</t>
  </si>
  <si>
    <t>Stellenbosch University; Monash University; National Research Foundation - South Africa; South African Environmental Observation Network (SAEON)</t>
  </si>
  <si>
    <t>Treasure, AM (corresponding author), Stellenbosch Univ, Ctr Invas Biol, Dept Bot &amp; Zool, Private Bag X1, ZA-7602 Matieland, South Africa.;Treasure, AM (corresponding author), South African Environm Observat Network, Cape Town, South Africa.</t>
  </si>
  <si>
    <t>Chown, Steven/ABD-7646-2021; Chown, Steven/H-3347-2011</t>
  </si>
  <si>
    <t>Chown, Steven/0000-0001-6069-5105; Treasure, Anne/0000-0002-8345-4811</t>
  </si>
  <si>
    <t>National Research Foundation of South Africa</t>
  </si>
  <si>
    <t>National Research Foundation of South Africa(National Research Foundation - South Africa)</t>
  </si>
  <si>
    <t>The South African National Antarctic Programme provided logistic support and the work was funded by the National Research Foundation of South Africa.</t>
  </si>
  <si>
    <t>jeb195255</t>
  </si>
  <si>
    <t>10.1242/jeb.195255</t>
  </si>
  <si>
    <t>HX9MO</t>
  </si>
  <si>
    <t>WOS:000467732200012</t>
  </si>
  <si>
    <t>Lan, C; Zhao, YQ; Li, XR; Wang, B</t>
  </si>
  <si>
    <t>Lan, Chen; Zhao, Yu-Qin; Li, Xue-Rong; Wang, Bin</t>
  </si>
  <si>
    <t>High Fischer ratio oligopeptides determination from Antartic krill: Preparation, peptides profiles, and in vitro antioxidant activity</t>
  </si>
  <si>
    <t>JOURNAL OF FOOD BIOCHEMISTRY</t>
  </si>
  <si>
    <t>Antarctic krill (Euphausia superba); antioxidant activity; high Fischer ratio oligopeptides (HFO)</t>
  </si>
  <si>
    <t>PLASMA AMINO-ACIDS; SOLUBLE PROTEINS HYDROLYSATE; EUPHAUSIA-SUPERBA; SPHYRNA-LEWINI; FUNCTIONAL-PROPERTIES; DASYATIS-AKJEI; PURIFICATION; IDENTIFICATION; COLLAGEN; ABSORPTION</t>
  </si>
  <si>
    <t>In this work, alcalase and flavorzyme were chosen as the hydrolase for preparing high Fischer ratio oligopeptides from Antarctic krill (Euphausia superba) (HFP) using sequential enzyme hydrolysis process, and their hydrolysis conditions were optimized using single factor experiment. According to the Fischer ratio, granular activated carbon of XHJ-200 (200mesh) showed the best way to remove aromatic amino acids and its optimal parameters were pH value of 6.0, adsorption time of 2.5hr, temperature of 25 degrees C, and solid-liquid ratio of 1:20. The Fischer ratio and average molecular weight of HFP were 21.12 (&gt;20) and 779.9Da, respectively. In addition, the peptide profile of HFP was established using RP-HPLC and 23 oligopeptides isolated from HFP including 6 dipeptides, 9 tripeptides, 3 tetrapeptides, and 5 pentapeptides were identified using protein amino acid sequence analyzer and mass spectrum. Furthermore, HFP exhibited high radical scavenging activity, reducing power, and lipid peroxidation inhibition capability. Practical applicationsHigh Fischer ratio oligopeptides (HFO) is a kind of small peptide mixture with the mole ratio of branched-chain amino acids (BCAA) to aromatic amino acids (AAA) higher than 20, which has drawn a great attention due to its great potential in clinical nutrition approaches for the treatment of liver disease when amino acid composition is out of proportion characterized by low levels of BCAA and high levels of AAA in the systemic blood. Antarctic krill is regarded as the largest animal protein resource for various food and pharmaceutical products. However, there is no report on the preparation of HFO of Antarctic krill (HFP). Therefore, the aim of the present study was to investigate the preparation process, peptide profiles and in vitro antioxidant activity of HFP. This study will potentially enhance the value-added utilization of Antarctic krill by making it an important raw material in the health-promoting functional products.</t>
  </si>
  <si>
    <t>[Lan, Chen; Zhao, Yu-Qin; Li, Xue-Rong; Wang, Bin] Zhejiang Ocean Univ, Sch Food &amp; Pharm, Zhejiang Prov Engn Technol Res Ctr Marine Biomed, Zhoushan 316022, Peoples R China</t>
  </si>
  <si>
    <t>Zhejiang Ocean University</t>
  </si>
  <si>
    <t>Zhao, YQ; Wang, B (corresponding author), Zhejiang Ocean Univ, Sch Food &amp; Pharm, Zhejiang Prov Engn Technol Res Ctr Marine Biomed, Zhoushan 316022, Peoples R China.</t>
  </si>
  <si>
    <t>zhaoy@hotmail.com; wangbin4159@hotmail.com</t>
  </si>
  <si>
    <t>National Natural Science Foundation of China (NSFC) [81673349]; Zhejiang Province Public Technology Research Project [LGN18D060002]; National College Students' innovation and entrepreneurship training project of China [201710340017]</t>
  </si>
  <si>
    <t>National Natural Science Foundation of China (NSFC)(National Natural Science Foundation of China (NSFC)); Zhejiang Province Public Technology Research Project; National College Students' innovation and entrepreneurship training project of China</t>
  </si>
  <si>
    <t>National Natural Science Foundation of China (NSFC), Grant/Award Number: 81673349; Zhejiang Province Public Technology Research Project, Grant/Award Number: LGN18D060002; National College Students' innovation and entrepreneurship training project of China, Grant/Award Number: 201710340017</t>
  </si>
  <si>
    <t>WILEY-HINDAWI</t>
  </si>
  <si>
    <t>ADAM HOUSE, 3RD FL, 1 FITZROY SQ, LONDON, WIT 5HE, ENGLAND</t>
  </si>
  <si>
    <t>0145-8884</t>
  </si>
  <si>
    <t>1745-4514</t>
  </si>
  <si>
    <t>J FOOD BIOCHEM</t>
  </si>
  <si>
    <t>J. Food Biochem.</t>
  </si>
  <si>
    <t>e12827</t>
  </si>
  <si>
    <t>10.1111/jfbc.12827</t>
  </si>
  <si>
    <t>Biochemistry &amp; Molecular Biology; Food Science &amp; Technology</t>
  </si>
  <si>
    <t>HY8NJ</t>
  </si>
  <si>
    <t>WOS:000468395500011</t>
  </si>
  <si>
    <t>Kaplan, HH; Milliken, RE; Alexander, CMO; Herd, CDK</t>
  </si>
  <si>
    <t>Kaplan, Hannah H.; Milliken, Ralph E.; Alexander, Conel M. O'D; Herd, Christopher D. K.</t>
  </si>
  <si>
    <t>Reflectance spectroscopy of insoluble organic matter (IOM) and carbonaceous meteorites</t>
  </si>
  <si>
    <t>TAGISH LAKE METEORITE; MURCHISON METEORITE; MU-M; AQUEOUS ALTERATION; ISOTOPIC COMPOSITIONS; THERMAL METAMORPHISM; PRIMITIVE METEORITES; MOLECULAR-STRUCTURE; RAMAN-SPECTROSCOPY; MODAL MINERALOGY</t>
  </si>
  <si>
    <t>Insoluble organic matter (IOM) is the major organic component of chondritic meteorites and may be akin to organic materials from comets and interplanetary dust particles (IDPs). Reflectance spectra of IOM in the range 0.35-25m are presented as a tool for interpreting organic chemistry from remote measurements of asteroids, comets, IDPs, and other planetary bodies. Absorptions in the IOM spectra were strongly related to elemental H/C (atom) ratio. The aliphatic 3.4m absorption in IOM spectra increased linearly in strength with increasing H/C for H/C&gt;0.4, but was absent at lower H/C values. When meteorite spectra from the Reflectance Experiment Laboratory (RELAB) spectral catalog (n=85) were reanalyzed at 3.4m, this detection limit (H/C&gt;0.4) persisted. Aromatic absorption features seen in IOM spectra were not observed in the meteorite spectra due to overlapping absorptions. However, the 3.4m aliphatic absorption strength for the bulk meteorites was correlated with both H/C of the meteorite's IOM and bulk C (wt%). Gaussian modeling of the 3m region provided an additional estimate of bulk C for the meteorites, along with bulk H (wt%), which is related to phyllosilicate abundance. These relationships lay the foundation for determining organic and phyllosilicate abundances from reflectance spectra. Both the full IOM spectra and the spectral parameters discussed here will aid in the interpretation of data from asteroid missions (e.g., OSIRIS-REx, Hayabusa2), and may be able to place unknown spectral samples within the context of the meteorite collection.</t>
  </si>
  <si>
    <t>[Kaplan, Hannah H.] Southwest Res Inst, Dept Space Studies, Boulder, CO 80302 USA; [Milliken, Ralph E.] Brown Univ, Dept Earth Environm &amp; Planetary Sci, 324 Brook St,Box 1846, Providence, RI 02912 USA; [Alexander, Conel M. O'D] Carnegie Inst Sci, Dept Terr Magnetism, 5241 Brd Branch Rd NW, Washington, DC 20015 USA; [Herd, Christopher D. K.] Univ Alberta, Dept Earth &amp; Atmospher Sci, 1-26 Earth Sci Bldg, Edmonton, AB T6G 2E3, Canada</t>
  </si>
  <si>
    <t>Southwest Research Institute; Brown University; Carnegie Institution for Science; University of Alberta</t>
  </si>
  <si>
    <t>Kaplan, HH (corresponding author), Southwest Res Inst, Dept Space Studies, Boulder, CO 80302 USA.</t>
  </si>
  <si>
    <t>kaplan@boulder.swri.edu</t>
  </si>
  <si>
    <t>Herd, Christopher/IYJ-9105-2023; Alexander, Conel M. O'D./N-7533-2013</t>
  </si>
  <si>
    <t>Alexander, Conel M. O'D./0000-0002-8558-1427; Kaplan, Hannah/0000-0002-6562-9462</t>
  </si>
  <si>
    <t>NSF; NASA; NASA Astrobiology Institute (Foundations of Complex Life) [CAN 6]; NASA's Cosmochemistry program [NNX14AJ54G]; NASA [680147, NNX14AJ54G] Funding Source: Federal RePORTER</t>
  </si>
  <si>
    <t>NSF(National Science Foundation (NSF)); NASA(National Aeronautics &amp; Space Administration (NASA)); NASA Astrobiology Institute (Foundations of Complex Life); NASA's Cosmochemistry program(National Aeronautics &amp; Space Administration (NASA)); NASA(National Aeronautics &amp; Space Administration (NASA))</t>
  </si>
  <si>
    <t>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H. K. and R. M. acknowledge the NASA Astrobiology Institute (CAN 6: Foundations of Complex Life) for funding. C.A. was partially funded by NASA's Cosmochemistry program (grant NNX14AJ54G). We thank AE E. Cloutis, P. Beck, and an anonymous reviewer for constructive comments that improved the manuscript.</t>
  </si>
  <si>
    <t>10.1111/maps.13264</t>
  </si>
  <si>
    <t>HY3LB</t>
  </si>
  <si>
    <t>WOS:000468026900005</t>
  </si>
  <si>
    <t>Hidaka, Y; Shirai, N; Yamaguchi, A; Ebihara, M</t>
  </si>
  <si>
    <t>Hidaka, Yoshihiro; Shirai, Naoki; Yamaguchi, Akira; Ebihara, Mitsuru</t>
  </si>
  <si>
    <t>Siderophile element characteristics of acapulcoite-lodranites and winonaites: Implications for the early differentiation processes of their parent bodies</t>
  </si>
  <si>
    <t>IRON-METEORITES; ENSTATITE CHONDRITES; OXYGEN-ISOTOPE; IAB; SEGREGATION; ACHONDRITES; EVOLUTION; ORIGIN; CLASSIFICATION; CONSTRAINTS</t>
  </si>
  <si>
    <t>We have studied magnetic fractions of five acapulcoites, three lodranites, and two winonaites to investigate chemical compositions of their precursor materials and metallic partial melting processes occurring on their parent bodies. One winonaite metal is similar in composition to low Au, low Ni IAB iron subgroup, indicating genetic relationship between them. Magnetic fractions of chondrule-bearing acapulcoite and winonaite have intermediate chemical compositions of metals between H chondrites and EL chondrites. This fact indicates that the precursor materials of acapulcoite-lodranites and winonaites were similar to H and/or EL chondrites in chemical compositions. Magnetic fractions in acapulcoite-lodranites have a large variety of chemical compositions. Most of them show enrichments of W, Re, Ir, Pt, Mo, and Rh, and one of them shows clear depletion in Re and Ir relative to those of chondrule-bearing acapulcoite. Chemical compositional variations among acapulcoite-lodranite metals cannot be explained by a single Fe-Ni-S partial melting event, but a two-step partial melting model can explain it.</t>
  </si>
  <si>
    <t>[Hidaka, Yoshihiro; Shirai, Naoki; Ebihara, Mitsuru] Tokyo Metropolitan Univ, Dept Chem, Tokyo 1920397, Japan; [Yamaguchi, Akira] Natl Inst Polar Res, Tachikawa, Tokyo 1908518, Japan; [Yamaguchi, Akira] SOKENDAI, Grad Univ Adv Studies, Sch Multidisciplinary Sci, Dept Polar Sci, Tokyo 1908518, Japan; [Hidaka, Yoshihiro; Ebihara, Mitsuru] Waseda Univ, Dept Earth Sci, Tokyo 1698050, Japan</t>
  </si>
  <si>
    <t>Tokyo Metropolitan University; Research Organization of Information &amp; Systems (ROIS); National Institute of Polar Research (NIPR) - Japan; Graduate University for Advanced Studies - Japan; Waseda University</t>
  </si>
  <si>
    <t>Hidaka, Y (corresponding author), Tokyo Metropolitan Univ, Dept Chem, Tokyo 1920397, Japan.;Hidaka, Y (corresponding author), Waseda Univ, Dept Earth Sci, Tokyo 1698050, Japan.</t>
  </si>
  <si>
    <t>hidakayoshihiro@gmail.com</t>
  </si>
  <si>
    <t>Hidaka, Yoshihiro/0000-0002-9484-8162</t>
  </si>
  <si>
    <t>We are indebted to the National Institute of Polar Research, Tokyo for loaning us Antarctic meteorite samples.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K. Righter, G. Benedix, and an anonymous reviewer for their constructive comments.</t>
  </si>
  <si>
    <t>10.1111/maps.13273</t>
  </si>
  <si>
    <t>WOS:000468026900010</t>
  </si>
  <si>
    <t>Liu, C; Mao, LH; Zheng, XM; Yuan, JG; Hu, BJ; Cai, YH; Xie, HW; Peng, XJ; Ding, X</t>
  </si>
  <si>
    <t>Liu, Cong; Mao, Lihui; Zheng, Xiongmin; Yuan, Jiangan; Hu, Beijuan; Cai, Yaohui; Xie, Hongwei; Peng, Xiaojue; Ding, Xia</t>
  </si>
  <si>
    <t>Comparative proteomic analysis of Methanothermobacter thermautotrophicus reveals methane formation from H2 and CO2 under different temperature conditions</t>
  </si>
  <si>
    <t>MICROBIOLOGYOPEN</t>
  </si>
  <si>
    <t>iTRAQ; methane formation; Methanothermobacter thermautotrophicus; proteomics; temperature stress</t>
  </si>
  <si>
    <t>ARCHAEON METHANOCOCCOIDES-BURTONII; SP PCC 6803; COLD ADAPTATION; ANTARCTIC ARCHAEON; METHANOBACTERIUM-THERMOAUTOTROPHICUM; ABC TRANSPORTERS; GENE-EXPRESSION; PROTEINS; RESPONSES; STRESS</t>
  </si>
  <si>
    <t>The growth of all methanogens is limited to a specific temperature range. However, Methanothermobacter thermautotrophicus can be found in a variety of natural and artificial environments, the temperatures of which sometimes even exceed the temperature growth ranges of thermophiles. As a result, the extent to which methane production and survival are affected by temperature remains unclear. To investigate the mechanisms of methanogenesis that Archaea have evolved to cope with drastic temperature shifts, the responses of Methanothermobacter thermautotrophicus to temperature were investigated under a high temperature growth (71 degrees C) and cold shock (4 degrees C) using Isobaric tags for relative and absolute quantitation (iTRAQ). The results showed that methane formation is decreased and that protein folding and degradation are increased in both high- and low-temperature treatments. In addition, proteins predicted to be involved in processing environmental information processing and in cell membrane/wall/envelope biogenesis may play key roles in affecting methane formation and enhancing the response of M. thermautotrophicus to temperature stress. Analysis of the genomic locations of the genes corresponding to these temperature-dependent proteins predicted that 77 of the genes likely to form 32 gene clusters. Here, we assess the response of M. thermautotrophicus to different temperatures and provide a new level of understanding of methane formation and cellular putative adaptive responses.</t>
  </si>
  <si>
    <t>[Liu, Cong; Mao, Lihui; Zheng, Xiongmin; Yuan, Jiangan; Hu, Beijuan; Peng, Xiaojue; Ding, Xia] Nanchang Univ, Sch Life Sci, Nanchang, Jiangxi, Peoples R China; [Liu, Cong; Mao, Lihui; Zheng, Xiongmin; Yuan, Jiangan; Hu, Beijuan; Peng, Xiaojue; Ding, Xia] Nanchang Univ, Inst Life Sci, Nanchang, Jiangxi, Peoples R China; [Cai, Yaohui; Xie, Hongwei] Jiangxi Acad Agr Sci, Jiangxi Super Rice Res &amp; Dev Ctr, Nanchang, Jiangxi, Peoples R China; [Ding, Xia] Nanchang Univ, Biol Expt Teaching Demonstrat, Nanchang, Jiangxi, Peoples R China</t>
  </si>
  <si>
    <t>Nanchang University; Nanchang University; Jiangxi Academy of Agricultural Sciences; Nanchang University</t>
  </si>
  <si>
    <t>Ding, X (corresponding author), Nanchang Univ, Sch Life Sci, Nanchang, Jiangxi, Peoples R China.;Ding, X (corresponding author), Nanchang Univ, Inst Life Sci, Nanchang, Jiangxi, Peoples R China.</t>
  </si>
  <si>
    <t>dingxia97@ncu.edu.cn</t>
  </si>
  <si>
    <t>ding, xia/CAG-9445-2022; Hu, Beijuan/GNP-5554-2022</t>
  </si>
  <si>
    <t>ding, xia/0000-0003-1535-2642;</t>
  </si>
  <si>
    <t>Agricultion Sci-Tech Support Plan of the Science and Technology Department of Jiangxi Province [20133BBF60003]; National Natural Science Foundation of China [81501162, 31560041, 31160019, 31401038]; Research Project of the Department of Education of Jiangxi Province, China [GJJ13100]; Genetically Modified Breeding Major Projects of China [2016ZX08001-001]; National Key Research and Development Program of China [2016YFD0102102, 2016YFD0101801]</t>
  </si>
  <si>
    <t>Agricultion Sci-Tech Support Plan of the Science and Technology Department of Jiangxi Province; National Natural Science Foundation of China(National Natural Science Foundation of China (NSFC)); Research Project of the Department of Education of Jiangxi Province, China; Genetically Modified Breeding Major Projects of China; National Key Research and Development Program of China</t>
  </si>
  <si>
    <t>Agricultion Sci-Tech Support Plan of the Science and Technology Department of Jiangxi Province, Grant/Award Number: 20133BBF60003; National Natural Science Foundation of China, Grant/Award Number: 81501162, 31560041, 31160019 and 31401038; the Research Project of the Department of Education of Jiangxi Province, China, Grant/Award Number: GJJ13100; Genetically Modified Breeding Major Projects of China, Grant/Award Number: 2016ZX08001-001; National Key Research and Development Program of China, Grant/Award Number: 2016YFD0102102 and 2016YFD0101801</t>
  </si>
  <si>
    <t>2045-8827</t>
  </si>
  <si>
    <t>MicrobiologyOpen</t>
  </si>
  <si>
    <t>e715</t>
  </si>
  <si>
    <t>10.1002/mbo3.715</t>
  </si>
  <si>
    <t>HZ1SP</t>
  </si>
  <si>
    <t>WOS:000468628800022</t>
  </si>
  <si>
    <t>Wan, R; Jia, MX; Guan, QL; Huang, LY; Cheng, H; Zhao, FF; He, PG; Hu, FX</t>
  </si>
  <si>
    <t>Wan, Rong; Jia, Mingxiu; Guan, Qinglong; Huang, Liuyi; Cheng, Hui; Zhao, Fenfang; He, Pingguo; Hu, Fuxiang</t>
  </si>
  <si>
    <t>Hydrodynamic performance of a newly-designed Antarctic krill trawl using numerical simulation and physical modeling methods</t>
  </si>
  <si>
    <t>OCEAN ENGINEERING</t>
  </si>
  <si>
    <t>Antarctic krill trawl; Numerical simulation; Physical model test</t>
  </si>
  <si>
    <t>OPTIMIZATION</t>
  </si>
  <si>
    <t>Antarctic krill (Euphausia superba) is one of the most abundant commercial species in the world and still has great potential for further development and utilization. It is, however, very important that the resource is utilized in a sustainable manner in terms of efficiency and selectivity, which can be enhanced through proper design of pelagic trawls that are used for harvesting the species. Pelagic trawls rely heavily on hydrodynamic forces acting on the netting to form desirable shapes. It is thus crucial to understand hydrodynamic forces acting on the trawl to predict its performance. A large Antarctic krill trawl with a net opening circumference of 200 m was designed for a fishing vessel (2855 kW) and analyzed by numerical simulation and physical model tests. A numerical model of Antarctic krill trawl was established based on the finite element method. The principle of minimum potential energy was employed to determine the equilibrium configuration and the tension distribution of the trawl in a uniform current. The Newton-Raphson method was applied to solve the equilibrium equation. A series of physical model tests were conducted in a flume tank to verify the result from numerical simulation. The results showed that the trawl with a net opening circumference of 200 m had superior hydrodynamic performance and could be well matched with fishing vessels of the class for the efficient production of Antarctic krill. This paper demonstrates the use of scientific methods for the design of large Antarctic krill trawls and the application of numerical simulation to study the hydrodynamic performance.</t>
  </si>
  <si>
    <t>[Wan, Rong; Jia, Mingxiu; Guan, Qinglong; Huang, Liuyi; Cheng, Hui; Zhao, Fenfang] Ocean Univ China, Fishery Coll, Qingdao 266003, Peoples R China; [Wan, Rong] Qingdao Natl Lab Marine Sci &amp; Technol, Funct Lab Marine Fisheries Sci &amp; Food Prod Proc, Qingdao 266000, Shandong, Peoples R China; [Wan, Rong] Shanghai Ocean Univ, Minist Educ, Natl Engn Res Ctr Ocean Fisheries, Coll Marine Sci,Key Lab Sustainable Exploitat Oce, Shanghai 201306, Peoples R China; [Jia, Mingxiu] China Natl Fisheries Corp, Beijing 100160, Peoples R China; [He, Pingguo] Univ Massachusetts Dartmouth, Sch Marine Sci &amp; Technol, New Bedford, MA 02744 USA; [Hu, Fuxiang] Tokyo Univ Marine Sci &amp; Technol, Dept Marine Sci &amp; Technol, Minato Ku, Tokyo 1088477, Japan</t>
  </si>
  <si>
    <t>Ocean University of China; Laoshan Laboratory; National Engineering Research Center for Oceanic Fisheries; Shanghai Ocean University; University of Massachusetts System; University Massachusetts Dartmouth; Tokyo University of Marine Science &amp; Technology</t>
  </si>
  <si>
    <t>Guan, QL (corresponding author), Ocean Univ China, Fishery Coll, Qingdao 266003, Peoples R China.</t>
  </si>
  <si>
    <t>gql@stu.ouc.edu.cn</t>
  </si>
  <si>
    <t>Huang, Liuyi/GXG-9845-2022</t>
  </si>
  <si>
    <t>Development of Antarctic Krill Trawl Project of China National Fisheries Corp., China [20150256]</t>
  </si>
  <si>
    <t>Development of Antarctic Krill Trawl Project of China National Fisheries Corp., China</t>
  </si>
  <si>
    <t>The study was supported by the Development of Antarctic Krill Trawl Project (20150256) of China National Fisheries Corp., China. And the physical model test of the trawl was conducted at the flume tank at Tokyo University of Marine Science and Technology, Japan.</t>
  </si>
  <si>
    <t>0029-8018</t>
  </si>
  <si>
    <t>OCEAN ENG</t>
  </si>
  <si>
    <t>Ocean Eng.</t>
  </si>
  <si>
    <t>10.1016/j.oceaneng.2019.03.022</t>
  </si>
  <si>
    <t>Engineering, Marine; Engineering, Civil; Engineering, Ocean; Oceanography</t>
  </si>
  <si>
    <t>HW1PC</t>
  </si>
  <si>
    <t>WOS:000466453800015</t>
  </si>
  <si>
    <t>Channell, JET; Xuan, C; Hodell, DA; Crowhurst, SJ; Larter, RD</t>
  </si>
  <si>
    <t>Channell, J. E. T.; Xuan, C.; Hodell, D. A.; Crowhurst, S. J.; Larter, R. D.</t>
  </si>
  <si>
    <t>Relative paleointensity (RPI) and age control in Quaternary sediment drifts off the Antarctic Peninsula</t>
  </si>
  <si>
    <t>West Antarctica; Late Quaternary; Sediments; Magnetic properties; Relative paleointensity; Oxygen isotopes</t>
  </si>
  <si>
    <t>CONTINENTAL RISE WEST; MAGNETIC-PROPERTIES; GEOMAGNETIC PALEOINTENSITY; REMANENT MAGNETIZATION; PALEOMAGNETIC DATA; PELAGIC SEDIMENTS; ORGANIC-MATTER; MATUYAMA CHRON; GRAIN-SIZE; OCEAN</t>
  </si>
  <si>
    <t>Lack of foraminiferal carbonate in marine sediments deposited at high latitudes results in traditional oxygen isotope stratigraphy not playing a central role in Quaternary age control for a large portion of the globe. This limitation has affected the interpretation of Quaternary sediment drifts off the Antarctic Peninsula in a region critical for documenting past instability of the West Antarctic Ice Sheet (WAIS) and Antarctic Peninsula Ice Sheet (APIS). Here we use piston cores recovered from these sediment drifts in 2015 during cruise JR298 of the RRS James Clark Ross to test the usefulness for age control of relative paleointensity (RPI) data augmented by scant delta O-18 data. Thermomagnetic and magnetic hysteresis data, as well as isothermal remanent magnetization (IRM) acquisition curves, indicate the presence of prevalent magnetite and subordinate oxidized magnetite (maghemite) in the cored sediments. The magnetite is likely detrital. Maghemite is an authigenic mineral, associated with surface oxidation of magnetite grains, which occurs preferentially in the oxic zone of the uppermost sediments, and buried oxic zones deposited during prior interglacial climate stages. Low concentrations of labile organic matter apparently led to arrested pore-water sulfate reduction explaining oxic zone burial and downcore survival of the reactive maghemite coatings. At some sites, maghemitization has a debilitating effect on RPI proxies whereas at other sites maghemite is less evident and RPI proxies can be adequately matched to the RPI reference template. Published RPI data at ODP Site 1101, located on Drift 4, can be adequately correlated to contemporary RPI templates, probably as a result of disappearance (dissolution) of maghemite at sediment depths &gt;similar to 10 m. (C) 2019 Elsevier Ltd. All rights reserved.</t>
  </si>
  <si>
    <t>[Channell, J. E. T.] Univ Florida, Dept Geol Sci, 241 Williamson Hall,POB 112120, Gainesville, FL 32611 USA; [Xuan, C.] Univ Southampton, Sch Ocean &amp; Earth Sci, Natl Oceanog Ctr Southampton, Waterfront Campus,European Way, Southampton SO14 3ZH, Hants, England; [Hodell, D. A.; Crowhurst, S. J.] Univ Cambridge, Dept Earth Sci, Godwin Lab Palaeoclimate Res, Downing St, Cambridge CB2 3EQ, England; [Larter, R. D.] British Antarctic Survey, Madingley Rd, Cambridge CB3 0ET, England</t>
  </si>
  <si>
    <t>State University System of Florida; University of Florida; University of Southampton; NERC National Oceanography Centre; University of Cambridge; UK Research &amp; Innovation (UKRI); Natural Environment Research Council (NERC); NERC British Antarctic Survey</t>
  </si>
  <si>
    <t>Channell, JET (corresponding author), Univ Florida, Dept Geol Sci, 241 Williamson Hall,POB 112120, Gainesville, FL 32611 USA.</t>
  </si>
  <si>
    <t>jetc@ufl.edu</t>
  </si>
  <si>
    <t>Xuan, Chuang/E-2039-2011</t>
  </si>
  <si>
    <t>Xuan, Chuang/0000-0003-4043-3073; Hodell, David/0000-0001-8537-1588</t>
  </si>
  <si>
    <t>UK NERC [NE/J006513/1, NE/J006548/1]; US NSF [OPP 1542579]; NERC [bas0100030, NE/J006513/1, NE/J006548/1] Funding Source: UKRI</t>
  </si>
  <si>
    <t>UK NERC(UK Research &amp; Innovation (UKRI)Natural Environment Research Council (NERC)); US NSF(National Science Foundation (NSF)); NERC(UK Research &amp; Innovation (UKRI)Natural Environment Research Council (NERC))</t>
  </si>
  <si>
    <t>We acknowledge the pivotal role of the Captain, officers and crew of RRS James Clark Ross. We thank Maricel Williams for picking the foraminifera for the isotopic measurements, Claire Allen for discussion of diatom reworking, Claus-Dieter Hillenbrand for help with core processing, Kainian Huang for laboratory measurements, and Stefanie Brachfeld and an anonymous reviewer for their insightful suggestions. This study forms part of the British Antarctic Survey Polar Science for Planet Earth Programme. We acknowledge grants from UK NERC (NE/J006513/1 and NE/J006548/1), and from the US NSF (OPP 1542579).</t>
  </si>
  <si>
    <t>10.1016/j.quascirev.2019.03.006</t>
  </si>
  <si>
    <t>HW1PH</t>
  </si>
  <si>
    <t>WOS:000466454300002</t>
  </si>
  <si>
    <t>Bréant, C; Landais, A; Orsi, A; Martinerie, P; Extier, T; Prié, F; Stenni, B; Jouzel, J; Masson-Delmotte, V; Leuenberger, M</t>
  </si>
  <si>
    <t>Breant, Camille; Landais, Amaelle; Orsi, Anais; Martinerie, Patricia; Extier, Thomas; Prie, Frederic; Stenni, Barbara; Jouzel, Jean; Masson-Delmotte, Valerie; Leuenberger, Markus</t>
  </si>
  <si>
    <t>Unveiling the anatomy of Termination 3 using water and air isotopes in the Dome C ice core, East Antarctica</t>
  </si>
  <si>
    <t>Termination 3; Deglaciations; Ice core; Water and air isotopes; Antarctic temperature; Firn densification model; Bipolar seesaw; Heinrich like events</t>
  </si>
  <si>
    <t>ABRUPT CLIMATE-CHANGE; MILLENNIAL-SCALE; SOUTHERN-HEMISPHERE; GLACIAL TERMINATIONS; CHRONOLOGY AICC2012; ATMOSPHERIC CO2; ASIAN MONSOON; SEA-LEVEL; VARIABILITY; TEMPERATURE</t>
  </si>
  <si>
    <t>Each glacial - interglacial transition of the Quaternary occurs in a different orbital context leading to various timing for the deglaciation and sequence of high vs low latitudes events. Termination 3, 250 kyears before present (ka), is an unusual deglaciation in the context of the last 9 deglaciations recorded in the old EPICA Dome C (EDC) Antarctic ice core: it exhibits a three-phase sequence, two warming phases separated by a small cooling, the last phase suggesting a particularly rapid temperature increase. We present here new high resolution delta N-15 and deuterium excess (d-excess) data from the EDC ice core to provide a detailed temperature change estimate during this termination. Then, we combined the delta D and delta O-18 to discuss the relationship between high and low latitude changes through the d-excess. We also provide the high vs low latitude sequence of events over this deglaciation without chronological uncertainty using low latitude ice core proxies. In agreement with previous studies based on speleothem analyses, we show that the first phase of Termination 3 (256-249 ka) is associated with small Heinrich like events linked to changes in ITCZ position, monsoon activity and teleconnections with Antarctica. In a context of minimum Northern Hemisphere insolation, this leads to a rather strong Antarctic warming, as observed in the delta N-15 record in contrast to the relatively small delta D increase. The second warming phase occurs during the rise of the Northern hemisphere insolation, with a large Heinrich like event leading to the characteristic Antarctic warming observed in the delta N-15 and delta D increase as for the more recent terminations. (C) 2019 Elsevier Ltd. All rights reserved.</t>
  </si>
  <si>
    <t>[Breant, Camille; Landais, Amaelle; Orsi, Anais; Extier, Thomas; Prie, Frederic; Jouzel, Jean; Masson-Delmotte, Valerie] Univ Paris Saclay, CNRS, CEA, LSCE,IPSL,UVSQ, Gif Sur Yvette, France; [Breant, Camille; Martinerie, Patricia] Univ Grenoble Alpes, CNRS, IRD, Grenoble INP,IGE, F-38000 Grenoble, France; [Stenni, Barbara] Univ Ca Foscari Venice, Dept Environm Sci Informat &amp; Stat, Venice, Italy; [Leuenberger, Markus] Univ Bern, Inst Phys, Climate &amp; Environm Phys, Sidlerstr 5, CH-3012 Bern, Switzerland; [Leuenberger, Markus] Univ Bern, Oeschger Ctr Climate Res, Sidlerstr 5, CH-3012 Bern, Switzerland</t>
  </si>
  <si>
    <t>Universite Paris Cite; Universite Paris Saclay; CEA; Centre National de la Recherche Scientifique (CNRS); Communaute Universite Grenoble Alpes; Universite Grenoble Alpes (UGA); Institut National Polytechnique de Grenoble; Centre National de la Recherche Scientifique (CNRS); Institut de Recherche pour le Developpement (IRD); Universita Ca Foscari Venezia; University of Bern; University of Bern</t>
  </si>
  <si>
    <t>Landais, A (corresponding author), Univ Paris Saclay, CNRS, CEA, LSCE,IPSL,UVSQ, Gif Sur Yvette, France.</t>
  </si>
  <si>
    <t>Martinerie, Patricia/N-5731-2017; Masson-Delmotte, Valerie L/G-1995-2011; Leuenberger, Markus C/K-9655-2016</t>
  </si>
  <si>
    <t>Martinerie, Patricia/0000-0002-6820-2296; Masson-Delmotte, Valerie L/0000-0001-8296-381X; Leuenberger, Markus C/0000-0003-4299-6793; Orsi, Anais/0000-0001-5511-3940; Stenni, Barbara/0000-0003-4950-3664; Extier, Thomas/0000-0002-9531-8753; LANDAIS, Amaelle/0000-0002-5620-5465</t>
  </si>
  <si>
    <t>European Research Council under the European Union's Seventh Framework Programme (FP7/2007-2013)/RC [306045]; INSU/CNRS LEFE project NEVE-CLIMAT</t>
  </si>
  <si>
    <t>European Research Council under the European Union's Seventh Framework Programme (FP7/2007-2013)/RC; INSU/CNRS LEFE project NEVE-CLIMAT</t>
  </si>
  <si>
    <t>The research leading to these results has received funding from the European Research Council under the European Union's Seventh Framework Programme (FP7/2007-2013)/RC agreement number 306045. It was also received funding from INSU/CNRS LEFE project NEVE-CLIMAT. Finally, this work is a contribution to the European Project for Ice Coring in Antarctica (EPICA).</t>
  </si>
  <si>
    <t>10.1016/j.quascirev.2019.03.025</t>
  </si>
  <si>
    <t>WOS:000466454300009</t>
  </si>
  <si>
    <t>Sedlácek, I; Pantucek, R; Králová, S; Maslanová, I; Holochová, P; Stankova, E; Vrbovska, V; Svec, P; Busse, HJ</t>
  </si>
  <si>
    <t>Sedlacek, Ivo; Pantucek, Roman; Kralova, Stanislava; Maslanova, Ivana; Holochova, Pavla; Stankova, Eva; Vrbovska, Veronika; Svec, Pavel; Busse, Hans-Juergen</t>
  </si>
  <si>
    <t>Hymenobacter amundsenii sp. nov. resistant to ultraviolet radiation, isolated from regoliths in Antarctica</t>
  </si>
  <si>
    <t>SYSTEMATIC AND APPLIED MICROBIOLOGY</t>
  </si>
  <si>
    <t>Hymenobacter amundsenii; Antarctica; Soil bacteria; Regolith; UV-radiation resistance; Species description</t>
  </si>
  <si>
    <t>EMENDED DESCRIPTION; LIPID-COMPOSITION; BACTERIA; SANDSTONE; DIVERSITY; FAMILY; TAXA</t>
  </si>
  <si>
    <t>A group of thirteen bacterial strains was isolated from rock samples collected in a deglaciated northern part of James Ross Island, Antarctica. The cells were rod-shaped, Gram-stain-negative, non-motile, catalase positive, and produced moderately slimy, ultraviolet light (UVC)-irradiation-resistant and red-pink pigmented colonies on R2A agar. A polyphasic taxonomic approach based on 16S rRNA gene sequencing, extensive biotyping, fatty acid profile, chemotaxonomy analyses, and whole genome sequencing were applied in order to clarify the taxonomic position of these isolates. Phylogenetic analysis based on the 16S rRNA gene indicated that all isolates constituted a coherent group belonging to the genus Hymenobacter. The closest relatives to the representative isolate P5136(T) were Hymenobacter psychrophilus BZ33r(T) and Hymenobacter rubripertinctus CCM 8852(T), exhibiting 97.53% and 97.47% 16S rRNA pairwise similarity, respectively. Average nucleotide identity calculated from the whole-genome sequencing data supported the finding that P5136(T) represents a distinct Hymenobacter species. The major components in fatty acid profiles were Summed Feature 3 (C-16:1 omega 7c/C-16:1 omega 6c), C-16:1 omega 5c, C-15:0 iso and C-15:0 anteiso. The cellular quinone content contained unanimously menaquinone MK-6 and MK-7 (ratio 1:5.1). The predominant polar lipid was phosphatidylethanolamine, and moderate to minor amounts of two unknown polar lipids, two unknown aminolipids, one unknown glycolipid and two unknown glycophospholipids were present. The G + C content of genomic DNAs is 60.31 mol%. Based on all the obtained results, we propose a novel species for which the name Hymenobacter amundsenii sp. nov. is suggested, with the type strain P5136(T) (= CCM 8682(T) =LMG 29687(T)). (C) 2018 Elsevier GmbH. All rights reserved.</t>
  </si>
  <si>
    <t>[Sedlacek, Ivo; Kralova, Stanislava; Holochova, Pavla; Stankova, Eva; Vrbovska, Veronika; Svec, Pavel] Masaryk Univ, Dept Expt Biol, Fac Sci, Czech Collect Microorganisms, Kamenice 5, Brno 62500, Czech Republic; [Pantucek, Roman; Maslanova, Ivana; Vrbovska, Veronika] Masaryk Univ, Sect Mol Biol, Dept Expt Biol, Fac Sci, Kamenice 5, Brno 62500, Czech Republic; [Busse, Hans-Juergen] Vet Med Univ Wien, Inst Mikrobiol, Vet Pl 1, A-1210 Vienna, Austria</t>
  </si>
  <si>
    <t>Masaryk University Brno; Masaryk University Brno; University of Veterinary Medicine Vienna</t>
  </si>
  <si>
    <t>Sedlácek, I (corresponding author), Masaryk Univ, Dept Expt Biol, Czech Collect Microorganisms, Bldg A25,Kamenice 5, Brno 62500, Czech Republic.</t>
  </si>
  <si>
    <t>ivo@sci.muni.cz</t>
  </si>
  <si>
    <t>Pantůček, Roman/P-6758-2014; Svec, Pavel/B-1209-2008; Kralova, Stanislava/AAW-4815-2021; Vrbovská, Veronika/J-7445-2017; Sedlacek, Ivo/IWU-8828-2023; Maslanova, Ivana/A-3081-2014</t>
  </si>
  <si>
    <t>Pantůček, Roman/0000-0002-3950-675X; Svec, Pavel/0000-0002-1051-5177; Kralova, Stanislava/0000-0003-3384-5328; Vrbovská, Veronika/0000-0003-2863-6812; Maslanova, Ivana/0000-0002-2597-2848</t>
  </si>
  <si>
    <t>Ministry of Education, Youth and Sports of the Czech Republic [LM2015078]; Czech Antarctic Foundation; Grant Agency of Masaryk University [MUNI/A/0824/2017]</t>
  </si>
  <si>
    <t>Ministry of Education, Youth and Sports of the Czech Republic(Ministry of Education, Youth &amp; Sports - Czech Republic); Czech Antarctic Foundation; Grant Agency of Masaryk University</t>
  </si>
  <si>
    <t>The authors wish to thank the scientific infrastructure of the J. G. Mendel Czech Antarctic Station, part of the Czech Polar Research Infrastructure (CzechPolar2), and its crew for their assistance, supported by the Ministry of Education, Youth and Sports of the Czech Republic (LM2015078) and the Czech Antarctic Foundation for their support. S. K. is a beneficiary of Brno Ph.D. Talent financial aid. R.P., I.M., and V.V. were supported by the Grant Agency of Masaryk University (MUNI/A/0824/2017). We wish to thank Jana Bajerova for excellent technical assistance and Bernhard Schink for the name correction.</t>
  </si>
  <si>
    <t>0723-2020</t>
  </si>
  <si>
    <t>SYST APPL MICROBIOL</t>
  </si>
  <si>
    <t>Syst. Appl. Microbiol.</t>
  </si>
  <si>
    <t>10.1016/j.syapm.2018.12.004</t>
  </si>
  <si>
    <t>Biotechnology &amp; Applied Microbiology; Microbiology</t>
  </si>
  <si>
    <t>HZ1GU</t>
  </si>
  <si>
    <t>WOS:000468595700003</t>
  </si>
  <si>
    <t>Králová, S; Busse, HJ; Svec, P; Maslanová, I; Stanková, E; Barták, M; Sedlácek, I</t>
  </si>
  <si>
    <t>Kralova, Stanislava; Busse, Hans-Juergen; Svec, Pavel; Maslanova, Ivana; Stankova, Eva; Bartak, Milos; Sedlacek, Ivo</t>
  </si>
  <si>
    <t>Flavobacterium circumlabens sp. nov. and Flavobacterium cupreum sp. nov., two psychrotrophic species isolated from Antarctic environmental samples</t>
  </si>
  <si>
    <t>Flavobacterium; Antarctica; Gliding; Phylogeny; ANl; Taxonomy</t>
  </si>
  <si>
    <t>JAMES-ROSS-ISLAND; EMENDED DESCRIPTION; LIPID-COMPOSITION; ULU PENINSULA; IDENTIFICATION; HYBRIDIZATION; FAMILY</t>
  </si>
  <si>
    <t>A taxonomic study of 24 Gram-stain-negative rod-shaped bacteria originating from the Antarctic environment is described. Phylogenetic analysis using 16S rRNA gene sequencing differentiated isolated strains into two groups belonging to the genus Flavobacterium. Group I (n = 20) was closest to Flavobacterium aquidurense WB 1.1-56(T)(98.3% 16S rRNA gene sequence similarity) while group II (n = 4) showed Flavobacterium hydatis DSM 2063(T )as its nearest neighbour (98.5-98.9% 16S rRNA gene sequence similarity). Despite high 16S rRNA gene sequence similarity, these two groups represented two distinct novel species as shown by phenotypic traits and low genomic relatedness assessed by rep-PCR fingerprinting, DNA-DNA hybridization and whole-genome sequencing. Common to representative strains of both groups were the presence of major menaquinone MK-6 and sym-homospermidine as the major polyamine. Common major fatty acids were C-15:0 iso, C(15:1 )iso G, C-15:0 iso 3-OH, C-17:0 iso 3-OH and Summed Feature 3 (C-16:1 omega 7c/C-16(:1) omega 6c). Strain CCM 8828(T) (group I) contained phosphatidylethanolamine, three unidentified lipids lacking a functional group, three unidentified aminolipids and single unidentified glycolipid in the polar lipid profile. Strain CCM 8825(T) (group II) contained phosphatidylethanolamine, eight unidentified lipids lacking a functional group, three unidentified aminolipids and two unidentified glycolipids in the polar lipid profile. These characteristics corresponded to characteristics of the genus Flavobacterium. The obtained results showed that the analysed strains represent novel species of the genus Flavobacterium, for which the names Flavobacterium circumlabens sp. nov. (type strain CCM 8828(T) = P5626(T) = LMG 30617(T)) and Flavobacterium cupreum sp. nov. (type strain CCM 8825(T) = P2683(T) = LMG 30614(T)) are proposed. (C) 2018 Published by Elsevier GmbH.</t>
  </si>
  <si>
    <t>[Kralova, Stanislava; Svec, Pavel; Stankova, Eva; Sedlacek, Ivo] Masaryk Univ, Dept Expt Biol, Czech Collect Microorganisms, Kamenice 5, Brno 62500, Czech Republic; [Busse, Hans-Juergen] Vet Med Univ Wien, Inst Mikrobiol, A-1210 Vienna, Austria; [Maslanova, Ivana] Masaryk Univ, Dept Expt Biol, Div Genet &amp; Mol Biol, Fac Sci 10, Kotlarska 2, Brno 61137, Czech Republic; [Bartak, Milos] Masaryk Univ, Fac Sci, Dept Expt Biol, Sect Plant Physiol &amp; Anat, Kamenice 5, Brno 62500, Czech Republic</t>
  </si>
  <si>
    <t>Masaryk University Brno; University of Veterinary Medicine Vienna; Masaryk University Brno; Masaryk University Brno</t>
  </si>
  <si>
    <t>Králová, S (corresponding author), Masaryk Univ, Dept Expt Biol, Czech Collect Microorganisms, Kamenice 5, Brno 62500, Czech Republic.</t>
  </si>
  <si>
    <t>stanci@mail.muni.cz</t>
  </si>
  <si>
    <t>Svec, Pavel/B-1209-2008; Sedlacek, Ivo/IWU-8828-2023; Barták, Miloš/F-4714-2019; Maslanova, Ivana/A-3081-2014; Kralova, Stanislava/AAW-4815-2021</t>
  </si>
  <si>
    <t>Svec, Pavel/0000-0002-1051-5177; Maslanova, Ivana/0000-0002-2597-2848; Kralova, Stanislava/0000-0003-3384-5328; Sedlacek, Ivo/0000-0003-1717-187X</t>
  </si>
  <si>
    <t>Ministry of Education, Youth and Sports of the Czech Republic [LM2015078]; Czech Antarctic Foundation</t>
  </si>
  <si>
    <t>Ministry of Education, Youth and Sports of the Czech Republic(Ministry of Education, Youth &amp; Sports - Czech Republic); Czech Antarctic Foundation</t>
  </si>
  <si>
    <t>The authors wish to thank the scientific infrastructure of the J. G. Mendel Czech Antarctic Station, part of the Czech Polar Research Infrastructure (CzechPolar2), and its crew for their assistance, supported by the Ministry of Education, Youth and Sports of the Czech Republic (LM2015078) and the Czech Antarctic Foundation for their support. S. K. is a beneficiary of Brno Ph.D. Talent financial aid.</t>
  </si>
  <si>
    <t>1618-0984</t>
  </si>
  <si>
    <t>10.1016/j.syapm.2018.12.005</t>
  </si>
  <si>
    <t>WOS:000468595700004</t>
  </si>
  <si>
    <t>van den Berk, J; Drijfhout, SS; Hazeleger, W</t>
  </si>
  <si>
    <t>van den Berk, J.; Drijfhout, S. S.; Hazeleger, W.</t>
  </si>
  <si>
    <t>Atlantic salinity budget in response to Northern and Southern Hemisphere ice sheet discharge</t>
  </si>
  <si>
    <t>Meltwater; Atlantic Ocean; Salinity budget; Coupled climate models</t>
  </si>
  <si>
    <t>FRESH-WATER; BERING STRAIT; THERMOHALINE CIRCULATION; CLIMATE RESPONSE; AGULHAS LEAKAGE; SENSITIVITY; MODEL; WESTERLIES; LOCATION; SYSTEM</t>
  </si>
  <si>
    <t>The impact of an idealised scenario of future mass release of major ice sheets on the Atlantic ocean is studied. A freshwater forcing is applied to the ocean surface in a coupled climate model forced in accordance with a high-end future climate projection for mass loss from the Greenland and Antarctic ice-sheet, together with the RCP8.5 emission scenario. The added freshwater dilutes the entire ocean by increasing total volume, but changes in freshwater budget are non-linear in time, especially in the Atlantic Ocean. In the Atlantic the initial dilution mainly comes from Greenland freshwater, but the increase in mass is counteracted by the mass flux across the boundaries of the Atlantic, with the outflow into the Southern Ocean becoming larger than the inflow through Bering Strait. Associated with this mass divergence, salt is exported to the Southern Ocean by the barotropic flow. Further freshening is associated with more freshwater import by the Atlantic Meridional Overturning Circulation across the southern boundary of the Atlantic. Also, the subtropical gyre exports salt and imports freshwater across the Atlantic's southern boundary, especially when freshwater from the Antarctic Ice Sheet arrives at the boundary of the basin. It appears that the response to Northern Hemisphere (NH) sources (the Greenland Ice Sheet) and Southern Hemisphere (SH) sources (the Antarctic Ice Sheet) are opposite. In the case of NH-only freshwater forcing, sea surface height (SSH) increases in the Arctic, causing a reduction of the SSH gradient over the Bering Strait, and hence the barotropic throughflow across the Arctic-Atlantic basin reduces. In case of SH-only freshwater forcing, SSH increases in the Pacific, enhancing the barotropic throughflow in the Arctic-Atlantic. When both NH and SH freshwater forcings are present, the response in the Atlantic is dominated by NH forcing. Changes in overturning transport to either NH or SH forcing counteract the response to changes in barotropic transport. These changes are not due to volume transport but mainly due to salinity changes, in particular across the southern boundary of the Atlantic. Only when both SH and NH freshwater forcing are present changes in barotropic transport and overturning transport reinforce each other: the barotropic transport more strongly reacts to NH forcing, while the overturning transport reacts more strongly to SH forcing.</t>
  </si>
  <si>
    <t>[van den Berk, J.; Drijfhout, S. S.] Royal Netherlands Meteorol Inst, De Bilt, Netherlands; [Drijfhout, S. S.] Univ Southampton, Sch Ocean &amp; Earth Sci, Southampton, Hants, England; [Hazeleger, W.] Wageningen Univ, Wageningen, Netherlands; [Hazeleger, W.] Netherlands eSci Ctr, Amsterdam, Netherlands</t>
  </si>
  <si>
    <t>Royal Netherlands Meteorological Institute; NERC National Oceanography Centre; University of Southampton; Wageningen University &amp; Research</t>
  </si>
  <si>
    <t>van den Berk, J (corresponding author), Royal Netherlands Meteorol Inst, De Bilt, Netherlands.</t>
  </si>
  <si>
    <t>jelle.van.den.berk@knmi.nl; s.s.drijfhout@soton.ac.uk; wilco.hazeleger@wur.nl</t>
  </si>
  <si>
    <t>Hazeleger, Wilco/0000-0002-4566-958X; Drijfhout, Sybren/0000-0001-5325-7350</t>
  </si>
  <si>
    <t>European Commission's 7th Framework Programme [282672]</t>
  </si>
  <si>
    <t>European Commission's 7th Framework Programme(European Union (EU))</t>
  </si>
  <si>
    <t>This work was funded by the European Commission's 7th Framework Programme, under Grant Agreement number 282672, EMBRACE project. The authors thank Frank Selten for useful suggestions. The anonymous referees have contributed substantial improvements to the manuscript, for which the authors are also grateful.</t>
  </si>
  <si>
    <t>9-10</t>
  </si>
  <si>
    <t>10.1007/s00382-018-4444-4</t>
  </si>
  <si>
    <t>HU7DN</t>
  </si>
  <si>
    <t>WOS:000465441400011</t>
  </si>
  <si>
    <t>Rajneesh; Pathak, J; Richa; Häder, DP; Sinha, RP</t>
  </si>
  <si>
    <t>Rajneesh; Pathak, Jainendra; Richa; Haeder, Donat-P.; Sinha, Rajeshwar P.</t>
  </si>
  <si>
    <t>Impacts of ultraviolet radiation on certain physiological and biochemical processes in cyanobacteria inhabiting diverse habitats</t>
  </si>
  <si>
    <t>ENVIRONMENTAL AND EXPERIMENTAL BOTANY</t>
  </si>
  <si>
    <t>Cyanobacteria; Ultraviolet radiation (UVR); Catalase (CAT); Superoxide dismutase (SOD); Reactive oxygen species (ROS)</t>
  </si>
  <si>
    <t>UV-B RADIATION; OXIDATIVE STRESS; ANABAENA SP; NOSTOC SP; ANTARCTIC CYANOBACTERIA; ANTIOXIDANT SYSTEMS; NITROGEN-FIXATION; DNA-DAMAGE; REPAIR; PHYCOBILIPROTEINS</t>
  </si>
  <si>
    <t>Certain physiological and biochemical processes of Fischerella sp. strain HKAR-13 and Nostoc sp. strain HKAR-2 isolated from paddy field and hot spring respectively were studied in response to ultraviolet radiation (UVR). Cultures were irradiated under varying combinations of UV-B, UV-A and photosynthetically active radiation (PAR). Significant decrease in chlorophyll a content was observed in Nostoc sp. strain HKAR-2 (19.31 to 4.08 mu g/gfw) and Fischerella sp. strain HKAR-13 (13.55 to 3.40 mu g/gfw) after 72 h of PAR + UV-A + UV-B (PAB) treatment. Total carotene content increased upto 36 h where as phycocyanin content decreased as exposure time increased in both the cyanobacteria. Photosystem II (PSII) activity decreased to about 88% and 93% in Nostoc sp. strain HKAR-2 and Fischerella sp. strain HKAR-13 respectively. Antioxidative activities of superoxide dismutase and catalase increased to 1.8-6.0 fold after 48 h of UVR exposure as compared to non-irradiated cultures. Additionally, Fischerella sp. strain HKAR-13 was also able to synthesize scytonemin that carry out UV-screening but its synthesis was not observed in Nostoc sp. strain HKAR-2. UVR also resulted in 3-5 fold increase in reactive oxygen species in Fischerella sp. strain HKAR-13 and 2.0-4.5 fold increase in Nostoc sp. strain HKAR-2. Significant decrease in ds DNA content and increase in malondialdehyde content was observed in both cyano-bacterial strains. These results revealed that combined effects of UV-A + UV-B was more deleterious than UV-A and UV-B alone and Fischerella sp. strain HKAR-13 was more prone to UVR as compared to Nostoc sp. strain HKAR-2, a hot spring isolate. The more resistant cyanobacterium Nostoc sp. strain HKAR-2 can be used as inoculant in desert soil and production of various value added products.</t>
  </si>
  <si>
    <t>[Rajneesh; Pathak, Jainendra; Richa; Sinha, Rajeshwar P.] Banaras Hindu Univ, Inst Sci, Ctr Adv Study Bot, Lab Photobiol &amp; Mol Microbiol, Varanasi 221005, Uttar Pradesh, India; [Haeder, Donat-P.] Friedrich Alexander Univ, Dept Biol, Neue Str 9, D-91096 Mohrendorf, Germany</t>
  </si>
  <si>
    <t>Banaras Hindu University (BHU); University of Erlangen Nuremberg</t>
  </si>
  <si>
    <t>Sinha, RP (corresponding author), Banaras Hindu Univ, Inst Sci, Ctr Adv Study Bot, Lab Photobiol &amp; Mol Microbiol, Varanasi 221005, Uttar Pradesh, India.</t>
  </si>
  <si>
    <t>r.p.sinha@gmx.net</t>
  </si>
  <si>
    <t>Sinha, Rajeshwar/CAC-2606-2022; , Rajneesh/AAW-1864-2021</t>
  </si>
  <si>
    <t>Sinha, Rajeshwar/0000-0002-0112-6161; Hader, Donat/0000-0002-4295-5660</t>
  </si>
  <si>
    <t>Department of Biotechnology, Govt. of India [DBT-JRF/13/AL/143/2158]; Council of Scientific and Industrial Research, New Delhi, India [09/013/0515/2013-EMR-I]; DST PURSE</t>
  </si>
  <si>
    <t>Department of Biotechnology, Govt. of India(Department of Biotechnology (DBT) India); Council of Scientific and Industrial Research, New Delhi, India(Council of Scientific &amp; Industrial Research (CSIR) - India); DST PURSE</t>
  </si>
  <si>
    <t>Rajneesh and Jainendra Pathak are thankful to Department of Biotechnology, Govt. of India, (DBT-JRF/13/AL/143/2158) and Council of Scientific and Industrial Research, New Delhi, India (09/013/0515/2013-EMR-I) respectively for providing grants in the form of senior research fellowships. This work was partially supported by DST PURSE. We are also thankful to the Interdisciplinary School of Life Sciences (ISLS), BHU, Varanasi, India, for providing access to the fluorescence microscopy facility.</t>
  </si>
  <si>
    <t>0098-8472</t>
  </si>
  <si>
    <t>1873-7307</t>
  </si>
  <si>
    <t>ENVIRON EXP BOT</t>
  </si>
  <si>
    <t>Environ. Exp. Bot.</t>
  </si>
  <si>
    <t>10.1016/j.envexpbot.2018.10.037</t>
  </si>
  <si>
    <t>Plant Sciences; Environmental Sciences</t>
  </si>
  <si>
    <t>Plant Sciences; Environmental Sciences &amp; Ecology</t>
  </si>
  <si>
    <t>HW6TH</t>
  </si>
  <si>
    <t>WOS:000466823000033</t>
  </si>
  <si>
    <t>Wang, XP; Wang, CF; Zhu, TT; Gong, P; Fu, JJ; Cong, ZY</t>
  </si>
  <si>
    <t>Wang, Xiaoping; Wang, Chuanfei; Zhu, Tingting; Gong, Ping; Fu, Jianjie; Cong, Zhiyuan</t>
  </si>
  <si>
    <t>Persistent organic pollutants in the polar regions and the Tibetan Plateau: A review of current knowledge and future prospects</t>
  </si>
  <si>
    <t>Persistent organic pollutants (POPs); Polar regions; Spatiotemporal distribution; Bioconcentration; Climate change</t>
  </si>
  <si>
    <t>POLYCYCLIC AROMATIC-HYDROCARBONS; LONG-RANGE TRANSPORT; POLYBROMINATED DIPHENYL ETHERS; KING-GEORGE-ISLAND; POLYCHLORINATED-BIPHENYLS PCBS; WATER GAS-EXCHANGE; GLOBAL DISTRIBUTION MODEL; CURRENT-USE PESTICIDES; AGASSIZ ICE CAP; ORGANOCHLORINE PESTICIDES</t>
  </si>
  <si>
    <t>Due to their low temperatures, the Arctic, Antarctic and Tibetan Plateau are known as the three polar regions of the Earth. As the most remote regions of the globe, the occurrence of persistent organic pollutants (POPS) in these polar regions arouses global concern. In this paper, we review the literatures on POPS involving these three polar regions. Overall, concentrations of POPs in the environment (air, water, soil and biota) have been extensively reported, with higher levels of dichlorodiphenyltrichloroethane (DDT) and hexachlorocyclohexane (HCH) detected on the Tibetan Plateau. The spatial distribution of POPS in air, water and soil in the three polar regions broadly reflects their distances away from source regions. Based on long-term data, decreasing trends have been observed for most legacy POPs. Observations of transport processes of POPs among multiple media have also been carried out, including air-water gas exchange, air soil gas exchange, emissions from melting glaciers, bioaccumulations along food chains, and exposure risks. The impact of climate change on these processes possibly enhances the re-emission processes of POPs out of water, soil and glaciers, and reduces the bioaccumulation of POPs in food chains. Global POPs transport model have shown the Arctic receives a relatively small fraction of POPs, but that climate change will likely increase the total mass of all compounds in this polar region. Considering the impact of climate change on POPs is still unclear, long-term monitoring data and global/regional models are required, especially in the Antarctic and on the Tibetan Plateau, and the fate of POPs in all three polar regions needs to be comprehensively studied and compared to yield a better understanding of the mechanisms involved in the global cycling of POPs. (C) 2019 Elsevier Ltd. All rights reserved.</t>
  </si>
  <si>
    <t>[Wang, Xiaoping; Wang, Chuanfei; Zhu, Tingting; Gong, Ping; Cong, Zhiyuan] Chinese Acad Sci, Inst Tibetan Plateau Res, Key Lab Tibetan Environm Changes &amp; Land Surface P, Beijing 100101, Peoples R China; [Wang, Xiaoping; Wang, Chuanfei; Gong, Ping; Cong, Zhiyuan] Chinese Acad Sci, Ctr Excellence Tibetan Plateau Earth Sci, Beijing 100101, Peoples R China; [Wang, Xiaoping; Zhu, Tingting; Cong, Zhiyuan] Univ Chinese Acad Sci, Beijing 100049, Peoples R China; [Fu, Jianjie] Chinese Acad Sci, State Key Lab Environm Chem &amp; Ecotoxicol, Beijing 100085, Peoples R China</t>
  </si>
  <si>
    <t>Chinese Academy of Sciences; Institute of Tibetan Plateau Research, CAS; Chinese Academy of Sciences; Chinese Academy of Sciences; University of Chinese Academy of Sciences, CAS; Chinese Academy of Sciences</t>
  </si>
  <si>
    <t>Wang, XP (corresponding author), Chinese Acad Sci, Inst Tibetan Plateau Res, Key Lab Tibetan Environm Changes &amp; Land Surface P, Beijing 100101, Peoples R China.</t>
  </si>
  <si>
    <t>wangxp@itpcas.ac.cn</t>
  </si>
  <si>
    <t>Zhu, Tingting/O-6989-2017; 丛, 志远/E-5237-2012; Fu, Jianjie/ABI-2640-2020; cong, z/KCF-0053-2024; xiaoping, wang/GRX-3807-2022; Gong, Ping/I-4238-2017</t>
  </si>
  <si>
    <t>xiaoping, wang/0000-0002-6620-0334; Gong, Ping/0000-0002-8766-260X</t>
  </si>
  <si>
    <t>Strategic Priority Research Program of Chinese Academy of Sciences [XDA2004050202]; National Natural Science Foundation of China [41671480, 41701083]; China Postdoctoral Science Foundation [2018T110146]</t>
  </si>
  <si>
    <t>Strategic Priority Research Program of Chinese Academy of Sciences(Chinese Academy of Sciences); National Natural Science Foundation of China(National Natural Science Foundation of China (NSFC)); China Postdoctoral Science Foundation(China Postdoctoral Science Foundation)</t>
  </si>
  <si>
    <t>This study was supported by the Strategic Priority Research Program of Chinese Academy of Sciences, Pan-Third Pole Environment Study for a Green Silk Road (Pan-TPE) (XDA2004050202), the National Natural Science Foundation of China (41671480 and 41701083), and China Postdoctoral Science Foundation (2018T110146).</t>
  </si>
  <si>
    <t>10.1016/j.envpol.2019.01.093</t>
  </si>
  <si>
    <t>HW3UK</t>
  </si>
  <si>
    <t>WOS:000466618000021</t>
  </si>
  <si>
    <t>Coleine, C; Selbmann, L; Masonjones, S; Onofri, S; Zucconi, L; Stajich, JE</t>
  </si>
  <si>
    <t>Coleine, Claudia; Selbmann, Laura; Masonjones, Sawyer; Onofri, Silvano; Zucconi, Laura; Stajich, Jason E.</t>
  </si>
  <si>
    <t>Draft Genome Sequence of an Antarctic Isolate of the Black Yeast Fungus Exophiala mesophila</t>
  </si>
  <si>
    <t>MICROBIOLOGY RESOURCE ANNOUNCEMENTS</t>
  </si>
  <si>
    <t>SURVIVAL; GENERATION; PREDICTION; DATABASE; SPACE; DNA</t>
  </si>
  <si>
    <t>A 30.43-Mb draft genome sequence with 10,355 predicted protein-coding genes was produced for the ascomycete fungus Exophiala mesophila strain CCFEE 6314, a black yeast isolated from Antarctic cryptoendolithic communities. The sequence will be of importance for identifying differences among extremophiles and mesophiles and cataloguing the global population diversity of this organism.</t>
  </si>
  <si>
    <t>[Coleine, Claudia; Selbmann, Laura; Onofri, Silvano; Zucconi, Laura] Univ Tuscia, Dept Ecol &amp; Biol Sci, Viterbo, Italy; [Selbmann, Laura] Italian Natl Antarctic Museum MNA, Mycol Sect, Genoa, Italy; [Masonjones, Sawyer; Stajich, Jason E.] Univ Calif Riverside, Dept Microbiol &amp; Plant Pathol, Riverside, CA 92521 USA</t>
  </si>
  <si>
    <t>Tuscia University; University of California System; University of California Riverside</t>
  </si>
  <si>
    <t>Selbmann, L (corresponding author), Univ Tuscia, Dept Ecol &amp; Biol Sci, Viterbo, Italy.;Selbmann, L (corresponding author), Italian Natl Antarctic Museum MNA, Mycol Sect, Genoa, Italy.;Stajich, JE (corresponding author), Univ Calif Riverside, Dept Microbiol &amp; Plant Pathol, Riverside, CA 92521 USA.</t>
  </si>
  <si>
    <t>selbmann@unitus.it; jason.stajich@ucr.edu</t>
  </si>
  <si>
    <t>Selbmann, Laura/L-3056-2013; Stajich, Jason Eric/C-7297-2008; Zucconi, L./U-9781-2018; Coleine, Claudia/AAE-1889-2020</t>
  </si>
  <si>
    <t>Selbmann, Laura/0000-0002-8967-3329; Stajich, Jason Eric/0000-0002-7591-0020; Zucconi, L./0000-0001-9793-2303; Coleine, Claudia/0000-0002-9289-6179; ONOFRI, Silvano/0000-0001-8872-1440</t>
  </si>
  <si>
    <t>Italian Antarctic National Museum (MNA); Italian National Program for Antarctic Researches (PNRA); U.S. Department of Agriculture-National Institute of Food and Agriculture Hatch project [CA-R-PPA-5062-H]; NSF [DBI-1429826]; NIH [S10-OD016290]</t>
  </si>
  <si>
    <t>Italian Antarctic National Museum (MNA); Italian National Program for Antarctic Researches (PNRA); U.S. Department of Agriculture-National Institute of Food and Agriculture Hatch project; NSF(National Science Foundation (NSF)); NIH(United States Department of Health &amp; Human ServicesNational Institutes of Health (NIH) - USA)</t>
  </si>
  <si>
    <t>The Italian Antarctic National Museum (MNA) is kindly acknowledged for financial support to the Mycological Section on the MNA for providing the strains sequenced in this study and stored in the Culture Collection of Fungi from Extreme Environments (CCFEE), University of Tuscia, Italy.; L.S., C.C., and L.Z. kindly acknowledge the Italian National Program for Antarctic Researches (PNRA) for funding sampling campaigns and the research activities in Italy. Sequencing costs were supported through the U.S. Department of Agriculture-National Institute of Food and Agriculture Hatch project CA-R-PPA-5062-H to J.E.S. Data analyses were performed on the High-Performance Computing Cluster at the University of California-Riverside in the Institute of Integrative Genome Biology supported by NSF grant DBI-1429826 and NIH grant S10-OD016290.</t>
  </si>
  <si>
    <t>2576-098X</t>
  </si>
  <si>
    <t>MICROBIOL RESOUR ANN</t>
  </si>
  <si>
    <t>Microbiol. Resour. Ann.</t>
  </si>
  <si>
    <t>e00142-19</t>
  </si>
  <si>
    <t>10.1128/MRA.00142-19</t>
  </si>
  <si>
    <t>HX5LU</t>
  </si>
  <si>
    <t>WOS:000467443700006</t>
  </si>
  <si>
    <t>Davey, MP; Norman, L; Sterk, P; Huete-Ortega, M; Bunbury, F; Loh, BKW; Stockton, S; Peck, LS; Convey, P; Newsham, KK; Smith, AG</t>
  </si>
  <si>
    <t>Davey, Matthew P.; Norman, Louisa; Sterk, Peter; Huete-Ortega, Maria; Bunbury, Freddy; Loh, Bradford Kin Wai; Stockton, Sian; Peck, Lloyd S.; Convey, Peter; Newsham, Kevin K.; Smith, Alison G.</t>
  </si>
  <si>
    <t>Snow algae communities in Antarctica: metabolic and taxonomic composition</t>
  </si>
  <si>
    <t>Antarctica; bacteria; community composition; cryophilic; fungi; metabarcoding; metabolomics; snow algae</t>
  </si>
  <si>
    <t>GREEN-ALGAE; SECONDARY CAROTENOIDS; MICROBIAL ECOLOGY; CHLOROPHYLL-A; PHOTOSYNTHESIS; PENINSULA; SEA; ICE; BIOGEOGRAPHY; ADAPTATION</t>
  </si>
  <si>
    <t>Snow algae are found in snowfields across cold regions of the planet, forming highly visible red and green patches below and on the snow surface. In Antarctica, they contribute significantly to terrestrial net primary productivity due to the paucity of land plants, but our knowledge of these communities is limited. Here we provide the first description of the metabolic and species diversity of green and red snow algae communities from four locations in Ryder Bay (Adelaide Island, 68 degrees S), Antarctic Peninsula. During the 2015 austral summer season, we collected samples to measure the metabolic composition of snow algae communities and determined the species composition of these communities using metabarcoding. Green communities were protein-rich, had a high chlorophyll content and contained many metabolites associated with nitrogen and amino acid metabolism. Red communities had a higher carotenoid content and contained more metabolites associated with carbohydrate and fatty acid metabolism. Chloromonas, Chlamydomonas and Chlorella were found in green blooms but only Chloromonas was detected in red blooms. Both communities also contained bacteria, protists and fungi. These data show the complexity and variation within snow algae communities in Antarctica and provide initial insights into the contribution they make to ecosystem functioning.</t>
  </si>
  <si>
    <t>[Davey, Matthew P.; Norman, Louisa; Huete-Ortega, Maria; Bunbury, Freddy; Loh, Bradford Kin Wai; Stockton, Sian; Smith, Alison G.] Univ Cambridge, Dept Plant Sci, Cambridge CB2 3EA, England; [Sterk, Peter] Univ Cambridge, Cambridge Inst Med Res, Wellcome Trust MRC Bldg,Hills Rd, Cambridge CB2 0QQ, England; [Peck, Lloyd S.; Convey, Peter; Newsham, Kevin K.] British Antarctic Survey, NERC, Madingley Rd, Cambridge CB3 0ET, England</t>
  </si>
  <si>
    <t>University of Cambridge; University of Cambridge; UK Research &amp; Innovation (UKRI); Natural Environment Research Council (NERC); NERC British Antarctic Survey</t>
  </si>
  <si>
    <t>Davey, MP (corresponding author), Univ Cambridge, Dept Plant Sci, Cambridge CB2 3EA, England.</t>
  </si>
  <si>
    <t>mpd39@cam.ac.uk</t>
  </si>
  <si>
    <t>Convey, Peter/AAV-5728-2020; Huete-Ortega, Maria/K-4530-2014</t>
  </si>
  <si>
    <t>Convey, Peter/0000-0001-8497-9903; Loh, Kin Wai Bradford/0000-0002-7762-8539; Bunbury, Freddy/0000-0002-2830-3674; Davey, Matthew/0000-0002-5220-4174; Sterk, Peter/0000-0003-1668-7778; Huete-Ortega, Maria/0000-0002-8746-5518</t>
  </si>
  <si>
    <t>NERC; European Union [215G]; INTERREG IVB Energetic Algae' (EnAlgae) programme; Leverhulme Trust Research Grant [RPG-2017-077]; Collaboration Voucher from the British Antarctic Survey; Cambridge Genomic Services (University of Cambridge, Department of Pathology); BAS Biodiversity, Evolution and Adaptation' Team; NERC [bas0100036, 1943410] Funding Source: UKRI</t>
  </si>
  <si>
    <t>NERC(UK Research &amp; Innovation (UKRI)Natural Environment Research Council (NERC)); European Union(European Union (EU)); INTERREG IVB Energetic Algae' (EnAlgae) programme; Leverhulme Trust Research Grant(Leverhulme Trust); Collaboration Voucher from the British Antarctic Survey; Cambridge Genomic Services (University of Cambridge, Department of Pathology); BAS Biodiversity, Evolution and Adaptation' Team; NERC(UK Research &amp; Innovation (UKRI)Natural Environment Research Council (NERC))</t>
  </si>
  <si>
    <t>The research expedition was funded by a NERC Collaborative Gearing Schemeaward (RJCGS14MPD) in 2014/15. We thank staff at Rothera Research Station, Antarctica, especially the Bonner laboratory manager Alison Massey. MPD was supported by the European Union (project no. 215G) INTERREG IVB Energetic Algae' (EnAlgae) programme and a Leverhulme Trust Research Grant (RPG-2017-077). The metabarcoding analysis was supported by a Collaboration Voucher from the British Antarctic Survey and carried out by the Cambridge Genomic Services (University of Cambridge, Department of Pathology). LSP, PC and KKN are supported by NERC core funding to the BAS Biodiversity, Evolution and Adaptation' Team, and the study also contributes to the SCAR AntEco and AnT-ERA research programmes.</t>
  </si>
  <si>
    <t>10.1111/nph.15701</t>
  </si>
  <si>
    <t>HW6JX</t>
  </si>
  <si>
    <t>hybrid, Green Published, Green Accepted, Green Submitted</t>
  </si>
  <si>
    <t>WOS:000466797100012</t>
  </si>
  <si>
    <t>Kim, T; Kim, Y; Cho, M; Lee, JI</t>
  </si>
  <si>
    <t>Kim, Taehwan; Kim, Yoonsup; Cho, Moonsup; Lee, Jong Ik</t>
  </si>
  <si>
    <t>P-T evolution and episodic zircon growth in barroisite eclogites of the Lanterman Range, northern Victoria Land, Antarctica</t>
  </si>
  <si>
    <t>JOURNAL OF METAMORPHIC GEOLOGY</t>
  </si>
  <si>
    <t>Antarctic Ross Orogen; barroisite eclogites; episodic zircon growth; northern Victoria Land; prograde P-T trajectories</t>
  </si>
  <si>
    <t>ULTRAHIGH-PRESSURE METAMORPHISM; TRACE-ELEMENT GEOCHEMISTRY; COESITE-BEARING ECLOGITES; ZONE WESTERN ALPS; LAGO-DI-CIGNANA; UHP METAMORPHISM; ROSS OROGEN; CHEMICAL GEODYNAMICS; FACIES METAMORPHISM; MINERAL ASSEMBLAGE</t>
  </si>
  <si>
    <t>Prograde P-T-t paths of eclogites are often ambiguous owing to high variance of mineral assemblages, large uncertainty in isotopic age determinations and/or variable degree of retrograde equilibration. We investigated these issues using the barroisite eclogites from the Lanterman Range, northern Victoria Land, Antarctica, which are relatively uncommon but free of retrogression. These eclogites revealed three stages of prograde metamorphism, defining two distinctive P-T trajectories, M1-2 and M-3. Inclusion minerals in garnet porphyroblasts suggest that initial prograde assemblages (M-1) consist of garnet+omphacite+barroisite/Mg-pargasite+epidote+phengite+paragonite+rutile/titanite+quartz, and subsequent M-2 assemblages of garnet+omphacite+barroisite+phengite+rutile +/- quartz. The inclusion-rich inner part of garnet porphyroblasts preserves a bell-shaped Mn profile of the M-1, whereas the inclusion-poor outer part (M-2) is typified by the outward decrease in Ca/Mg and X-Fe (=Fe2+/(Fe2++Mg)) values. A pseudosection modelling employing fractionated bulk-rock composition suggests that the eclogites have initially evolved from similar to 15 to 20 kbar and 520-570 degrees C (M-1) to similar to 22-25 kbar and 630-650 degrees C (M-2). The latter is in accordance with P-T conditions estimated from two independent geothermobarometers: the garnet-clinopyroxene-phengite (similar to 25 +/- 3 kbar and 660 +/- 100 degrees C) and Zr-in-rutile (similar to 650-700 degrees C at 22-27 kbar). The second segment (M3A-B) of prograde P-T path is recorded in the grossular-rich overgrowth rim of garnet. Apart from disequilibrium growth of the M-3A garnet, ubiquitous overgrowth of the M-3B garnet permits us to estimate the P-T conditions at similar to 26 +/- 3 kbar and 720 +/- 80 degrees C. The cathodoluminescence (CL) imaging of zircon grains separated from a barroisite eclogite revealed three distinct zones with bright rim, dark mantle and moderately dark core. Eclogitic phases such as garnet, omphacite, epidote and rutile are present as fine-grained inclusions in the mantle and rim of zircon, in contrast to their absence in the core. The sensitive high-resolution ion microprobe U-Pb dating on metamorphic mantle domains and neoblasts yielded a weighted mean Pb-206/U-238 age of 515 +/- 4 Ma (t sigma), representing the time of the M-2 stage. On the other hand, overgrowth rims as well as bright-CL neoblasts of zircon were dated at 498 +/- 11 Ma (t sigma), corresponding to the M-3. Average burial rates estimated from the M-2 and M-3 ages are too low (&lt;2 mm/year) for cold subduction regime (similar to 5-10 degrees C/km), suggesting that an exhumation stage intervened between two prograde segments of P-T path. Thus, the P-T-t evolution of barroisite eclogites is typified by two discrete episodes with an c. 15 Ma gap during the middle Cambrian subduction of the Antarctic Ross Orogeny.</t>
  </si>
  <si>
    <t>[Kim, Taehwan] Seoul Natl Univ, Sch Earth &amp; Environm Sci, Seoul, South Korea; [Kim, Yoonsup; Cho, Moonsup] Chungbuk Natl Univ, Dept Earth &amp; Environm Sci, Cheongju, South Korea; [Lee, Jong Ik] Korea Polar Res Inst, Unit Antarctic K Route Expedit, Incheon, South Korea</t>
  </si>
  <si>
    <t>Seoul National University (SNU); Chungbuk National University; Korea Polar Research Institute (KOPRI)</t>
  </si>
  <si>
    <t>Kim, Y (corresponding author), Chungbuk Natl Univ, Dept Earth &amp; Environm Sci, Cheongju, South Korea.</t>
  </si>
  <si>
    <t>yoonsup@cbnu.ac.kr</t>
  </si>
  <si>
    <t>Cho, Moonsup/ABD-4035-2021</t>
  </si>
  <si>
    <t>Cho, Moonsup/0000-0001-8209-7050; Kim, Taehwan/0000-0002-0586-3433</t>
  </si>
  <si>
    <t>Ministry of Oceans and Fisheries [20140409, PM18030]</t>
  </si>
  <si>
    <t>Ministry of Oceans and Fisheries</t>
  </si>
  <si>
    <t>Ministry of Oceans and Fisheries, Grant/Award Number: 20140409, PM18030</t>
  </si>
  <si>
    <t>0263-4929</t>
  </si>
  <si>
    <t>1525-1314</t>
  </si>
  <si>
    <t>J METAMORPH GEOL</t>
  </si>
  <si>
    <t>J. Metamorph. Geol.</t>
  </si>
  <si>
    <t>10.1111/jmg.12474</t>
  </si>
  <si>
    <t>HW1NM</t>
  </si>
  <si>
    <t>WOS:000466449600003</t>
  </si>
  <si>
    <t>Jansen, MF; Nadeau, LP</t>
  </si>
  <si>
    <t>Jansen, Malte F.; Nadeau, Louis-Philippe</t>
  </si>
  <si>
    <t>A Toy Model for the Response of the Residual Overturning Circulation to Surface Warming</t>
  </si>
  <si>
    <t>Buoyancy; Diapycnal mixing; Mass fluxes; transport; Meridional overturning circulation; Ocean circulation; Ocean dynamics</t>
  </si>
  <si>
    <t>ANTARCTIC CIRCUMPOLAR CURRENT; SEA-ICE CONTROL; SOUTHERN-OCEAN; HEAT UPTAKE; STRATIFICATION; CLOSURE</t>
  </si>
  <si>
    <t>A simple model for the deep-ocean overturning circulation is presented and applied to study the ocean's response to a sudden surface warming. The model combines one-dimensional predictive residual advection-diffusion equations for the buoyancy in the basin and Southern Ocean surface mixed layer with diagnostic relationships for the residual overturning circulation between these regions. Despite its simplicity, the model reproduces the results from idealized general circulation model simulations and provides theoretical insights into the mechanisms that govern the response of the overturning circulation to an abrupt surface warming. Specifically, the model reproduces a rapid shoaling and weakening of the Atlantic meridional overturning circulation (AMOC) in response to surface warming, followed by a partial recovery over the following decades to centuries, and a full recovery after multiple millennia. The rapid partial recovery is associated with adjustment of the lower thermocline, which itself is shown to be accelerated by the weakened AMOC. Full equilibration instead requires adjustment of the abyssal buoyancy, which is shown to be governed by diapycnal diffusion and surface fluxes around Antarctica.</t>
  </si>
  <si>
    <t>[Jansen, Malte F.] Univ Chicago, Dept Geophys Sci, 5734 S Ellis Ave, Chicago, IL 60637 USA; [Nadeau, Louis-Philippe] Univ Quebec Rimouski, Inst Sci Mer Rimouski, Rimouski, PQ, Canada</t>
  </si>
  <si>
    <t>University of Chicago; University of Quebec; Universite du Quebec a Rimouski</t>
  </si>
  <si>
    <t>Jansen, MF (corresponding author), Univ Chicago, Dept Geophys Sci, 5734 S Ellis Ave, Chicago, IL 60637 USA.</t>
  </si>
  <si>
    <t>mfj@uchicago.edu</t>
  </si>
  <si>
    <t>Jansen, Malte/ABB-4451-2020</t>
  </si>
  <si>
    <t>Jansen, Malte/0000-0003-3894-1124</t>
  </si>
  <si>
    <t>NSF [OCE-1536454]</t>
  </si>
  <si>
    <t>The column model code is available on Github at https://github.com/MFJansen/PyMOC.The MITgcm is available at https://github.com/MITgcm/MITgcm, and the configuration files for the simulations discussed in this study are available upon request from L.-P.N. M.F.J. acknowledges support from the NSF under Award OCE-1536454. The authors declare no conflicts of interest.</t>
  </si>
  <si>
    <t>10.1175/JPO-D-18-0187.1</t>
  </si>
  <si>
    <t>HX3SX</t>
  </si>
  <si>
    <t>WOS:000467314100001</t>
  </si>
  <si>
    <t>Kagoshima, H; Maslen, R; Kito, K; Imura, S; Niki, H; Convey, P</t>
  </si>
  <si>
    <t>Kagoshima, Hiroshi; Maslen, Rolf; Kito, Kenji; Imura, Satoshi; Niki, Hironori; Convey, Peter</t>
  </si>
  <si>
    <t>Integrated taxonomy combining morphological and molecular biological analyses of soil nematodes from maritime Antarctica</t>
  </si>
  <si>
    <t>PLECTUS-MURRAYI; SSU RDNA; MITOCHONDRIAL; PHYLOGENY; DIVERSITY; EVOLUTION; SEQUENCE; EMPHASIS; SURVIVAL; LIFE</t>
  </si>
  <si>
    <t>Nematodes are one of the key organisms in the terrestrial ecosystems of Antarctica. Their exceptional cryptobiotic adaptations against freezing and desiccation stress have attracted significant research attention. However, even today, relatively little is known about thebiology of nematodes across this continent, especially in terms of their biodiversity and distribution. To address such fundamental research areas, correct classification of Antarctic nematodes is a necessary underpinning. Until recently, morphological examination has been the only established method available, and this remains challenging even for experts. Advances in molecular biological techniques now provide a complementary approach to nematode classification, but as yet have largely not been applied to the Antarctic fauna. In this study we initiate development of cataloguing of Antarctic nematodes using both morphological and molecular information from individual worms. We collected nematode samples from islands in maritime Antarctica (Signy, Adelaide and Leonie Islands; a latitudinal range between the South Orkney Islands and Marguerite Bay), and classified them by DNA sequence obtained from morphologically-determined samples. We obtained small subunit ribosomal RNA gene (SSU rDNA) sequence data from seven major maritime Antarctic nematode species, which will permit future identification of these species without the requirement for detailed morphological taxonomic analyses. We also trialled the application of molecular analyses to morphologically unidentified samples from King George Island, thereby obtaining support for our approach through the identification of samples with identical sequences. This approach provides baseline information for future studies of Antarctic nematodes.</t>
  </si>
  <si>
    <t>[Kagoshima, Hiroshi; Niki, Hironori] ROIS, Transdisciplinary Res Integrat Ctr, Minato Ku, Tokyo 1050001, Japan; [Kagoshima, Hiroshi; Niki, Hironori] ROIS, Natl Inst Genet, Yata 1111, Mishima, Shizuoka 4118540, Japan; [Maslen, Rolf; Convey, Peter] British Antarctic Survey, NERC, Madingley Rd, Cambridge CB3 0ET, England; [Kito, Kenji] Sapporo Med Univ, Chuo Ku, S1W17, Sapporo, Hokkaido 0608556, Japan; [Imura, Satoshi] ROIS, Natl Inst Polar Res, Midori Cho 10-3, Tachikawa, Tokyo 1908518, Japan; [Imura, Satoshi] SOKENDAI Grad Univ Adv Studies, Dept Polar Sci, Midori Cho 10-3, Tachikawa, Tokyo 1908518, Japan</t>
  </si>
  <si>
    <t>Research Organization of Information &amp; Systems (ROIS); Research Organization of Information &amp; Systems (ROIS); National Institute of Genetics (NIG) - Japan; UK Research &amp; Innovation (UKRI); Natural Environment Research Council (NERC); NERC British Antarctic Survey; Sapporo Medical University; Research Organization of Information &amp; Systems (ROIS); National Institute of Polar Research (NIPR) - Japan; Graduate University for Advanced Studies - Japan</t>
  </si>
  <si>
    <t>Convey, P (corresponding author), British Antarctic Survey, NERC, Madingley Rd, Cambridge CB3 0ET, England.</t>
  </si>
  <si>
    <t>pcon@bas.ac.uk</t>
  </si>
  <si>
    <t>Convey, Peter/AAV-5728-2020</t>
  </si>
  <si>
    <t>Convey, Peter/0000-0001-8497-9903; Kagoshima, Hiroshi/0000-0003-0653-2393</t>
  </si>
  <si>
    <t>JSPS KAKENHI [23247012, 23510239, 15K06906]; NERC; Grants-in-Aid for Scientific Research [23510239, 15K06906, 23247012] Funding Source: KAKEN; NERC [bas0100036] Funding Source: UKRI</t>
  </si>
  <si>
    <t>JSPS KAKENHI(Ministry of Education, Culture, Sports, Science and Technology, Japan (MEXT)Japan Society for the Promotion of ScienceGrants-in-Aid for Scientific Research (KAKENHI)); NERC(UK Research &amp; Innovation (UKRI)Natural Environment Research Council (NERC));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</si>
  <si>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thank Dr. Masaki Uchida and Dr. Hiroshi Kanda for providing Antarctic moss samples, Dr. Megumu Tsujimoto for discussion, Mr. Tadasu Shin-i, Dr. Hideaki Hiraki, Dr. Kazuho Ikeo and Dr. Chester Sands for advice on bioinformatic analysis, and Ms. Junko Kajiwara for excellent technical assistance. We greatly appreciate the generous support of Dr. Yuji Kohara for molecular analysis. British Antarctic Survey field staff are thanked for supporting the fieldwork on Signy, Leonie and Adelaide Islands, and Laura Gerrish of the BAS Mapping and Geographic Information Centre for preparing the maps in Fig. 1. HK was supported by JSPS KAKENHI Grant Numbers 23510239, 15K06906. SI and HK were supported by JSPS KAKENHI 23247012. PC is supported by NERC core funding to the BAS 'Biodiversity, Evolution and Adaptation' Team. This paper also contributes to the SCAR AntEco research programme. Anonymous reviewers and the Editor are thanked for constructive comments helping to improve and focus the manuscript.</t>
  </si>
  <si>
    <t>10.1007/s00300-019-02482-8</t>
  </si>
  <si>
    <t>HW0RU</t>
  </si>
  <si>
    <t>WOS:000466390100004</t>
  </si>
  <si>
    <t>Kitaura, MJ; Costa, PC; Scur, MC; Lorenz, AP</t>
  </si>
  <si>
    <t>Kitaura, M. J.; Costa, P. C.; Scur, M. C.; Lorenz, A. . P.</t>
  </si>
  <si>
    <t>Genetic and morphological variations of the lichenized fungus Steinera intricata (Arctomiaceae, Lecanoromycetes) from southern South America to Antarctic Peninsula</t>
  </si>
  <si>
    <t>Cyanolichens; Taxonomy; Species diversity; Arctomiaceae; Southern Hemisphere</t>
  </si>
  <si>
    <t>CYANOBACTERIAL LICHENS; SPECIES DELIMITATION; PHYLOGENETIC-RELATIONSHIPS; PHENOTYPIC PLASTICITY; MOLECULAR PHYLOGENY; 2016 CLASSIFICATION; CETRARIA-ACULEATA; HIDDEN DIVERSITY; ASCOMYCOTA; GENUS</t>
  </si>
  <si>
    <t>Steinera (Arctomiaceae, Lecanoromycetes) is an Austral genus of lichenized fungi that form symbiotic associations with cyanobacteria, producing small and inconspicuous thalli. Most species of Steinera present a high degree of endemism restricted to sub-Antarctic islands except S. intricata which occurs from southern South America to the Antarctic Peninsula and presents remarkable phenotypic variation along its distribution range. In this study, an integrative approach was used to explore the extent of intraspecific diversity of S. intricata throughout its distribution. Morphological and anatomical descriptions and the phylogenetic analyses of three genomic regions were performed with specimens collected from seven Antarctic islands and in the Tierra del Fuego National Park (Argentina). Genetic data revealed species-level lineages are not associated with the differences observed in the thalli shape, which probably are related to distinct microhabitats and substrates as well as to the development stage. Molecular clock analyses estimated that S. intricata originated at about 0.24 Myr and that the diversification of the Antarctic lineages occurred at about 0.16 Myr. This study revealed that there is probably an unknown diversity of new members of Steinera in southern South America and that the evolutionary history of these cyanolichens may contribute to the understanding of the phylogeographic connections between members of the Austral-Antarctic flora.</t>
  </si>
  <si>
    <t>[Kitaura, M. J.; Scur, M. C.; Lorenz, A. . P.] Univ Fed Mato Grosso do Sul, Biosci Inst, Lab Ecol &amp; Evolutionary Biol, BR-79070900 Campo Grande, MS, Brazil; [Costa, P. C.] Univ Fed Mato Grosso, Inst Nat Human &amp; Social Sci, BR-78557267 Sinop, MT, Brazil</t>
  </si>
  <si>
    <t>Universidade Federal de Mato Grosso do Sul; Universidade Federal de Mato Grosso</t>
  </si>
  <si>
    <t>Kitaura, MJ (corresponding author), Univ Fed Mato Grosso do Sul, Biosci Inst, Lab Ecol &amp; Evolutionary Biol, BR-79070900 Campo Grande, MS, Brazil.</t>
  </si>
  <si>
    <t>junjimjk@gmail.com</t>
  </si>
  <si>
    <t>Lorenz, Aline Pedroso/I-1743-2012</t>
  </si>
  <si>
    <t>Lorenz, Aline Pedroso/0000-0002-2810-2282; Kitaura, Marcos Junji/0000-0002-2175-3533</t>
  </si>
  <si>
    <t>CAPES; FAPEMAT; Coordenacao de Aperfeicoamento de Pessoal de Nivel Superior - Brasil (CAPES) [001]; Evolution and Dispersal of Antarctic Bipolar Species of Mosses and Lichens project (MCTI/CNPq)</t>
  </si>
  <si>
    <t>CAPES(Coordenacao de Aperfeicoamento de Pessoal de Nivel Superior (CAPES)); FAPEMAT(Fundacao de Amparo a Pesquisa do Estado de Mato Grosso (FAPEMAT)); Coordenacao de Aperfeicoamento de Pessoal de Nivel Superior - Brasil (CAPES)(Coordenacao de Aperfeicoamento de Pessoal de Nivel Superior (CAPES)); Evolution and Dispersal of Antarctic Bipolar Species of Mosses and Lichens project (MCTI/CNPq)</t>
  </si>
  <si>
    <t>We thank the curators of the AAS and H herbaria for the loan of the specimens. We also thank the PROANTAR (Programa Antartico Brasileiro), IAA (Instituto Antartico Argentino), and KOPRI (Korean Polar Research Institute) for their assistance on field trips. M.J. Kitaura, M.C. Scur, and P. C. Canesqui are grateful to CAPES and FAPEMAT for scholarships. We are grateful to N.M. Koch and W.S. Fava for their support in collecting the material used in this study. We also thank L.A.G. Albertti for the laboratory support. This study was financed in part by the Coordenacao de Aperfeicoamento de Pessoal de Nivel Superior - Brasil (CAPES) - Finance Code 001. Funding for this work was also provided by the Evolution and Dispersal of Antarctic Bipolar Species of Mosses and Lichens project (MCTI/CNPq).</t>
  </si>
  <si>
    <t>10.1007/s00300-019-02486-4</t>
  </si>
  <si>
    <t>WOS:000466390100006</t>
  </si>
  <si>
    <t>Near, TJ; Ghezelayagh, A; Ojeda, FP; Dornburg, A</t>
  </si>
  <si>
    <t>Near, Thomas J.; Ghezelayagh, Ava; Ojeda, F. Patricio; Dornburg, Alex</t>
  </si>
  <si>
    <t>Recent diversification in an ancient lineage of Notothenioid fishes (Bovichtus: Notothenioidei)</t>
  </si>
  <si>
    <t>West Wind drift; Historical biogeography; Notothenioidei; Bovichtidae; Adaptive radiation</t>
  </si>
  <si>
    <t>LONG-DISTANCE DISPERSAL; WEST-WIND-DRIFT; FOOD-WEB; EVOLUTION; BIOGEOGRAPHY; PHYLOGENY; ACTINOPTERYGII; DIVERGENCE; DIVERSITY; RADIATION</t>
  </si>
  <si>
    <t>Notothenioids are among the most intensively studied lineages of marine fishes. However, notothenioid research is predominately focused on the approximately 100 species of Antarctic cryonotothenioids. Far less attention is devoted to the non-Antarctic lineages Bovichtidae, Pseudaphritis urvillii, and Eleginops maclovinus, all of which originated prior to the diversification of cryonotothenioid species. Here we utilize DNA sequence data from mitochondrial and nuclear genes, as well as meristic trait morphology to investigate the evolutionary history of Bovichtidae. Bovichtus is the only polytypic lineage of early diverging non-Antarctic notothenioids providing a unique opportunity to contextualize the diversification dynamics of cryonotothenioids with their non-Antarctic relatives. We find strong evidence that species of Bovichtus represent a recent evolutionary radiation with divergence times similar to those estimated among the most closely related species of cryonotothenioids. The divergence in traditional meristic trait morphology among species of Bovichtus is consistent with their phylogenetic relationships. The phylogeny of Bovichtus implies the wide geographic distribution of species in the clade is likely the result of West Wind drift-driven dispersal. The phylogeny and divergence time estimates results reject a hypothesis that species persistence in Bovichtus reflects long periods of evolutionary stasis. Instead, we hypothesize that patterns of extinction and diversification in Bovichtus closely mirror those observed in their Antarctic relatives.</t>
  </si>
  <si>
    <t>[Near, Thomas J.; Ghezelayagh, Ava] Yale Univ, Dept Ecol &amp; Evolutionary Biol, Osborn Mem Labs, POB 208106, New Haven, CT 06520 USA; [Near, Thomas J.] Yale Univ, Peabody Museum Nat Hist, New Haven, CT 06520 USA; [Ojeda, F. Patricio] Pontificia Univ Catolica Chile, Fac Ciencias Biol, Dept Ecol, Santiago, Chile; [Dornburg, Alex] North Carolina Museum Nat Sci, Raleigh, NC 27601 USA</t>
  </si>
  <si>
    <t>Yale University; Yale University; Pontificia Universidad Catolica de Chile</t>
  </si>
  <si>
    <t>Near, TJ (corresponding author), Yale Univ, Dept Ecol &amp; Evolutionary Biol, Osborn Mem Labs, POB 208106, New Haven, CT 06520 USA.;Near, TJ (corresponding author), Yale Univ, Peabody Museum Nat Hist, New Haven, CT 06520 USA.</t>
  </si>
  <si>
    <t>thomas.near@yale.edu</t>
  </si>
  <si>
    <t>Near, Thomas J./K-1204-2012; Dornburg, Alex/CAF-1206-2022</t>
  </si>
  <si>
    <t>Near, Thomas J./0000-0002-7398-6670;</t>
  </si>
  <si>
    <t>Bingham Oceanographic fund</t>
  </si>
  <si>
    <t>G. Watkins-Colwell provided outstanding assistance with all aspects arising from the use of specimens housed in museum collections. A. Lamb provided assistance with various aspects in the preparation of this manuscript. All images were obtained through creative commons licenses. Alastair Graham (CSIRO) provided valuable tissue specimens. Financial support was provided by the Bingham Oceanographic fund maintained and managed at the Peabody Museum of Natural History, Yale University.</t>
  </si>
  <si>
    <t>10.1007/s00300-019-02489-1</t>
  </si>
  <si>
    <t>WOS:000466390100009</t>
  </si>
  <si>
    <t>Yang, ZK; Wang, JJ; Yuan, LX; Cheng, WH; Wang, YH; Xie, ZQ; Sun, LG</t>
  </si>
  <si>
    <t>Yang, Zhongkang; Wang, Jianjun; Yuan, Linxi; Cheng, Wenhan; Wang, Yuhong; Xie, Zhouqing; Sun, Liguang</t>
  </si>
  <si>
    <t>Total photosynthetic biomass record between 9400 and 2200 BP and its link to temperature changes at a High Arctic site near Ny-Alesund, Svalbard</t>
  </si>
  <si>
    <t>Holocene; Phytol; Bio-elements; Photosynthetic biomass; Svalbard</t>
  </si>
  <si>
    <t>LAST GLACIAL MAXIMUM; HOLOCENE CLIMATE; BARENTS SEA; LAKE-SEDIMENTS; NORTH-ATLANTIC; PENGUIN POPULATIONS; SEABIRD POPULATION; ARDLEY ISLAND; ICE-SHEET; SPITSBERGEN</t>
  </si>
  <si>
    <t>Changes in vegetation biomass have a great impact on many aspects of the Arctic ecosystem, and historical variations of biomass in Svalbard during the Holocene remain poorly understood. In this study, we collected a palaeo-notch sediment profile in Ny-angstrom lesund, Svalbard, performed organic biomarker and geochemical analysis on the sediments, reconstructed the photosynthetic biomass record during the interval of 9400-2200 BP, and examined the relationship between the photosynthetic biomass changes and Holocene temperature records in the Arctic region. The photosynthetic biomass production in Ny-angstrom lesund experienced four development periods. It rose steadily at the beginning of the Holocene and became stabilized at a high level during the Holocene thermal maximum. However, the photosynthetic biomass dropped sharply during the mid-Holocene transition. After that, it showed a small peak during the interval of 3000-2500 BP. The historical photosynthetic biomass record is in good agreement with the temperature records: the photosynthetic biomass production increases during warmer periods, and vice versa. Therefore, temperature is likely the driving factor controlling the photosynthetic biomass production. This study improves our understanding of the terrestrial ecosystem and its responses to climate change in the Arctic.</t>
  </si>
  <si>
    <t>[Yang, Zhongkang; Cheng, Wenhan; Wang, Yuhong; Xie, Zhouqing; Sun, Liguang] Univ Sci &amp; Technol China, Sch Earth &amp; Space Sci, Anhui Prov Key Lab Polar Environm &amp; Global Change, Hefei 230026, Anhui, Peoples R China; [Wang, Jianjun] State Ocean Adm, Inst Oceanog 3, Key Lab Global Change &amp; Marine Atmospher Chem, Xiamen 361005, Peoples R China; [Yuan, Linxi] Univ Sci &amp; Technol China, Suzhou Inst Adv Study, Adv Lab Selenium &amp; Human Hlth, Suzhou 215123, Peoples R China</t>
  </si>
  <si>
    <t>Chinese Academy of Sciences; University of Science &amp; Technology of China, CAS; Third Institute of Oceanography, Ministry of Natural Resources; Chinese Academy of Sciences; University of Science &amp; Technology of China, CAS</t>
  </si>
  <si>
    <t>Xie, ZQ; Sun, LG (corresponding author), Univ Sci &amp; Technol China, Sch Earth &amp; Space Sci, Anhui Prov Key Lab Polar Environm &amp; Global Change, Hefei 230026, Anhui, Peoples R China.</t>
  </si>
  <si>
    <t>zqxie@ustc.edu.cn; slg@ustc.edu.cn</t>
  </si>
  <si>
    <t>Yuan, Linxi/Y-9313-2019; cheng, Wen-Han/I-6377-2012</t>
  </si>
  <si>
    <t>Yuan, Linxi/0000-0002-1043-8933;</t>
  </si>
  <si>
    <t>Chinese Polar Environment Comprehensive Investigation &amp; Assessment Programmes [CHINARE2017-02-01, CHINARE2017-04-04]; External Cooperation Program of BIC, CAS [211134KYSB20130012]</t>
  </si>
  <si>
    <t>Chinese Polar Environment Comprehensive Investigation &amp; Assessment Programmes; External Cooperation Program of BIC, CAS</t>
  </si>
  <si>
    <t>The research was supported by Chinese Polar Environment Comprehensive Investigation &amp; Assessment Programmes (CHINARE2017-02-01, CHINARE2017-04-04) and the External Cooperation Program of BIC, CAS (Project No. 211134KYSB20130012). Samples provided by the Polar Sediment Repository of Polar Research Institute of China (PRIC). Samples Information and Data were issued by the Resource-sharing Platform of Polar Samples (https ://birds. china re. org. cn) maintained by Polar Research Institute of China (PRIC) and Chinese National Arctic &amp; Antarctic Data Center (CN-NADC). We thank the Chinese Arctic and Antarctic Administration and PRIC for logistical support in field. We also thank the Governor of Svalbard for permission to carry out fieldwork.</t>
  </si>
  <si>
    <t>10.1007/s00300-019-02493-5</t>
  </si>
  <si>
    <t>WOS:000466390100012</t>
  </si>
  <si>
    <t>La Mesa, M; Piepenburg, D; Pineda-Metz, SEA; Riginella, E; Eastman, JT</t>
  </si>
  <si>
    <t>La Mesa, Mario; Piepenburg, Dieter; Pineda-Metz, Santiago E. A.; Riginella, Emilio; Eastman, Joseph T.</t>
  </si>
  <si>
    <t>Spatial distribution and habitat preferences of demersal fish assemblages in the southeastern Weddell Sea (Southern Ocean)</t>
  </si>
  <si>
    <t>Photographic survey; Notothenioids; Benthic communities; Weddell Sea</t>
  </si>
  <si>
    <t>ROSS SEA; FAUNA; BEHAVIOR</t>
  </si>
  <si>
    <t>Our knowledge on distribution, habitats and behavior of Southern Ocean fishes living at water depths beyond scuba-diving limits is still sparse, as it is difficult to obtain quantitative data on these aspects of their biology. Here, we report the results of an analysis of seabed images to investigate species composition, behavior, spatial distribution and preferred habitats of demersal fish assemblages in the southern Weddell Sea. Our study was based on a total of 2736 high-resolution images, covering a total seabed area of 11,317m(2), which were taken at 13 stations at water depths between 200 and 750m. Fish were found in 380 images. A total of 379 notothenioid specimens were recorded, representing four families (Nototheniidae, Artedidraconidae, Bathydraconidae, Channichthyidae), 17 genera and 25 species. Nototheniidae was the most speciose family, including benthic species (Trematomus spp.) and the pelagic species Pleuragramma antarctica, which was occasionally recorded in dense shoals. Bathydraconids ranked second with six species, followed by artedidraconids and channichthyids, both with five species. Most abundant species were Trematomus scotti and T. lepidorhinus among nototheniids, and Dolloidraco longedorsalis and Pagetopsis maculatus among artedidraconids and channichthyids, respectively. Both T. lepidorhinus and P. maculatus preferred seabed habitats characterized by biogenous debris and rich epibenthic fauna, whereas T. scotti and D. longedorsalis were frequently seen resting on fine sediments and scattered gravel. Several fish species were recorded to make use of the three-dimensional structure formed by epibenthic foundation species, like sponges, for perching or hiding inside. Nesting behavior was observed, frequently in association with dropstones, in species from various families, including Channichthyidae (Chaenodraco wilsoni and Pagetopsis macropterus) and Bathydraconidae (Cygnodraco mawsoni).</t>
  </si>
  <si>
    <t>[La Mesa, Mario] UOS Ancona, CNR, Inst Marine Sci, Largo Fiera Pesca 1, I-60125 Ancona, Italy; [Piepenburg, Dieter; Pineda-Metz, Santiago E. A.] Helmholtz Ctr Polar &amp; Marine Res, AWI, Handelshafen 12, D-26570 Bremerhaven, Germany; [Riginella, Emilio] Dept Integrat Marine Ecol, Zool Stn Anton Dohrn, I-80121 Naples, Italy; [Eastman, Joseph T.] Ohio Univ, Dept Biomed Sci, Athens, OH 45701 USA; [Piepenburg, Dieter] Carl von Ossietzky Univ Oldenburg, HIFMB, Ammerlander Heerstr 231, D-26129 Oldenburg, Germany; [Piepenburg, Dieter] Univ Kiel, Inst Ecosyst Res, D-24118 Kiel, Germany; [Pineda-Metz, Santiago E. A.] Bremen Univ, Fac Biol Chem 2, D-28334 Bremen, Germany</t>
  </si>
  <si>
    <t>Consiglio Nazionale delle Ricerche (CNR); Istituto di Scienze Marine (ISMAR-CNR); Helmholtz Association; Alfred Wegener Institute, Helmholtz Centre for Polar &amp; Marine Research; Stazione Zoologica Anton Dohrn di Napoli; University System of Ohio; Ohio University; Carl von Ossietzky Universitat Oldenburg; University of Kiel; University of Bremen</t>
  </si>
  <si>
    <t>La Mesa, M (corresponding author), UOS Ancona, CNR, Inst Marine Sci, Largo Fiera Pesca 1, I-60125 Ancona, Italy.</t>
  </si>
  <si>
    <t>m.lamesa@ismar.cnr.it</t>
  </si>
  <si>
    <t>Eastman, Joseph T./O-6150-2019; Pineda Metz, Santiago Esteban Agustin/AAB-4814-2022; Riginella, Emilio/Q-2987-2019</t>
  </si>
  <si>
    <t>Eastman, Joseph T./0000-0003-3868-261X; Pineda Metz, Santiago Esteban Agustin/0000-0001-7780-6449; Riginella, Emilio/0000-0002-1442-8310; Piepenburg, Dieter/0000-0003-3977-2860</t>
  </si>
  <si>
    <t>PNRA (Italian National Antarctic Research Program) [2013/C1.07]; National Science Foundation [NSF ANT 04-36190]</t>
  </si>
  <si>
    <t>PNRA (Italian National Antarctic Research Program); National Science Foundation(National Science Foundation (NSF))</t>
  </si>
  <si>
    <t>We are greatly indebted to all the crew and scientific personnel aboard R/V Polarstern during cruise ANT-XXXI/2 (PS96) in the Weddell Sea for their valuable support during field activities. We are very grateful to Odd Aksel Bergstad, Mauricio F. Landaeta and an anonymous reviewer for their constructive comments on the original manuscript. This study was financially supported by the PNRA (Italian National Antarctic Research Program) within the research project 2013/C1.07. JT Eastman was supported by National Science Foundation grant NSF ANT 04-36190.</t>
  </si>
  <si>
    <t>10.1007/s00300-019-02495-3</t>
  </si>
  <si>
    <t>WOS:000466390100014</t>
  </si>
  <si>
    <t>Devaud, M; Lebouvier, M</t>
  </si>
  <si>
    <t>Devaud, Manon; Lebouvier, Marc</t>
  </si>
  <si>
    <t>First record of Pantala flavescens (Anisoptera: Libellulidae) from the remote Amsterdam Island, southern Indian Ocean</t>
  </si>
  <si>
    <t>Long-distance dispersal; Odonata; Alien species; Sub-Antarctic island; Lepidoptera</t>
  </si>
  <si>
    <t>SUB-ANTARCTIC MARION; ILE AMSTERDAM; DISPERSAL; BIODIVERSITY; LEPIDOPTERA; INVASIONS; PAUL</t>
  </si>
  <si>
    <t>Natural colonization of macroinvertebrates into the Sub-Antarctic area is generally accepted to be a rare event. In February 2017, two live adults of Pantala flavescens (Libellulidae) were recorded on the isolated Amsterdam Island (37 degrees 50 S, 77 degrees 30 E), southern Indian Ocean. This circumtropical species, common name the Globe Skimmer, can fly several thousand kilometers. This paper analyzes the weather conditions in this sector of the Indian Ocean in February 2017 to assess the probability of arrival of the dragonflies by air from their known migration route at lower latitudes between India and East Africa. The probability that this species could establish and form a permanent population on Amsterdam Island is discussed. Some favorable habitats are present but temperatures are probably too low to allow the dragonflies to complete their development. Odonata have never been observed on Sub-Antarctic islands and reports of natural arrival of insects into these islands mainly concern Lepidoptera. Here we also report observations of Vanessa cardui (Nymphalidae) which has established a permanent population on Amsterdam Island and has been observed on several occasions in the Crozet Archipelago.</t>
  </si>
  <si>
    <t>[Devaud, Manon] Univ Rochelle, CNRS, Ctr Etud Biol Chize, F-79360 Villiers En Bois, France; [Lebouvier, Marc] Univ Rennes, CNRS, UMR 6553, Stn Biol, F-35380 Paimpont, France</t>
  </si>
  <si>
    <t>Centre National de la Recherche Scientifique (CNRS); Centre National de la Recherche Scientifique (CNRS); CNRS - Institute of Ecology &amp; Environment (INEE)</t>
  </si>
  <si>
    <t>Lebouvier, M (corresponding author), Univ Rennes, CNRS, UMR 6553, Stn Biol, F-35380 Paimpont, France.</t>
  </si>
  <si>
    <t>marc.lebouvier@univ-rennes1.fr</t>
  </si>
  <si>
    <t>LEBOUVIER, Marc/0000-0002-0852-789X</t>
  </si>
  <si>
    <t>IPEV (Institut Polaire Francais Paul-Emile Victor) [109, 136, 1167]; CNRS (Centre National de la Recherche Scientifique, Zone Atelier Antarctique)</t>
  </si>
  <si>
    <t>IPEV (Institut Polaire Francais Paul-Emile Victor); CNRS (Centre National de la Recherche Scientifique, Zone Atelier Antarctique)</t>
  </si>
  <si>
    <t>We thank Gael Delpon and Philippe Lambret for information on Pantala flavescens and Philippe Vernon, Sylvain Gutjahr, and Benjamin Ferlay for their records of Vanessa cardui on Possession Island in 1979, 2007, and 2017, respectively. We also thank D. Piepenburg (Editor in Chief, Polar Biology), M. J. Samways, L. Hugo-Coetzee, and one anonymous reviewer for valuable comments on our manuscript. This study was funded by IPEV (Institut Polaire Francais Paul-Emile Victor, Programs 109, 136, and 1167) and the CNRS (Centre National de la Recherche Scientifique, Zone Atelier Antarctique).</t>
  </si>
  <si>
    <t>10.1007/s00300-019-02479-3</t>
  </si>
  <si>
    <t>WOS:000466390100015</t>
  </si>
  <si>
    <t>Enríquez, N; Pertierra, LR; Tejedo, P; Benayas, J; Greenslade, P; Luciáñez, MJ</t>
  </si>
  <si>
    <t>Enriquez, Natalia; Pertierra, Luis R.; Tejedo, Pablo; Benayas, Javier; Greenslade, Penelope; Jose Lucianez, Maria</t>
  </si>
  <si>
    <t>The importance of long-term surveys on species introductions in Maritime Antarctica: first detection of Ceratophysella succinea (Collembola: Hypogastruridae)</t>
  </si>
  <si>
    <t>Non-native species; Human impact; Monitoring; Biosecurity; Biological invasions</t>
  </si>
  <si>
    <t>BIOLOGICAL INVASIONS; EXTENT</t>
  </si>
  <si>
    <t>Biological invasions are one of the major threats to Antarctic native biodiversity and to ecosystems integrity. Regional environmental change and increasing human activity in Maritime Antarctica facilitates the introduction, establishment and colonisation of an increasing number of non-indigenous species. Systematic monitoring is an essential tool for the early detection of the arrival of non-indigenous arthropods. In this study, we compiled the results of a long-term monitoring effort from 2011 to 2017 to survey non-native collembolan species on Deception Island, a highly visited terrestrial site in South Shetland Islands (Maritime Antarctica). Results include the first record of Ceratophysella succinea (Gisin) (Hypogastruridae) in Antarctica. Moreover, the global dataset indicates that the total number and the list of cumulatively occurrence localities for non-native species observed on the island has increased over this monitoring period. This suggests that repeated monitoring is advisable to characterise the full extent of microarthropod introductions into a high biosecurity risk area and improve the effectiveness of surveillance efforts.</t>
  </si>
  <si>
    <t>[Enriquez, Natalia; Jose Lucianez, Maria] Univ Autonoma Madrid, Dept Biol, C Darwin 2, E-28049 Madrid, Spain; [Pertierra, Luis R.] Univ Rey Juan Carlos, Dept Biol Geol Fis &amp; Quim Inorgan, C Tulipan S-N, Madrid 28933, Spain; [Tejedo, Pablo; Benayas, Javier] Univ Autonoma Madrid, Dept Ecol, C Darwin 2, E-28049 Madrid, Spain; [Greenslade, Penelope] Federation Univ, Sch Hlth &amp; Life Sci, Environm Management, Ballarat, Vic 3353, Australia</t>
  </si>
  <si>
    <t>Autonomous University of Madrid; Universidad Rey Juan Carlos; Autonomous University of Madrid; Federation University Australia</t>
  </si>
  <si>
    <t>Enríquez, N (corresponding author), Univ Autonoma Madrid, Dept Biol, C Darwin 2, E-28049 Madrid, Spain.</t>
  </si>
  <si>
    <t>natalia.enriquez.miranda@gmail.com; luis.pertierra@gmail.com; pablo.tejedo@uam.es; javier.benayas@uam.es; p.greenslade@federation.edu.au; mjose.luciannez@uam.es</t>
  </si>
  <si>
    <t>Pertierra, Luis R./K-3727-2017; Benayas Del Alamo, Fco. Javier/E-5663-2017; Tejedo, Pablo/A-7163-2010</t>
  </si>
  <si>
    <t>Pertierra, Luis R./0000-0002-2232-428X; Benayas Del Alamo, Fco. Javier/0000-0002-5906-9569; Lucianez Sanchez, Maria Jose/0000-0001-5679-0951; Tejedo, Pablo/0000-0002-1865-0445</t>
  </si>
  <si>
    <t>Spanish Government [CTM2013-47381-P, CGL2017-89820-P]</t>
  </si>
  <si>
    <t>Spanish Government(Spanish Government)</t>
  </si>
  <si>
    <t>Logistical support for this work was provided by the Spanish National Antarctic Programs and the Spanish Navy. Fieldwork and analysis for this paper were developed under two projects: ALIENANT (CTM2013-47381-P) and ANTECO (CGL2017-89820-P), which were supported by the Spanish Government. The authors would like to thank the Geological Group of the University of Cadiz for facilitating us the ortho-photo of Deception Island.</t>
  </si>
  <si>
    <t>10.1007/s00300-019-02490-8</t>
  </si>
  <si>
    <t>WOS:000466390100016</t>
  </si>
  <si>
    <t>du Toit, KH; Mole, MA; Wege, M; Reisinger, RR; Oosthuizen, CW; Shihlomule, YD; Jordaan, RK; van Tonder, A; de Bruyn, PJN</t>
  </si>
  <si>
    <t>du Toit, Kate H.; Mole, Michael A.; Wege, Mia; Reisinger, Ryan R.; Oosthuizen, Chris W.; Shihlomule, Yinhla D.; Jordaan, Rowan K.; van Tonder, Andre; de Bruyn, P. J. Nico</t>
  </si>
  <si>
    <t>Anomalous lanugo coat colourations in sub-Antarctic fur seal (Arctocephalus tropicalis) pups born on Marion Island</t>
  </si>
  <si>
    <t>Sub-Antarctic fur seal; Arctocephalus tropicalis; Marion Island; Anomalous coat colouration</t>
  </si>
  <si>
    <t>SOUTHERN ELEPHANT SEALS; TAG-LOSS; GAZELLA</t>
  </si>
  <si>
    <t>Anomalous pelage colourations are not uncommon amongst pinnipeds but have not been documented in sub-Antarctic fur seals (Arctocephalus tropicalis). Fur seals (Arctocephalus spp.) have been monitored on Marion Island since 1973, and as part of the long-term monitoring programme, any atypical sightings of fur seals were recorded. Fourteen sub-Antarctic fur seal pups with anomalous lanugo coat colourations were observed on Marion Island between 2008 and 2018. Most of these pups were born to typically coloured sub-Antarctic fur seal mothers. The observed coat colourations are an anomaly of their natal (lanugo) black coats. While all pups had normal colour vibrissae and eyes, they had creamy muzzles and brown-to-blonde ventral and belly colouration. The fur on the flippers was a light tan to cream in colouration, darkening towards the border of the flipper. The dorsal side of the pups all appeared to be light grey in colour. All pups appeared to be healthy. Once moulted, these pups had normal adult pelage colourations. The frequency of occurrence of these anomalous lanugo coat colourations was low, suggesting that this is a particularly rare phenomenon. The causes for these anomalous coat colourations are unknown. These observations are the first records of sub-Antarctic fur seal pups with anomalous lanugo fur colourations from the Prince Edward Islands and represents the first of such observations in sub-Antarctic fur seals worldwide. It also represents the first report on anomalous colourations of pinnipeds that appears to exclusively influence the lanugo fur.</t>
  </si>
  <si>
    <t>[du Toit, Kate H.; Mole, Michael A.; Wege, Mia; Oosthuizen, Chris W.; Shihlomule, Yinhla D.; Jordaan, Rowan K.; van Tonder, Andre; de Bruyn, P. J. Nico] Univ Pretoria, Mammal Res Inst, Dept Zool &amp; Entomol, Private Bag X20, ZA-0028 Pretoria, South Africa; [Mole, Michael A.] MAP Sci Serv, 1177 Pk St, ZA-0002 Pretoria, South Africa; [Reisinger, Ryan R.] Univ La Rochelle, CNRS, UMR 7372, Ctr Etud Biol Chize, F-79360 Villiers En Bois, France</t>
  </si>
  <si>
    <t>University of Pretoria; La Rochelle Universite; Centre National de la Recherche Scientifique (CNRS); CNRS - Institute of Ecology &amp; Environment (INEE)</t>
  </si>
  <si>
    <t>du Toit, KH (corresponding author), Univ Pretoria, Mammal Res Inst, Dept Zool &amp; Entomol, Private Bag X20, ZA-0028 Pretoria, South Africa.</t>
  </si>
  <si>
    <t>khdutoit@zoology.up.ac.za</t>
  </si>
  <si>
    <t>Oosthuizen, W. Chris/I-2947-2016; Wege, Mia/B-1103-2016; de Bruyn, P. J. Nico/E-4176-2010; Reisinger, Ryan R/D-6151-2014</t>
  </si>
  <si>
    <t>Oosthuizen, W. Chris/0000-0003-2905-6297; Wege, Mia/0000-0002-9022-3069; de Bruyn, P. J. Nico/0000-0002-9114-9569; Reisinger, Ryan R/0000-0002-8933-6875; Shihlomule, Yinhla/0000-0003-1775-9438</t>
  </si>
  <si>
    <t>Department of Science and Technology, through the National Research Foundation (South Africa)</t>
  </si>
  <si>
    <t>The Department of Environmental Affairs provided logistic support within the South African National Antarctic Programme. The Department of Science and Technology, through the National Research Foundation (South Africa), provided financial support.</t>
  </si>
  <si>
    <t>10.1007/s00300-019-02487-3</t>
  </si>
  <si>
    <t>WOS:000466390100017</t>
  </si>
  <si>
    <t>Iserson, KV</t>
  </si>
  <si>
    <t>Iserson, Kenneth, V</t>
  </si>
  <si>
    <t>REMOTE HEALTH CARE AT US ANTARCTIC STATIONS: A COMPARISON WITH STANDARD EMERGENCY MEDICAL PRACTICE</t>
  </si>
  <si>
    <t>JOURNAL OF EMERGENCY MEDICINE</t>
  </si>
  <si>
    <t>health resources; extreme environments; emergency medicine; Antarctic regions; transportation of patients; disaster planning; public health; medical ethics</t>
  </si>
  <si>
    <t>Background: The three U.S. Antarctic research stations' medical facilities exist in an isolated, harsh environment, typical of many such facilities throughout the world. Emergency physicians frequently staff these medical facilities; however, most who are considering this have many misconceptions about the stations and about the scope of medical practice that exists there. Objective: This article illuminates how Antarctic medical practice is comparable with and dissimilar to other emergency medicine experiences and highlights information that any emergency physician-applicant to an isolated medical position should learn prior to accepting the position. Discussion: Antarctic medical care both parallels and differs from typical emergency medical practice in many ways, including the patient population, facilities, supplies, equipment, clinical duties (e.g., providing out-and inpatient medical and dental care, performing laboratory tests and imaging), and nonclinical duties (e.g., disaster planning, teaching, food service inspection, and public health officer). Climate-related limitations on medical evacuation epitomize the stations' isolation. Medical practice may be complicated by ethical issues common in other small isolated settings, such as a lack of privacy and confidentiality. Clinicians considering an isolated practice opportunity should ask basic questions to learn as much detailed information as possible prior to taking the positions. Conclusion: Medical practice at U.S. Antarctic stations, as at many remote health care facilities throughout the world, has similarities to standard emergency medical practice. Even so, significant differences result in a steep learning curve. Any clinicians considering practicing in these locations should carefully evaluate the practice and the environment in advance of any deployment. (C) 2019 Elsevier Inc. All rights reserved.</t>
  </si>
  <si>
    <t>[Iserson, Kenneth, V] Int Federat Emergency Med, Tucson, AZ 85724 USA; [Iserson, Kenneth, V] Univ Arizona, Dept Emergency Med, Tucson, AZ 85721 USA</t>
  </si>
  <si>
    <t>University of Arizona</t>
  </si>
  <si>
    <t>Iserson, KV (corresponding author), Int Federat Emergency Med, Tucson, AZ 85724 USA.;Iserson, KV (corresponding author), Univ Arizona, Dept Emergency Med, Tucson, AZ 85721 USA.</t>
  </si>
  <si>
    <t>0736-4679</t>
  </si>
  <si>
    <t>1090-1280</t>
  </si>
  <si>
    <t>J EMERG MED</t>
  </si>
  <si>
    <t>J. Emerg. Med.</t>
  </si>
  <si>
    <t>10.1016/j.jemermed.2019.01.009</t>
  </si>
  <si>
    <t>Emergency Medicine</t>
  </si>
  <si>
    <t>HV5JE</t>
  </si>
  <si>
    <t>WOS:000466019400020</t>
  </si>
  <si>
    <t>Claybourn, TM; Jacquet, SM; Skovsted, CB; Topper, TP; Holmer, LE; Brock, GA</t>
  </si>
  <si>
    <t>Claybourn, Thomas M.; Jacquet, Sarah M.; Skovsted, Christian B.; Topper, Timothy P.; Holmer, Lars E.; Brock, Glenn A.</t>
  </si>
  <si>
    <t>Mollusks from the upper Shackleton Limestone (Cambrian Series 2), Central Transantarctic Mountains, East Antarctica</t>
  </si>
  <si>
    <t>JOURNAL OF PALEONTOLOGY</t>
  </si>
  <si>
    <t>SMALL SHELLY FOSSILS; CHONDROPHORINE MEDUSOID HYDROZOAN; HELCIONELLOID MOLLUSKS; FLINDERS RANGES; SYSTEMATIC POSITION; BIVALVE POJETAIA; SOUTH-AUSTRALIA; STAGE 4; BIOSTRATIGRAPHY; ORDOVICIAN</t>
  </si>
  <si>
    <t>An assemblage of Cambrian Series 2, Stages 3-4, conchiferan mollusks from the Shackleton Limestone, Transantarctic Mountains, East Antarctica, is formally described and illustrated. The fauna includes one bivalve, one macromollusk, and 10 micromollusks, including the first description of the species Xinjispira simplex Zhou and Xiao, 1984 outside North China. The new fauna shows some similarity to previously described micromollusks from lower Cambrian glacial erratics from the Antarctic Peninsula. The fauna, mainly composed of steinkerns, is relatively low diversity, but the presence of diagnostic taxa, including helcionelloid Davidonia rostrata (Zhou and Xiao, 1984), bivalve Pojetaia runnegari Jell, 1980, cambroclavid Cambroclavus absonus Conway Morris in Bengtson et al., 1990, and bradoriid Spinospitella coronata Skovsted et al., 2006, as well as the botsfordiid brachiopod Schizopholis yorkensis (Ushatinskaya and Holmer in Gravestock et al., 2001), in the overlying Holyoake Formation correlates the succession to the Dailyatia odyssei Zone (Cambrian Stages 3-4) in South Australia.</t>
  </si>
  <si>
    <t>[Claybourn, Thomas M.; Holmer, Lars E.] Uppsala Univ, Dept Earth Sci Palaeobiol, Villay 16, SE-75236 Uppsala, Sweden; [Claybourn, Thomas M.; Brock, Glenn A.] Macquarie Univ, Dept Biol Sci, Sydney, NSW 2109, Australia; [Jacquet, Sarah M.] Univ Missouri, Dept Geol Sci, Columbia, MO 65211 USA; [Skovsted, Christian B.; Topper, Timothy P.] Swedish Museum Nat Hist, Dept Palaeobiol, Box 5007, SE-10405 Stockholm, Sweden; [Topper, Timothy P.; Holmer, Lars E.] Northwest Univ, State Key Lab Continental Dynam, Shaanxi Key Lab Early Life &amp; Environm, Xian 710069, Shaanxi, Peoples R China; [Topper, Timothy P.; Holmer, Lars E.] Northwest Univ, Dept Geol, Xian 710069, Shaanxi, Peoples R China</t>
  </si>
  <si>
    <t>Uppsala University; Macquarie University; University of Missouri System; University of Missouri Columbia; Swedish Museum of Natural History; Northwest University Xi'an; Northwest University Xi'an</t>
  </si>
  <si>
    <t>Claybourn, TM (corresponding author), Uppsala Univ, Dept Earth Sci Palaeobiol, Villay 16, SE-75236 Uppsala, Sweden.;Claybourn, TM (corresponding author), Macquarie Univ, Dept Biol Sci, Sydney, NSW 2109, Australia.</t>
  </si>
  <si>
    <t>thomas.claybourn@geo.uu.se; jacquets@missouri.edu; christian.skovsted@nrm.se; timothy.topper@nrm.se; lars.holmer@pal.uu.se; glenn.brock@mq.edu.au</t>
  </si>
  <si>
    <t>Claybourn, Thomas/AAK-5757-2020; Jacquet, Sarah/GYR-2223-2022; Holmer, Lars/N-7736-2019</t>
  </si>
  <si>
    <t>Claybourn, Thomas/0000-0002-1216-1886; Holmer, Lars/0000-0003-3629-0049; Brock, Glenn/0000-0002-2277-7350; Jacquet, Sarah/0000-0001-6673-4929</t>
  </si>
  <si>
    <t>Swedish Research Council (VR) [2009-4395, 2012-1658]; Trans-Antarctic Association Grant</t>
  </si>
  <si>
    <t>Swedish Research Council (VR)(Swedish Research Council); Trans-Antarctic Association Grant</t>
  </si>
  <si>
    <t>The work by LEH was supported by grants from the Swedish Research Council (VR 2009-4395, 2012-1658). The field work in Antarctica was supported by operational support for polar research (RFI Polar VR 2010-6176) and the Swedish Polar Secretariat in collaboration with the United States Antarctic Program and U.S. National Science Foundation (NSF). GAB was supported in Antarctica by a Trans-Antarctic Association Grant. D. Taylor, P. Myrow, and L. Stemmerik were integral parts of the fieldwork team in Antarctica. Processing of rock samples was performed by D. Mathieson (Macquarie University) and T. Hultgren (Uppsala University). TMC would like to thank B. Pan, L. Li, and H. Yun for discussions on North Chinese specimens and stratigraphy. We also thank A.P. Gubanov and E. Landing for their constructive reviews.</t>
  </si>
  <si>
    <t>0022-3360</t>
  </si>
  <si>
    <t>1937-2337</t>
  </si>
  <si>
    <t>J PALEONTOL</t>
  </si>
  <si>
    <t>J. Paleontol.</t>
  </si>
  <si>
    <t>PII S0022336018000847</t>
  </si>
  <si>
    <t>10.1017/jpa.2018.84</t>
  </si>
  <si>
    <t>HU4ZG</t>
  </si>
  <si>
    <t>WOS:000465284500003</t>
  </si>
  <si>
    <t>Herne, MC; Nair, JP; Evans, AR; Tait, AM</t>
  </si>
  <si>
    <t>Herne, Matthew C.; Nair, Jay P.; Evans, Alistair R.; Tait, Alan M.</t>
  </si>
  <si>
    <t>New small-bodied ornithopods (Dinosauria, Neornithischia) from the Early Cretaceous Wonthaggi Formation (Strzelecki Group) of the Australian-Antarctic rift system, with revision of Qantassaurus intrepidus Rich and Vickers-Rich, 1999</t>
  </si>
  <si>
    <t>CHANGCHUNSAURUS-PARVUS; WINTON FORMATION; EARLY EVOLUTION; JILIN PROVINCE; UNSTABLE TAXA; ORNITHISCHIA; VICTORIA; REAPPRAISAL; PHYLOGENY; ANATOMY</t>
  </si>
  <si>
    <t>The Flat Rocks locality in the Wonthaggi Formation (Strzelecki Group) of the Gippsland Basin, southeastern Australia, hosts fossils of a late Barremian vertebrate fauna that inhabited the ancient rift between Australia and Antarctica. Known from its dentary, Qantassaurus intrepidus Rich and Vickers-Rich, 1999 has been the only dinosaur named from this locality. However, the plethora of vertebrate fossils collected from Flat Rocks suggests that further dinosaurs await discovery. From this locality, we name a new small-bodied ornithopod, Galleonosaurus dorisae n. gen. n. sp. from craniodental remains. Five ornithopodan genera are now named from Victoria. Galleonosaurus dorisae n. gen. n. sp. is known from five maxillae, from which the first description of jaw growth in an Australian dinosaur is provided. The holotype of Galleonosaurus dorisae n. gen. n. sp. is the most complete dinosaur maxilla known from Victoria. Micro-CT imagery of the holotype reveals the complex internal anatomy of the neurovascular tract and antorbital fossa. We confirm that Q. intrepidus is uniquely characterized by a deep foreshortened dentary. Two dentaries originally referred to Q. intrepidus are reassigned to Q. ?intrepidus and a further maxilla is referred to cf. Atlascopcosaurus loadsi Rich and Rich, 1989. A further ornithopod dentary morphotype is identified, more elongate than those of Q. intrepidus and Q. ?intrepidus and with three more tooth positions. This dentary might pertain to Galleonosaurus dorisae n. gen. n. sp. Phylogenetic analysis recovered Cretaceous Victorian and Argentinian nonstyracosternan ornithopods within the exclusively Gondwanan clade Elasmaria. However, the large-bodied taxon Muttaburrasaurus langdoni Bartholomai and Molnar, 1981 is hypothesised as a basal iguanodontian with closer affinities to dryomorphans than to rhabdodontids. UUID: http://zoobank.org/4af87bb4-b687-42f3-9622-aa806a6b4116</t>
  </si>
  <si>
    <t>[Herne, Matthew C.] Univ New England, Sch Environm &amp; Rural Sci, Armidale, NSW 2351, Australia; [Herne, Matthew C.; Nair, Jay P.] Univ Queensland, Sch Biol Sci, Brisbane, Qld 4072, Australia; [Evans, Alistair R.] Monash Univ, Sch Biol Sci, Melbourne, Vic 3800, Australia; [Tait, Alan M.] Monash Univ, Sch Earth Atmosphere &amp; Environm, Melbourne, Vic 3800, Australia</t>
  </si>
  <si>
    <t>University of New England; University of Queensland; Monash University; Monash University; Melbourne Genomics Health Alliance</t>
  </si>
  <si>
    <t>Herne, MC (corresponding author), Univ New England, Sch Environm &amp; Rural Sci, Armidale, NSW 2351, Australia.;Herne, MC (corresponding author), Univ Queensland, Sch Biol Sci, Brisbane, Qld 4072, Australia.</t>
  </si>
  <si>
    <t>ornithomatt@gmail.com; jayraptor@gmail.com; alistair.evans@monash.edu; alan.tait@monash.edu</t>
  </si>
  <si>
    <t>Evans, Alistair/D-4239-2011; Herne, Matt/C-5388-2017</t>
  </si>
  <si>
    <t>Evans, Alistair/0000-0002-4078-4693; Herne, Matt/0000-0001-6355-0331</t>
  </si>
  <si>
    <t>UQ Graduate School Research Travel Grant</t>
  </si>
  <si>
    <t>The authors acknowledge the Eastern Maar and Bunurong peoples, the Traditional Owners of the fossil sites, and pay respect to their Elders past and present. For access to specimens in their care we thank P. Barrett, R. Coria, D. Pickering, L. Salgado, K. Seymour, K. Spring, and T. Zeigler. We additionally thank D. Brinkman (YPM), P. Currie, M. Hall, D. Henry, A. Heimer, D. Herne, G. Kool (discoverer of the holotype of Galleonosaurus dorisae n. gen. n. sp.), L. Kool, M. Lamanna, K. Poole, T. Rich, J. Rosine, S. Salisbury, D. Schwarz, D. Seegets-Villiers, P. Vickers-Rich, B. Wagstaff, W. White, and Monash University and Museums Victoria staff and volunteers of the Dinosaur Dreaming Project. We gratefully thank the late D. Pickering for preparation of the holotype of Galleonosaurus dorisae n. gen. n. sp. The authors thank the reviewers P. Galton and P. Godefroit, Academic Editor H.-D. Sues and JPA editors J. Kastigar and P. Mikkelsen for their reviews and comments that greatly improved the quality this paper, and L. Marra for journal production (Cambridge University Press). Travel expenses for MCH were covered in part by a UQ Graduate School Research Travel Grant.</t>
  </si>
  <si>
    <t>e3749</t>
  </si>
  <si>
    <t>10.1017/jpa.2018.95</t>
  </si>
  <si>
    <t>WOS:000465284500009</t>
  </si>
  <si>
    <t>Oughton, EJ; Hapgood, M; Richardson, GS; Beggan, CD; Thomson, AWP; Gibbs, M; Burnett, C; Gaunt, CT; Trichas, M; Dada, R; Horne, RB</t>
  </si>
  <si>
    <t>Oughton, Edward J.; Hapgood, Mike; Richardson, Gemma S.; Beggan, Ciaran D.; Thomson, Alan W. P.; Gibbs, Mark; Burnett, Catherine; Gaunt, C. Trevor; Trichas, Markos; Dada, Rabia; Horne, Richard B.</t>
  </si>
  <si>
    <t>A Risk Assessment Framework for the Socioeconomic Impacts of Electricity Transmission Infrastructure Failure Due to Space Weather: An Application to the United Kingdom</t>
  </si>
  <si>
    <t>Critical infrastructure failure; socioeconomic impact assessment; space weather</t>
  </si>
  <si>
    <t>GEOMAGNETICALLY INDUCED CURRENTS; ECONOMIC-IMPACT; MAGNETIC STORM; SIMULATION; FORECASTS; SYSTEM; QUEBEC; EVENT; TIME</t>
  </si>
  <si>
    <t>Space weather phenomena have been studied in detail in the peer-reviewed scientific literature. However, there has arguably been scant analysis of the potential socioeconomic impacts of space weather, despite a growing gray literature from different national studies, of varying degrees of methodological rigor. In this analysis, we therefore provide a general framework for assessing the potential socioeconomic impacts of critical infrastructure failure resulting from geomagnetic disturbances, applying it to the British high-voltage electricity transmission network. Socioeconomic analysis of this threat has hitherto failed to address the general geophysical risk, asset vulnerability, and the network structure of critical infrastructure systems. We overcome this by using a three-part method that includes (i) estimating the probability of intense magnetospheric substorms, (ii) exploring the vulnerability of electricity transmission assets to geomagnetically induced currents, and (iii) testing the socioeconomic impacts under different levels of space weather forecasting. This has required a multidisciplinary approach, providing a step toward the standardization of space weather risk assessment. We find that for a Carrington-sized 1-in-100-year event with no space weather forecasting capability, the gross domestic product loss to the United Kingdom could be as high as 15.9 pound billion, with this figure dropping to 2.9 pound billion based on current forecasting capability. However, with existing satellites nearing the end of their life, current forecasting capability will decrease in coming years. Therefore, if no further investment takes place, critical infrastructure will become more vulnerable to space weather. Additional investment could provide enhanced forecasting, reducing the economic loss for a Carrington-sized 1-in-100-year event to 0.9 pound billion.</t>
  </si>
  <si>
    <t>[Oughton, Edward J.] Univ Oxford, Environm Change Inst, South Parks Rd, Oxford OX1 3QY, England; [Hapgood, Mike] RAL Space, Sci &amp; Technol Facil Council, Harwell, Berks, England; [Richardson, Gemma S.; Beggan, Ciaran D.; Thomson, Alan W. P.] British Geol Survey, Edinburgh, Midlothian, Scotland; [Gibbs, Mark; Burnett, Catherine] Met Off, Exeter, Devon, England; [Gaunt, C. Trevor] Univ Cape Town, Cape Town, South Africa; [Trichas, Markos] Airbus Def &amp; Space, Stevenage, Herts, England; [Dada, Rabia] Univ Cambridge, Cambridge, England; [Oughton, Edward J.; Horne, Richard B.] British Antarctic Survey, Cambridge, England</t>
  </si>
  <si>
    <t>University of Oxford; UK Research &amp; Innovation (UKRI); Science &amp; Technology Facilities Council (STFC); UK Research &amp; Innovation (UKRI); Natural Environment Research Council (NERC); NERC British Geological Survey; Met Office - UK; University of Cape Town; University of Cambridge; UK Research &amp; Innovation (UKRI); Natural Environment Research Council (NERC); NERC British Antarctic Survey</t>
  </si>
  <si>
    <t>Oughton, EJ (corresponding author), Univ Oxford, Environm Change Inst, South Parks Rd, Oxford OX1 3QY, England.</t>
  </si>
  <si>
    <t>Edward.oughton@ouce.ox.ac.uk</t>
  </si>
  <si>
    <t>Oughton, Edward/C-4376-2018; Horne, Richard B/U-3764-2019; Hapgood, Mike/D-6269-2014</t>
  </si>
  <si>
    <t>Oughton, Edward/0000-0002-2766-008X; Horne, Richard B/0000-0002-0412-6407; Hapgood, Mike/0000-0002-0211-0241; Gibbs, Mark/0000-0001-8055-0915; Gaunt, Charles/0000-0001-7518-0446; Beggan, Ciaran/0000-0002-2298-0578; Richardson, Gemma/0000-0002-9504-4457</t>
  </si>
  <si>
    <t>Engineering and Physical Sciences Research Council via the program grant Multi-scale Infrastructure Systems Analytics (Mistral) [EP/N017064/1]; Science and Technology Facilities Council; Natural Environment Research Council grant Space Weather Impacts on Ground-based Systems (SWIGS) [NE/P017231/1]; Natural Environment Research Council National and Public Good activity grant [NE/R016445/1]; Open Philanthropy Project; EPSRC [EP/N017064/1] Funding Source: UKRI; NERC [NE/P01738X/1, NE/P017231/1, bgs05003, bas0100031, NE/R016445/1] Funding Source: UKRI; STFC [ST/M001083/1] Funding Source: UKRI</t>
  </si>
  <si>
    <t>Engineering and Physical Sciences Research Council via the program grant Multi-scale Infrastructure Systems Analytics (Mistral); Science and Technology Facilities Council(UK Research &amp; Innovation (UKRI)Science &amp; Technology Facilities Council (STFC)); Natural Environment Research Council grant Space Weather Impacts on Ground-based Systems (SWIGS); Natural Environment Research Council National and Public Good activity grant; Open Philanthropy Project; EPSRC(UK Research &amp; Innovation (UKRI)Engineering &amp; Physical Sciences Research Council (EPSRC)); NERC(UK Research &amp; Innovation (UKRI)Natural Environment Research Council (NERC)); STFC(UK Research &amp; Innovation (UKRI)Science &amp; Technology Facilities Council (STFC))</t>
  </si>
  <si>
    <t>EO was supported by the Engineering and Physical Sciences Research Council via the program grant Multi-scale Infrastructure Systems Analytics (Mistral) (EP/N017064/1). MH was supported by the Science and Technology Facilities Council. CB, GR, and AT were supported by Natural Environment Research Council grant Space Weather Impacts on Ground-based Systems (SWIGS) (NE/P017231/1). RH was supported by the Natural Environment Research Council National and Public Good activity grant no. NE/R016445/1. TG and the GIC-effects group at UCT were supported by the Open Philanthropy Project. The authors would like to thank Andrew Richards, David Boteler, and Daniel Ralph for their guidance in the development of the research.</t>
  </si>
  <si>
    <t>10.1111/risa.13229</t>
  </si>
  <si>
    <t>HV8BD</t>
  </si>
  <si>
    <t>Green Accepted, Green Published, Green Submitted, hybrid</t>
  </si>
  <si>
    <t>WOS:000466204800007</t>
  </si>
  <si>
    <t>Nadeau, LP; Ferrari, R; Jansen, MF</t>
  </si>
  <si>
    <t>Nadeau, Louis-Philippe; Ferrari, Raffaele; Jansen, Malte F.</t>
  </si>
  <si>
    <t>Antarctic Sea Ice Control on the Depth of North Atlantic Deep Water</t>
  </si>
  <si>
    <t>Ocean; Sea ice; Abyssal circulation; Meridional overturning circulation; Ice loss; growth; Paleoclimate</t>
  </si>
  <si>
    <t>LAST GLACIAL MAXIMUM; SOUTHERN-OCEAN; OVERTURNING CIRCULATION; ATMOSPHERIC CO2; MODEL; DRIVEN; STRATIFICATION; TEMPERATURE; VENTILATION; DELTA-O-18</t>
  </si>
  <si>
    <t>Changes in deep-ocean circulation and stratification have been argued to contribute to climatic shifts between glacial and interglacial climates by affecting the atmospheric carbon dioxide concentrations. It has been recently proposed that such changes are associated with variations in Antarctic sea ice through two possible mechanisms: an increased latitudinal extent of Antarctic sea ice and an increased rate of Antarctic sea ice formation. Both mechanisms lead to an upward shift of the Atlantic meridional overturning circulation (AMOC) above depths where diapycnal mixing is strong (above 2000 m), thus decoupling the AMOC from the abyssal overturning circulation. Here, these two hypotheses are tested using a series of idealized two-basin ocean simulations. To investigate independently the effect of an increased latitudinal ice extent from the effect of an increased ice formation rate, sea ice is parameterized as a latitude strip over which the buoyancy flux is negative. The results suggest that both mechanisms can effectively decouple the two cells of the meridional overturning circulation (MOC), and that their effects are additive. To illustrate the role of Antarctic sea ice in decoupling the AMOC and the abyssal overturning cell, the age of deep-water masses is estimated. An increase in both the sea ice extent and its formation rate yields a dramatic aging of deep-water masses if the sea ice is thick and acts as a lid, suppressing air-sea fluxes. The key role of vertical mixing is highlighted by comparing results using different profiles of vertical diffusivity. The implications of an increase in water mass ages for storing carbon in the deep ocean are discussed.</t>
  </si>
  <si>
    <t>[Nadeau, Louis-Philippe] Univ Quebec Rimouski, Inst Sci Mer Rimouski, Rimouski, PQ, Canada; [Ferrari, Raffaele] MIT, Dept Earth Atmospher &amp; Planetary Sci, Cambridge, MA USA; [Jansen, Malte F.] Univ Chicago, Dept Geophys Sci, 5734 S Ellis Ave, Chicago, IL 60637 USA</t>
  </si>
  <si>
    <t>University of Quebec; Universite du Quebec a Rimouski; Massachusetts Institute of Technology (MIT); University of Chicago</t>
  </si>
  <si>
    <t>Nadeau, LP (corresponding author), Univ Quebec Rimouski, Inst Sci Mer Rimouski, Rimouski, PQ, Canada.</t>
  </si>
  <si>
    <t>louis-philippe_nadeau@uqar.ca</t>
  </si>
  <si>
    <t>NSERC; FRQNT; NSF [OCE-1536515, OCE-1736109]</t>
  </si>
  <si>
    <t>NSERC(Natural Sciences and Engineering Research Council of Canada (NSERC)); FRQNT(Fonds de recherche du Quebec (FRQ)Fonds de recherche du Quebec - Nature et technologies (FRQNT)); NSF(National Science Foundation (NSF))</t>
  </si>
  <si>
    <t>L.P.N. acknowledges support from NSERC and FRQNT. M.F.J. and RF acknowledge support through NSF awards OCE-1536515 and OCE-1736109. The MITgcm and the configuration files for the reference simulation discussed in this study are available online (https://github.com/MITgcm/MITgcm; https://bitbucket.org/lpnadeau/antarctic-sea-ice-control-onthe-nadw/src/master/).</t>
  </si>
  <si>
    <t>10.1175/JCLI-D-18-0519.1</t>
  </si>
  <si>
    <t>HU2XS</t>
  </si>
  <si>
    <t>WOS:000465136000002</t>
  </si>
  <si>
    <t>Wang, PY; D'Imperio, L; Liu, B; Tian, QJ; Jia, ZJ; Ambus, P; Rasch, M; Elberling, B</t>
  </si>
  <si>
    <t>Wang, Peiyan; D'Imperio, Ludovica; Liu, Bei; Tian, Qingjiu; Jia, Zhongjun; Ambus, Per; Rasch, Morten; Elberling, Bo</t>
  </si>
  <si>
    <t>Sea animal activity controls CO2, CH4 and N2O emission hotspots on South Georgia, sub-Antarctica</t>
  </si>
  <si>
    <t>Methane oxidation; Carbon dioxide; Nitrous oxide; Emission hotspots; Antarctic fur seal (Arctocephalus gazella); King penguin (Aptenodytes patagonicus); Bacterial community; pmoA</t>
  </si>
  <si>
    <t>GREENHOUSE-GAS FLUXES; AEROBIC METHANOTROPHIC BACTERIA; NITROUS-OXIDE; TROPICAL FOREST; METHANE OXIDATION; SPECIES COMPOSITION; MICROBIAL PROCESSES; SOIL RESPIRATION; ARCTIC LANDSCAPE; PENGUIN ACTIVITY</t>
  </si>
  <si>
    <t>Colonies of mammals and sea birds are known hotspots for biogeochemical cycles with potentially large element stocks and fast turnover in the soil. Although penguin and seal colonies are sites with potentially extremely fast biogeochemical turnover, these sites as potential sources of GHG have largely been neglected. This study aims to quantify magnitudes and environmental drivers of GHG fluxes effected by the activity of Antarctic fur seal (Arctocephalus gazelle) and King penguin (Aptenodytes patagonicus) in South Georgia, sub-Antarctica. In-situ CO2 and CH4 gas flux measurements were combined with laboratory incubations of intact soil cores collected from sites along two transects away from a seal and a penguin colony. Variations in laboratory incubations were consistent with the in-situ fluxes measured in February 2017, and showed high ecosystem respiration rates at colonies (mean 44.3 mu g CO2 cm(-3) h(-1) for seal colony, and 52.9-159 mu g CO2 cm(-3) h(-1) for penguin colony) and a marked decrease away from these hotspots. Moderate methane production rates were found within the colonies (mean 0.1 ng CH4 cm(-3) h(-1 )for seal colony, 44-145.5 ng CH4 cm(-3 )h(-1) for penguin colony), while relatively high consumption rates (mean -1.8 ng CH4 cm(-3) h(-1)) occurred outside the colonies. Incubations also included N2O production rates, which were highly variable within the colonies (1.1-293 ng N2O cm(-3) h(-1) for seal colony, 0.8-594.7 ng N2O cm(-3) h(-1) for penguin colony) and decreased markedly to near zero away from the colonies. Bacterial and pmoA communities and drivers of GHG turnover and microbe community along both transects varied according to the sea animal activity intensity gradient. This is the first study at these latitudes to quantify the overall capacity of in-situ soil methane uptake at hot spots linked to sea animal colonies versus ambient conditions. All colony sites in this study were net sources of N2O, while sites beyond colonies, which dominate the ice-free areas in South Georgia, were sinks of methane.</t>
  </si>
  <si>
    <t>[Wang, Peiyan; Tian, Qingjiu] Nanjing Univ, Int Inst Earth Syst Sci, Nanjing 210023, Jiangsu, Peoples R China; [Wang, Peiyan; D'Imperio, Ludovica; Ambus, Per; Rasch, Morten; Elberling, Bo] Univ Copenhagen, Dept Geosci &amp; Nat Resource Management, Ctr Permafrost CENPERM, Oster Voldgade 10, DK-1350 Copenhagen, Denmark; [Liu, Bei] Univ Chinese Acad Sci, Beijing 100049, Peoples R China; [Liu, Bei; Jia, Zhongjun] Chinese Acad Sci, Inst Soil Sci, Nanjing 210008, Jiangsu, Peoples R China</t>
  </si>
  <si>
    <t>Nanjing University; University of Copenhagen; Chinese Academy of Sciences; University of Chinese Academy of Sciences, CAS; Chinese Academy of Sciences; Nanjing Institute of Soil Science, CAS</t>
  </si>
  <si>
    <t>Elberling, B (corresponding author), Univ Copenhagen, Dept Geosci &amp; Nat Resource Management, Ctr Permafrost CENPERM, Oster Voldgade 10, DK-1350 Copenhagen, Denmark.</t>
  </si>
  <si>
    <t>be@ign.ku.dk</t>
  </si>
  <si>
    <t>Jia, Zhongjun/B-9770-2011; Elberling, Bo/M-4000-2014; Ambus, Per/B-2514-2015; D'Imperio, Ludovica/C-9840-2015</t>
  </si>
  <si>
    <t>Jia, Zhongjun/0000-0003-2915-8648; Elberling, Bo/0000-0002-6023-885X; Ambus, Per/0000-0001-7580-524X; Tian, Qingjiu/0000-0003-0986-6479; D'Imperio, Ludovica/0000-0002-6751-145X</t>
  </si>
  <si>
    <t>Danish National Research Foundation [CENPERM DNRF100]; Antarctic Circumnavigation Expedition (ACE); National Natural Science Foundation of China [41771370]; China Scholarship Council [201606190145]</t>
  </si>
  <si>
    <t>Danish National Research Foundation(Danmarks Grundforskningsfond); Antarctic Circumnavigation Expedition (ACE); National Natural Science Foundation of China(National Natural Science Foundation of China (NSFC)); China Scholarship Council(China Scholarship Council)</t>
  </si>
  <si>
    <t>We gratefully acknowledge the financial support from the Danish National Research Foundation (CENPERM DNRF100) and from Antarctic Circumnavigation Expedition (ACE) making the fieldwork at South Georgia Island possible for BE and MR. PW was furthermore supported by the National Natural Science Foundation of China (Grant No.41771370) and China Scholarship Council (NO. 201606190145). Anders Michelsen, Anders Prieme and Thorbjorn Joest Andersen are thanked for suggestions for the laboratory work. Laboratory technician Maja Holm Wahlgren, Pia Jacobsen and Vagn Roland Moser are thanked for assisting in the laboratory and two reviewers for helpful comments. BE conceived the project and did the fieldwork together with MR, PW and BL made the incubation with the help from LD, PA and BE; PW, BL and PA made the solid phase analyses and PW analysed the data and wrote the paper together with BE and LD with significant contributions from all co-authors.</t>
  </si>
  <si>
    <t>10.1016/j.soilbio.2019.02.002</t>
  </si>
  <si>
    <t>HU1UL</t>
  </si>
  <si>
    <t>WOS:000465057200019</t>
  </si>
  <si>
    <t>Dell'Acqua, O; Ferrando, S; Chiantore, M; Asnaghi, V</t>
  </si>
  <si>
    <t>Dell'Acqua, Ombretta; Ferrando, Sara; Chiantore, Mariachiara; Asnaghi, Valentina</t>
  </si>
  <si>
    <t>The impact of ocean acidification on the gonads of three key Antarctic benthic macroinvertebrates</t>
  </si>
  <si>
    <t>AQUATIC TOXICOLOGY</t>
  </si>
  <si>
    <t>Ocean acidification; Histopathology; Gonads; Macrobenthos; Antarctica</t>
  </si>
  <si>
    <t>SCALLOP ADAMUSSIUM-COLBECKI; BAY ROSS SEA; FISH TREMATOMUS-BERNACCHII; STAR ODONTASTER-VALIDUS; LARVAL DEVELOPMENT; MARINE-INVERTEBRATES; RESOURCE-ALLOCATION; URCHIN; TEMPERATURE; PHYSIOLOGY</t>
  </si>
  <si>
    <t>CO2 atmospheric pressure is increasing since industrial revolution, leading to a lowering of the ocean surface water pH, a phenomenon known as ocean acidification, with several reported effects on individual species and cascading effects on marine ecosystems. Despite the great amount of literature on ocean acidification effects on calcifying organisms, the response of their reproductive system still remains poorly known. In the present study, we investigated the histopathological effects of low pH on the gonads of three key macroinvertebrates of the Terra Nova Bay (Ross Sea) littoral area: the sea urchin Sterechinus neumayeri, the sea star Odontaster validus and the scallop Adamussium colbecki. After 1 month of exposure at control (8.12) and reduced (7.8 and 7.6) pH levels, we dissected the gonads and performed histological analyses to detect potential differences among treatments. Results showed significant effects on reproductive conditions of A. colbecki and S. neumayeri, while O. validus did not show any kind of alteration. Present results reinforce the need to focus on ocean acidification effects on soft tissues, particularly the gonads, whose damage may exert large effects on the individual fitness, with cascading effects on the population dynamic of the species.</t>
  </si>
  <si>
    <t>[Dell'Acqua, Ombretta; Ferrando, Sara; Chiantore, Mariachiara; Asnaghi, Valentina] Univ Genoa, Dept Earth Environm &amp; Life Sci DiSTAV, Corso Europa 26, I-16132 Genoa, Italy</t>
  </si>
  <si>
    <t>University of Genoa</t>
  </si>
  <si>
    <t>Ferrando, S; Chiantore, M; Asnaghi, V (corresponding author), Univ Genoa, Dept Earth Environm &amp; Life Sci DiSTAV, Corso Europa 26, I-16132 Genoa, Italy.</t>
  </si>
  <si>
    <t>ombretta.dellacqua@gmail.com; sara.ferrando@unige.it; mariachiara.chiantore@unige.it; valentina.asnaghi@unige.it</t>
  </si>
  <si>
    <t>Asnaghi, Valentina/AFT-8900-2022; Ferrando, Sara/AAC-9934-2022; Chiantore, Mariachiara/C-7070-2017</t>
  </si>
  <si>
    <t>Ferrando, Sara/0000-0002-5781-9709; Chiantore, Mariachiara/0000-0002-5862-1470; Asnaghi, Valentina/0000-0003-1659-2613</t>
  </si>
  <si>
    <t>PNRA (Programma Nazionale delle Ricerche in Antartide) [PNRA 2013/AZ1.03, PNRA16_00105]; Italian national program for antarctic research</t>
  </si>
  <si>
    <t>PNRA (Programma Nazionale delle Ricerche in Antartide); Italian national program for antarctic research</t>
  </si>
  <si>
    <t>This study, including the experiment, the data field collection and the preparation of this manuscript, has been possible thanks to funding sources provided by the project PNRA 2013/AZ1.03: Effetti dell'acidificazione sul benthos Antartico (ACAS), and also thanks to the 2015-16 project PNRA16_00105: ANTA_Biofilm, both supported by the PNRA (Programma Nazionale delle Ricerche in Antartide), the Italian national program for antarctic research. The authors are also thankful for all the logistic support provided, in the field, by the PNRA and, in particular, by the ENEA (Agenzia nazionale per le nuove tecnologie, l'energia e lo sviluppo economico sostenibile).</t>
  </si>
  <si>
    <t>0166-445X</t>
  </si>
  <si>
    <t>1879-1514</t>
  </si>
  <si>
    <t>AQUAT TOXICOL</t>
  </si>
  <si>
    <t>Aquat. Toxicol.</t>
  </si>
  <si>
    <t>10.1016/j.aquatox.2019.02.012</t>
  </si>
  <si>
    <t>Marine &amp; Freshwater Biology; Toxicology</t>
  </si>
  <si>
    <t>HT3RV</t>
  </si>
  <si>
    <t>WOS:000464481800003</t>
  </si>
  <si>
    <t>Gallagher, JB; Chuan, CH; Yap, TK; Dona, WFF</t>
  </si>
  <si>
    <t>Gallagher, John B.; Chuan, Chee Hoe; Yap, Tzuen-Kiat; Dona, Wydia Farhain Fredelina</t>
  </si>
  <si>
    <t>Carbon stocks of coastal seagrass in Southeast Asia may be far lower than anticipated when accounting for black carbon</t>
  </si>
  <si>
    <t>BIOLOGY LETTERS</t>
  </si>
  <si>
    <t>pyrogenic carbon; blue carbon; seagrass; sediments; Southeast Asia</t>
  </si>
  <si>
    <t>BLUE CARBON</t>
  </si>
  <si>
    <t>Valuing sedimentary 'blue carbon' stocks of seagrass meadows requires exclusion of allochthonous recalcitrant forms of carbon, such as black carbon (BC). Regression models constructed across a Southeast Asian tropical estuary predicted that carbon stocks within the sandy meadows of coastal embayments would support a modest but not insignificant amount of BC. We tested the prediction across three coastal meadows of the same region: one patchy meadow located close to a major urban centre and two continuous meadows contained in separate open embayments of a rural marine park; all differed in fetch and species. The BC/total organic carbon (TOC) fractions in the urban and rural meadows with small canopies were more than double the predicted amounts, 28 +/- 1.6% and 36 +/- 1.5% (+/- 95% confidence intervals), respectively. The fraction in the rural large-canopy meadow remained comparable to the other two meadows, 26 +/- 4.9% (+/- 95% confidence intervals) but was half the amount predicted, likely owing to confounding of the model. The relatively high BC/TOC fractions were explained by variability across sites of BC atmospheric supply, an increase in loss of seagrass litter close to the exposed edges of meadows and sediment resuspension across the dispersed patchy meadow.</t>
  </si>
  <si>
    <t>[Gallagher, John B.] Univ Sains Malaysia, Ctr Marine &amp; Coastal Studies, George Town 11800, Malaysia; [Gallagher, John B.] Univ Tasmania, Inst Marine &amp; Antarctic Studies, Hobart, Tas 7000, Australia; [Chuan, Chee Hoe; Dona, Wydia Farhain Fredelina] Univ Malaysia Sabah, Fac Sci &amp; Nat Resources, Sabah 88400, Malaysia; [Yap, Tzuen-Kiat] Univ Malaysia Sabah, Borneo Marine Res Inst, Sabah 88400, Malaysia</t>
  </si>
  <si>
    <t>Universiti Sains Malaysia; University of Tasmania; Universiti Malaysia Sabah; Universiti Malaysia Sabah</t>
  </si>
  <si>
    <t>Gallagher, JB (corresponding author), Univ Sains Malaysia, Ctr Marine &amp; Coastal Studies, George Town 11800, Malaysia.;Gallagher, JB (corresponding author), Univ Tasmania, Inst Marine &amp; Antarctic Studies, Hobart, Tas 7000, Australia.</t>
  </si>
  <si>
    <t>john.barry@usm.my</t>
  </si>
  <si>
    <t>Gallagher, John/JVP-1711-2024; Gallagher, John/R-7947-2018</t>
  </si>
  <si>
    <t>Chuan, Chee Hoe/0000-0003-4715-5387; Gallagher, John/0000-0002-2622-0912</t>
  </si>
  <si>
    <t>Ministry of Science Technology and Innovation [FRGS0424-SG-1/2015]</t>
  </si>
  <si>
    <t>Ministry of Science Technology and Innovation(Ministry of Energy, Science, Technology, Environment and Climate Change (MESTECC), Malaysia)</t>
  </si>
  <si>
    <t>Funding was provided by Sabah Park's Tun Mustapha Park Scientific Expedition (SDK0006-2017) and Ministry of Science Technology and Innovation (FRGS0424-SG-1/2015).</t>
  </si>
  <si>
    <t>1744-9561</t>
  </si>
  <si>
    <t>1744-957X</t>
  </si>
  <si>
    <t>BIOL LETTERS</t>
  </si>
  <si>
    <t>Biol. Lett.</t>
  </si>
  <si>
    <t>10.1098/rsbl.2018.0745</t>
  </si>
  <si>
    <t>IB2RM</t>
  </si>
  <si>
    <t>WOS:000470116400002</t>
  </si>
  <si>
    <t>Oliva, M; Palacios, D; Fernández-Fernández, JM; Rodríguez-Rodríguez, L; García-Ruiz, JM; Andrés, N; Carrasco, RM; Pedraza, J; Perez-Alberti, A; Valcárcel, M; Hughes, PD</t>
  </si>
  <si>
    <t>Oliva, M.; Palacios, D.; Fernandez-Fernandez, J. M.; Rodriguez-Rodriguez, L.; Garcia-Ruiz, J. M.; Andres, N.; Carrasco, R. M.; Pedraza, J.; Perez-Alberti, A.; Valcarcel, M.; Hughes, P. D.</t>
  </si>
  <si>
    <t>Late Quaternary glacial phases in the Iberian Peninsula</t>
  </si>
  <si>
    <t>Iberian Peninsula; Glaciation; Last Glacial Maximum; Termination-1; Holocene; Little Ice Age</t>
  </si>
  <si>
    <t>HIGH-MOUNTAIN ENVIRONMENT; NORTHERN ALPINE FORELAND; EXPOSURE AGE CHRONOLOGY; LAURENTIDE ICE-SHEET; SIERRA-NEVADA; LATE PLEISTOCENE; CANTABRIAN MOUNTAINS; LAST DEGLACIATION; CENTRAL PYRENEES; NW IBERIA</t>
  </si>
  <si>
    <t>The only glaciers existing today in the Iberian Peninsula are small features located in the Pyrenees, though their number and extension has undergone significant changes over the Late Quaternary. The wide range of glacial landforms and deposits distributed across different Iberian ranges suggests the occurrence of several past periods with larger glacial systems. The objective of this research is to summarize the current knowledge on the spatial and temporal patterns of glacial activity in the Iberian mountains during the Late Quaternary. To this purpose, the chronological framework was divided in six periods: glaciations prior to the Last Glacial Cycle (Middle Pleistocene), Last Glacial Cycle (Late Pleistocene), Termination-1, Holocene, Little Ice Age (LIA) and present-day. The data were geographically divided considering the mountain systems where glacial evidence exists: Pyrenees, Cantabrian Range, NW ranges, Central Range, Iberian Range and Sierra Nevada. During Quaternary cold stages, ice accumulated in the head valleys of these mountain ranges and glaciers flowed down-valleys. In all cases, glaciers remained confined within the mountain systems and did not reach the surrounding lowlands. Depending on the combination of temperatures and moisture conditions, more or less ice was stored. In some ranges, there is evidence of Middle Pleistocene glaciations, one potentially correlating with marine isotope stage (MIS) 12 and another correlating with MIS 6 with glaciation dated to ca. 130-170 ka. However, most of the glacial records correspond to the Last Glacial Cycle and subsequent Termination. The maximum glacial expansion of this last Pleistocene glaciation stage occurred well before the global Last Glacial Maximum (LGM) between 30 and 60 ka in the Cantabrian Mountains and Pyrenees, at ca. 30 ka in Sierra Nevada and NW ranges, and (almost) synchronously to the LGM in the Central Range and Iberian Range. A massive glacial retreat occurred in all ranges at 19-20 ka, but the long-term deglaciation process was interrupted by cold intervals, such as the Oldest and Younger Dryas, which favoured glacial expansion in the highest mountains. Temperature increase recorded during the Holocene conditioned the melting of glaciers, which only reappeared in the highest massifs during the coldest periods, such as the LIA. However, post-LIA warming led to glacier disappearance in the Cantabrian Mountains, Sierra Nevada and most massifs of the Pyrenees, together with an accelerated shrinkage of the small glaciers still existing in this range at elevations near 3000 m.</t>
  </si>
  <si>
    <t>[Oliva, M.] Univ Barcelona, Dept Geog, Barcelona, Spain; [Palacios, D.; Fernandez-Fernandez, J. M.; Andres, N.] Univ Complutense Madrid, Dept Geog, Madrid, Spain; [Rodriguez-Rodriguez, L.] CNRS, UMR 8591, Lab Geog Phys, Paris, France; [Garcia-Ruiz, J. M.] CSIC, IPE, Campus Aula Dei, Zaragoza, Spain; [Carrasco, R. M.] Univ Castilla La Mancha, Dept Geol &amp; Min Engn, Ciudad Real, Spain; [Pedraza, J.] Univ Complutense Madrid, Dept Geodynam Stratig &amp; Paleontol, Madrid, Spain; [Perez-Alberti, A.; Valcarcel, M.] Univ Santiago de Compostela, Dept Geog, Santiago De Compostela, Spain; [Hughes, P. D.] Univ Manchester, Sch Environm Educ &amp; Dev, Dept Geog, Manchester, Lancs, England</t>
  </si>
  <si>
    <t>University of Barcelona; Complutense University of Madrid; Universite Paris-Est-Creteil-Val-de-Marne (UPEC); Centre National de la Recherche Scientifique (CNRS); CNRS - Institute of Ecology &amp; Environment (INEE); Consejo Superior de Investigaciones Cientificas (CSIC); CSIC - Instituto Pirenaico de Ecologia (IPE); Universidad de Castilla-La Mancha; Complutense University of Madrid; Universidade de Santiago de Compostela; University of Manchester</t>
  </si>
  <si>
    <t>Oliva, M (corresponding author), Univ Barcelona, Fac Geog &amp; Hist, Dept Geog, C Montalegre 6, Barcelona 08001, Spain.</t>
  </si>
  <si>
    <t>Carrasco González, Rosa María/F-4973-2016; García-Ruiz, José M./D-4535-2012; Fernández-Fernández, Jose M./H-5801-2017; Carrasco, Rosa M./AAF-5771-2019; Rodríguez, Laura Rodríguez/D-1347-2012; ANDRÉS, NURIA/C-7146-2015; de Pedraza Gilsanz, Javier/F-4992-2016; Rodríguez-Rodríguez, Laura/AAS-8144-2021; PALACIOS, DAVID/H-3737-2015; Oliva, Marc/K-5423-2014</t>
  </si>
  <si>
    <t>Carrasco González, Rosa María/0000-0001-8762-6951; García-Ruiz, José M./0000-0002-8535-817X; Carrasco, Rosa M./0000-0001-8762-6951; Rodríguez, Laura Rodríguez/0000-0002-8454-3816; ANDRÉS, NURIA/0000-0002-4362-1195; Rodríguez-Rodríguez, Laura/0000-0002-8454-3816; PALACIOS, DAVID/0000-0002-8289-0398; Oliva, Marc/0000-0001-6521-6388; Hughes, Philip/0000-0002-8284-0219; Perez Alberti, Augusto/0000-0001-7428-4622</t>
  </si>
  <si>
    <t>Government of Catalonia through the AGAUR agency [RYC-2015-17597]; Research Group ANTALP (Antarctic, Arctic, Alpine Environments) - Government of Catalonia through the AGAUR agency [2017-SGR-1102]; Marie Curie-Clarin COFUND program - Gobierno del Principado de Asturias [ACA-17-19]; Marie Curie-Clarin COFUND program - European Union/Marie Curie Actions [ACA-17-19]; Ministry of Economy, Industry and Competitiveness, Spain [CTM2017-87976-P, CGL2015-655698-R, CGL2016-78380-P, CGL2015-65813-R]; Fundacao para a Ciencia e a Tecnologia, Portugal [02/SAICT/2017 - 32002]; National Parks Autonomous Agency (OAPN, MAGRAMA) [1092/2014]</t>
  </si>
  <si>
    <t>Government of Catalonia through the AGAUR agency; Research Group ANTALP (Antarctic, Arctic, Alpine Environments) - Government of Catalonia through the AGAUR agency; Marie Curie-Clarin COFUND program - Gobierno del Principado de Asturias; Marie Curie-Clarin COFUND program - European Union/Marie Curie Actions; Ministry of Economy, Industry and Competitiveness, Spain(Spanish Government); Fundacao para a Ciencia e a Tecnologia, Portugal(Fundacao para a Ciencia e a Tecnologia (FCT)); National Parks Autonomous Agency (OAPN, MAGRAMA)</t>
  </si>
  <si>
    <t>Marc Oliva is supported by the Ramon y Cajal Program (RYC-2015-17597) and the Research Group ANTALP (Antarctic, Arctic, Alpine Environments; 2017-SGR-1102) funded by the Government of Catalonia through the AGAUR agency. Laura Rodriguez is supported by the Marie Curie-Clarin COFUND program financed jointly by Gobierno del Principado de Asturias and the 7th WP of the European Union/Marie Curie Actions (reference ACA-17-19). The work complements the research topics examined in the PALEOGREEN project (CTM2017-87976-P), ESPAS project (CGL2015-655698-R), CGL2016-78380-P and CGL2015-65813-R project of the Ministry of Economy, Industry and Competitiveness, Spain, and the NUNANTAR project (02/SAICT/2017 - 32002) of the Fundacao para a Ciencia e a Tecnologia, Portugal. Research conducted in the Central Range is also supported by the National Parks Autonomous Agency (OAPN, MAGRAMA, project 1092/2014).</t>
  </si>
  <si>
    <t>10.1016/j.earscirev.2019.03.015</t>
  </si>
  <si>
    <t>WOS:000474499500024</t>
  </si>
  <si>
    <t>Herr, H; Kelly, N; Dorschel, B; Huntemann, M; Kock, KH; Lehnert, LS; Siebert, U; Viquerat, S; Williams, R; Scheidat, M</t>
  </si>
  <si>
    <t>Herr, Helena; Kelly, Natalie; Dorschel, Boris; Huntemann, Marcus; Kock, Karl-Hermann; Lehnert, Linn Sophia; Siebert, Ursula; Viquerat, Sacha; Williams, Rob; Scheidat, Meike</t>
  </si>
  <si>
    <t>Aerial surveys for Antarctic minke whales (Balaenoptera bonaerensis) reveal sea ice dependent distribution patterns</t>
  </si>
  <si>
    <t>Antarctic minke whale distribution; density surface models; distance sampling; marginal ice zone; ship-based helicopter surveys; Southern Ocean</t>
  </si>
  <si>
    <t>GLACIAL ISOSTATIC-ADJUSTMENT; SPATIAL MODELS; KRILL; ABUNDANCE; OCEAN; BELLINGSHAUSEN; VARIABILITY; AMUNDSEN; HUMPBACK; DENSITY</t>
  </si>
  <si>
    <t>This study investigates the distribution of Antarctic minke whales (AMW) in relation to sea ice concentration and variations therein. Information on AMW densities in the sea ice-covered parts of the Southern Ocean is required to contextualize abundance estimates obtained from circumpolar shipboard surveys in open waters, suggesting a 30% decline in AMW abundance. Conventional line-transect shipboard surveys for density estimation are impossible in ice-covered regions, therefore we used icebreaker-supported helicopter surveys to obtain information on AMW densities along gradients of 0%-100% of ice concentration. We conducted five helicopter surveys in the Southern Ocean, between 2006 and 2013. Distance sampling data, satellite-derived sea-ice data, and bathymetric parameters were used in generalized additive models (GAMs) to produce predictions on how the density of AMWs varied over space and time, and with environmental covariates. Ice concentration, distance to the ice edge and distance from the shelf break were found to describe the distribution of AMWs. Highest densities were predicted at the ice edge and through to medium ice concentrations. Medium densities were found up to 500 km into the ice edge in all concentrations of ice. Very low numbers of AMWs were found in the ice-free waters of the West Antarctic Peninsula (WAP). A consistent relationship between AMW distribution and sea ice concentration weakens the support for the hypothesis that varying numbers of AMWs in ice-covered waters were responsible for observed changes in estimated abundance. The potential decline in AMW abundance stresses the need for conservation measures and further studies into the AMW population status. Very low numbers of AMWs recorded in the ice-free waters along the WAP support the hypothesis that this species is strongly dependent on sea ice and that forecasted sea ice changes have the potential of heavily impacting AMWs.</t>
  </si>
  <si>
    <t>[Herr, Helena; Lehnert, Linn Sophia; Siebert, Ursula; Viquerat, Sacha] Univ Vet Med Hannover, Inst Terr &amp; Aquat Wildlife Res, Buesum, Germany; [Kelly, Natalie] CSIRO Math &amp; Informat Sci, Hobart, Tas, Australia; [Dorschel, Boris; Huntemann, Marcus] Helmholtz Ctr Polar &amp; Marine Res, Alfred Wegener Inst, Bremerhaven, Germany; [Huntemann, Marcus] Univ Bremen, Inst Environm Phys, Bremen, Germany; [Kock, Karl-Hermann; Lehnert, Linn Sophia] Inst Sea Fisheries, von Thunen Inst, Bremerhaven, Germany; [Williams, Rob] Oceans Initiat, Marine Conservat, Seattle, WA USA; [Scheidat, Meike] Wageningen Univ &amp; Res, Wageningen Marine Res, Ijmuiden, Netherlands; [Herr, Helena; Viquerat, Sacha] Univ Hamburg, Ctr Nat Hist CeNak, Hamburg, Germany; [Kelly, Natalie] Australian Antarctic Div, Kingston, Tas, Australia; [Kock, Karl-Hermann] Kiefernweg 11a, D-22949 Ammersbek, Germany; [Lehnert, Linn Sophia] Leibniz Inst Zoo &amp; Wildlife Res IZW, Berlin, Germany</t>
  </si>
  <si>
    <t>University of Veterinary Medicine Hannover; Commonwealth Scientific &amp; Industrial Research Organisation (CSIRO); Helmholtz Association; Alfred Wegener Institute, Helmholtz Centre for Polar &amp; Marine Research; University of Bremen; Johann Heinrich von Thunen Institute; Wageningen University &amp; Research; University of Hamburg; Australian Antarctic Division; Leibniz Institut fur Zoo und Wildtierforschung</t>
  </si>
  <si>
    <t>Herr, H (corresponding author), Univ Hamburg, Ctr Nat Hist CeNak, Hamburg, Germany.</t>
  </si>
  <si>
    <t>helena.herr@uni-hamburg.de</t>
  </si>
  <si>
    <t>Kelly, Natalie/B-3481-2010; Herr, Helena/JAC-6808-2023; Williams, Rob/C-5882-2011</t>
  </si>
  <si>
    <t>Herr, Helena/0000-0002-5028-2419; Scheidat, Meike/0000-0001-9702-6490; Kelly, Nat/0000-0002-9664-354X; Dorschel, Boris/0000-0002-3495-5927; Viquerat, Sacha/0000-0002-2519-7319; Williams, Rob/0000-0001-7496-453X; Lehnert, Linn Sophia/0000-0003-1282-8334</t>
  </si>
  <si>
    <t>Federal Ministry for the Environment, Nature Conservation and Nuclear Safety (BMU) [370891101-02]; Australian Academy of Science; German Federal Ministry for Education and Research (BMBF) [01DR14026]; German Federal Office for Agriculture and Food (BLE) of the German Federal Ministry of Food and Agriculture (BMEL) [2811HS015]</t>
  </si>
  <si>
    <t>Federal Ministry for the Environment, Nature Conservation and Nuclear Safety (BMU); Australian Academy of Science; German Federal Ministry for Education and Research (BMBF)(Federal Ministry of Education &amp; Research (BMBF)); German Federal Office for Agriculture and Food (BLE) of the German Federal Ministry of Food and Agriculture (BMEL)</t>
  </si>
  <si>
    <t>Federal Ministry for the Environment, Nature Conservation and Nuclear Safety (BMU), Grant/Award Number: 370891101-02; Australian Academy of Science, Grant/Award Number: German-Australian Collaboration (2013-14) grant.; German Federal Ministry for Education and Research (BMBF), Grant/Award Number: 01DR14026; German Federal Office for Agriculture and Food (BLE) of the German Federal Ministry of Food and Agriculture (BMEL), Grant/Award Number: 2811HS015; German-Australian Mobility Call for Collaboration in Science and Technology</t>
  </si>
  <si>
    <t>10.1002/ece3.5149</t>
  </si>
  <si>
    <t>IC4GK</t>
  </si>
  <si>
    <t>WOS:000470923500010</t>
  </si>
  <si>
    <t>Alves, IMS; Gonçalves, VN; Oliveira, FS; Schaefer, CEGR; Rosa, CA; Rosa, LH</t>
  </si>
  <si>
    <t>Alves, Isabel M. S.; Goncalves, Vivian N.; Oliveira, Fabio S.; Schaefer, Carlos E. G. R.; Rosa, Carlos A.; Rosa, Luiz H.</t>
  </si>
  <si>
    <t>The diversity, distribution, and pathogenic potential of cultivable fungi present in rocks from the South Shetlands archipelago, Maritime Antarctica</t>
  </si>
  <si>
    <t>Antarctica; Extremophile; Taxonomy; Rocks</t>
  </si>
  <si>
    <t>CANDIDA-ALBICANS; BLACK FUNGI; PENICILLIUM; COMMUNITIES; TAXONOMY; ECOLOGY; LIFE; BIOPROSPECTION; INFECTION; SOILS</t>
  </si>
  <si>
    <t>We studied the molecular taxonomy and diversity of cultivable rock fungi from Antarctic islands. From 50 rock samples, 386 fungal isolates were obtained and identified as 33 taxa of 20 genera. The genera Cladophialophora, Cladosporium, Cyphellophora, Eichleriella, Paracladophialophora, and Penicillium displayed the highest densities. Ecological diversity indices showed that the fungalassemblages are diverse and rich with low dominance. The genera Cladophialophora, Cladosporium, and Penicillium showed a broad distribution from rocks of the various islands. One hundred and fifty-nine fungi, grown at 37 degrees C, were identified as Penicillium chrysogenum, Fusarium sp., and Rhodotorula mucilaginosa. One hundred and three fungi displayed haemolytic activity, 81 produced proteinase, 9 produced phospholipase, and 25 presented dimorphism and a spore diameter &lt;= 4 mu m. The Antarctic Peninsula region appears to be under the effects of global climate changes, which may expose and accelerate the rock's weathering processes, and expose and release cryptic fungi and other microbes, especially those with innate pathogenic potential, previously arrested in rocks. Consequently, these rocks and their particles may represent a vehicle for the dispersal of microbial propagules, including those able to spread pathogens, along, across, and out of Antarctica.</t>
  </si>
  <si>
    <t>[Alves, Isabel M. S.; Goncalves, Vivian N.; Rosa, Carlos A.; Rosa, Luiz H.] Univ Fed Minas Gerais, Dept Microbiol, Belo Horizonte, MG, Brazil; [Oliveira, Fabio S.] Univ Fed Minas Gerais, Dept Geof, Belo Horizonte, MG, Brazil; [Schaefer, Carlos E. G. R.] Univ Fed Minas Gerais, Dept Solos, Vicosa, MG, Brazil</t>
  </si>
  <si>
    <t>Universidade Federal de Minas Gerais; Universidade Federal de Minas Gerais; Universidade Federal de Minas Gerais</t>
  </si>
  <si>
    <t>Rosa, LH (corresponding author), Univ Fed Minas Gerais, Dept Microbiol, Belo Horizonte, MG, Brazil.</t>
  </si>
  <si>
    <t>Schaefer, Carlos Ernesto/AAY-4977-2020; Oliveira, Fabio/AAJ-7764-2021</t>
  </si>
  <si>
    <t>Oliveira, Fabio/0000-0002-1450-7609</t>
  </si>
  <si>
    <t>CNPq; CNPq/PROANTAR [442258-2018-6]; INCT Criosfera 2; FAPEMIG [0050-13]; CAPES; PRPq-UFMG</t>
  </si>
  <si>
    <t>CNPq(Conselho Nacional de Desenvolvimento Cientifico e Tecnologico (CNPQ)); CNPq/PROANTAR(Conselho Nacional de Desenvolvimento Cientifico e Tecnologico (CNPQ)); INCT Criosfera 2; FAPEMIG(Fundacao de Amparo a Pesquisa do Estado de Minas Gerais (FAPEMIG)); CAPES(Coordenacao de Aperfeicoamento de Pessoal de Nivel Superior (CAPES)); PRPq-UFMG</t>
  </si>
  <si>
    <t>We acknowledge the financial support from CNPq, CNPq/PROANTAR 442258-2018-6, INCT Criosfera 2, FAPEMIG (0050-13), CAPES, and PRPq-UFMG.</t>
  </si>
  <si>
    <t>10.1007/s00792-019-01086-8</t>
  </si>
  <si>
    <t>HT8RL</t>
  </si>
  <si>
    <t>WOS:000464832200007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</si>
</sst>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87</v>
      </c>
      <c r="AB2" t="s">
        <v>88</v>
      </c>
      <c r="AC2" t="s">
        <v>89</v>
      </c>
      <c r="AD2" t="s">
        <v>90</v>
      </c>
      <c r="AE2" t="s">
        <v>91</v>
      </c>
      <c r="AF2" t="s">
        <v>74</v>
      </c>
      <c r="AG2">
        <v>197</v>
      </c>
      <c r="AH2">
        <v>43</v>
      </c>
      <c r="AI2">
        <v>50</v>
      </c>
      <c r="AJ2">
        <v>7</v>
      </c>
      <c r="AK2">
        <v>129</v>
      </c>
      <c r="AL2" t="s">
        <v>92</v>
      </c>
      <c r="AM2" t="s">
        <v>93</v>
      </c>
      <c r="AN2" t="s">
        <v>94</v>
      </c>
      <c r="AO2" t="s">
        <v>95</v>
      </c>
      <c r="AP2" t="s">
        <v>74</v>
      </c>
      <c r="AQ2" t="s">
        <v>74</v>
      </c>
      <c r="AR2" t="s">
        <v>96</v>
      </c>
      <c r="AS2" t="s">
        <v>97</v>
      </c>
      <c r="AT2" t="s">
        <v>98</v>
      </c>
      <c r="AU2">
        <v>2019</v>
      </c>
      <c r="AV2">
        <v>176</v>
      </c>
      <c r="AW2" t="s">
        <v>74</v>
      </c>
      <c r="AX2" t="s">
        <v>74</v>
      </c>
      <c r="AY2" t="s">
        <v>74</v>
      </c>
      <c r="AZ2" t="s">
        <v>74</v>
      </c>
      <c r="BA2" t="s">
        <v>74</v>
      </c>
      <c r="BB2" t="s">
        <v>74</v>
      </c>
      <c r="BC2" t="s">
        <v>74</v>
      </c>
      <c r="BD2">
        <v>102125</v>
      </c>
      <c r="BE2" t="s">
        <v>99</v>
      </c>
      <c r="BF2" t="str">
        <f>HYPERLINK("http://dx.doi.org/10.1016/j.pocean.2019.102125","http://dx.doi.org/10.1016/j.pocean.2019.102125")</f>
        <v>http://dx.doi.org/10.1016/j.pocean.2019.102125</v>
      </c>
      <c r="BG2" t="s">
        <v>74</v>
      </c>
      <c r="BH2" t="s">
        <v>74</v>
      </c>
      <c r="BI2">
        <v>15</v>
      </c>
      <c r="BJ2" t="s">
        <v>100</v>
      </c>
      <c r="BK2" t="s">
        <v>101</v>
      </c>
      <c r="BL2" t="s">
        <v>100</v>
      </c>
      <c r="BM2" t="s">
        <v>102</v>
      </c>
      <c r="BN2" t="s">
        <v>74</v>
      </c>
      <c r="BO2" t="s">
        <v>74</v>
      </c>
      <c r="BP2" t="s">
        <v>74</v>
      </c>
      <c r="BQ2" t="s">
        <v>74</v>
      </c>
      <c r="BR2" t="s">
        <v>103</v>
      </c>
      <c r="BS2" t="s">
        <v>104</v>
      </c>
      <c r="BT2" t="str">
        <f>HYPERLINK("https%3A%2F%2Fwww.webofscience.com%2Fwos%2Fwoscc%2Ffull-record%2FWOS:000483411800017","View Full Record in Web of Science")</f>
        <v>View Full Record in Web of Science</v>
      </c>
    </row>
    <row r="3" spans="1:72" x14ac:dyDescent="0.15">
      <c r="A3" t="s">
        <v>72</v>
      </c>
      <c r="B3" t="s">
        <v>105</v>
      </c>
      <c r="C3" t="s">
        <v>74</v>
      </c>
      <c r="D3" t="s">
        <v>74</v>
      </c>
      <c r="E3" t="s">
        <v>74</v>
      </c>
      <c r="F3" t="s">
        <v>106</v>
      </c>
      <c r="G3" t="s">
        <v>74</v>
      </c>
      <c r="H3" t="s">
        <v>74</v>
      </c>
      <c r="I3" t="s">
        <v>107</v>
      </c>
      <c r="J3" t="s">
        <v>77</v>
      </c>
      <c r="K3" t="s">
        <v>74</v>
      </c>
      <c r="L3" t="s">
        <v>74</v>
      </c>
      <c r="M3" t="s">
        <v>78</v>
      </c>
      <c r="N3" t="s">
        <v>108</v>
      </c>
      <c r="O3" t="s">
        <v>74</v>
      </c>
      <c r="P3" t="s">
        <v>74</v>
      </c>
      <c r="Q3" t="s">
        <v>74</v>
      </c>
      <c r="R3" t="s">
        <v>74</v>
      </c>
      <c r="S3" t="s">
        <v>74</v>
      </c>
      <c r="T3" t="s">
        <v>109</v>
      </c>
      <c r="U3" t="s">
        <v>110</v>
      </c>
      <c r="V3" t="s">
        <v>111</v>
      </c>
      <c r="W3" t="s">
        <v>112</v>
      </c>
      <c r="X3" t="s">
        <v>113</v>
      </c>
      <c r="Y3" t="s">
        <v>114</v>
      </c>
      <c r="Z3" t="s">
        <v>115</v>
      </c>
      <c r="AA3" t="s">
        <v>116</v>
      </c>
      <c r="AB3" t="s">
        <v>117</v>
      </c>
      <c r="AC3" t="s">
        <v>74</v>
      </c>
      <c r="AD3" t="s">
        <v>74</v>
      </c>
      <c r="AE3" t="s">
        <v>74</v>
      </c>
      <c r="AF3" t="s">
        <v>74</v>
      </c>
      <c r="AG3">
        <v>100</v>
      </c>
      <c r="AH3">
        <v>11</v>
      </c>
      <c r="AI3">
        <v>11</v>
      </c>
      <c r="AJ3">
        <v>0</v>
      </c>
      <c r="AK3">
        <v>12</v>
      </c>
      <c r="AL3" t="s">
        <v>92</v>
      </c>
      <c r="AM3" t="s">
        <v>93</v>
      </c>
      <c r="AN3" t="s">
        <v>94</v>
      </c>
      <c r="AO3" t="s">
        <v>95</v>
      </c>
      <c r="AP3" t="s">
        <v>74</v>
      </c>
      <c r="AQ3" t="s">
        <v>74</v>
      </c>
      <c r="AR3" t="s">
        <v>96</v>
      </c>
      <c r="AS3" t="s">
        <v>97</v>
      </c>
      <c r="AT3" t="s">
        <v>98</v>
      </c>
      <c r="AU3">
        <v>2019</v>
      </c>
      <c r="AV3">
        <v>176</v>
      </c>
      <c r="AW3" t="s">
        <v>74</v>
      </c>
      <c r="AX3" t="s">
        <v>74</v>
      </c>
      <c r="AY3" t="s">
        <v>74</v>
      </c>
      <c r="AZ3" t="s">
        <v>74</v>
      </c>
      <c r="BA3" t="s">
        <v>74</v>
      </c>
      <c r="BB3" t="s">
        <v>74</v>
      </c>
      <c r="BC3" t="s">
        <v>74</v>
      </c>
      <c r="BD3">
        <v>102123</v>
      </c>
      <c r="BE3" t="s">
        <v>118</v>
      </c>
      <c r="BF3" t="str">
        <f>HYPERLINK("http://dx.doi.org/10.1016/j.pocean.2019.102123","http://dx.doi.org/10.1016/j.pocean.2019.102123")</f>
        <v>http://dx.doi.org/10.1016/j.pocean.2019.102123</v>
      </c>
      <c r="BG3" t="s">
        <v>74</v>
      </c>
      <c r="BH3" t="s">
        <v>74</v>
      </c>
      <c r="BI3">
        <v>12</v>
      </c>
      <c r="BJ3" t="s">
        <v>100</v>
      </c>
      <c r="BK3" t="s">
        <v>101</v>
      </c>
      <c r="BL3" t="s">
        <v>100</v>
      </c>
      <c r="BM3" t="s">
        <v>102</v>
      </c>
      <c r="BN3" t="s">
        <v>74</v>
      </c>
      <c r="BO3" t="s">
        <v>74</v>
      </c>
      <c r="BP3" t="s">
        <v>74</v>
      </c>
      <c r="BQ3" t="s">
        <v>74</v>
      </c>
      <c r="BR3" t="s">
        <v>103</v>
      </c>
      <c r="BS3" t="s">
        <v>119</v>
      </c>
      <c r="BT3" t="str">
        <f>HYPERLINK("https%3A%2F%2Fwww.webofscience.com%2Fwos%2Fwoscc%2Ffull-record%2FWOS:000483411800011","View Full Record in Web of Science")</f>
        <v>View Full Record in Web of Science</v>
      </c>
    </row>
    <row r="4" spans="1:72" x14ac:dyDescent="0.15">
      <c r="A4" t="s">
        <v>72</v>
      </c>
      <c r="B4" t="s">
        <v>120</v>
      </c>
      <c r="C4" t="s">
        <v>74</v>
      </c>
      <c r="D4" t="s">
        <v>74</v>
      </c>
      <c r="E4" t="s">
        <v>74</v>
      </c>
      <c r="F4" t="s">
        <v>121</v>
      </c>
      <c r="G4" t="s">
        <v>74</v>
      </c>
      <c r="H4" t="s">
        <v>74</v>
      </c>
      <c r="I4" t="s">
        <v>122</v>
      </c>
      <c r="J4" t="s">
        <v>77</v>
      </c>
      <c r="K4" t="s">
        <v>74</v>
      </c>
      <c r="L4" t="s">
        <v>74</v>
      </c>
      <c r="M4" t="s">
        <v>78</v>
      </c>
      <c r="N4" t="s">
        <v>108</v>
      </c>
      <c r="O4" t="s">
        <v>74</v>
      </c>
      <c r="P4" t="s">
        <v>74</v>
      </c>
      <c r="Q4" t="s">
        <v>74</v>
      </c>
      <c r="R4" t="s">
        <v>74</v>
      </c>
      <c r="S4" t="s">
        <v>74</v>
      </c>
      <c r="T4" t="s">
        <v>123</v>
      </c>
      <c r="U4" t="s">
        <v>124</v>
      </c>
      <c r="V4" t="s">
        <v>125</v>
      </c>
      <c r="W4" t="s">
        <v>126</v>
      </c>
      <c r="X4" t="s">
        <v>127</v>
      </c>
      <c r="Y4" t="s">
        <v>128</v>
      </c>
      <c r="Z4" t="s">
        <v>129</v>
      </c>
      <c r="AA4" t="s">
        <v>130</v>
      </c>
      <c r="AB4" t="s">
        <v>131</v>
      </c>
      <c r="AC4" t="s">
        <v>132</v>
      </c>
      <c r="AD4" t="s">
        <v>133</v>
      </c>
      <c r="AE4" t="s">
        <v>134</v>
      </c>
      <c r="AF4" t="s">
        <v>74</v>
      </c>
      <c r="AG4">
        <v>91</v>
      </c>
      <c r="AH4">
        <v>31</v>
      </c>
      <c r="AI4">
        <v>35</v>
      </c>
      <c r="AJ4">
        <v>1</v>
      </c>
      <c r="AK4">
        <v>25</v>
      </c>
      <c r="AL4" t="s">
        <v>92</v>
      </c>
      <c r="AM4" t="s">
        <v>93</v>
      </c>
      <c r="AN4" t="s">
        <v>94</v>
      </c>
      <c r="AO4" t="s">
        <v>95</v>
      </c>
      <c r="AP4" t="s">
        <v>74</v>
      </c>
      <c r="AQ4" t="s">
        <v>74</v>
      </c>
      <c r="AR4" t="s">
        <v>96</v>
      </c>
      <c r="AS4" t="s">
        <v>97</v>
      </c>
      <c r="AT4" t="s">
        <v>98</v>
      </c>
      <c r="AU4">
        <v>2019</v>
      </c>
      <c r="AV4">
        <v>176</v>
      </c>
      <c r="AW4" t="s">
        <v>74</v>
      </c>
      <c r="AX4" t="s">
        <v>74</v>
      </c>
      <c r="AY4" t="s">
        <v>74</v>
      </c>
      <c r="AZ4" t="s">
        <v>74</v>
      </c>
      <c r="BA4" t="s">
        <v>74</v>
      </c>
      <c r="BB4" t="s">
        <v>74</v>
      </c>
      <c r="BC4" t="s">
        <v>74</v>
      </c>
      <c r="BD4">
        <v>102126</v>
      </c>
      <c r="BE4" t="s">
        <v>135</v>
      </c>
      <c r="BF4" t="str">
        <f>HYPERLINK("http://dx.doi.org/10.1016/j.pocean.2019.102126","http://dx.doi.org/10.1016/j.pocean.2019.102126")</f>
        <v>http://dx.doi.org/10.1016/j.pocean.2019.102126</v>
      </c>
      <c r="BG4" t="s">
        <v>74</v>
      </c>
      <c r="BH4" t="s">
        <v>74</v>
      </c>
      <c r="BI4">
        <v>14</v>
      </c>
      <c r="BJ4" t="s">
        <v>100</v>
      </c>
      <c r="BK4" t="s">
        <v>101</v>
      </c>
      <c r="BL4" t="s">
        <v>100</v>
      </c>
      <c r="BM4" t="s">
        <v>102</v>
      </c>
      <c r="BN4" t="s">
        <v>74</v>
      </c>
      <c r="BO4" t="s">
        <v>136</v>
      </c>
      <c r="BP4" t="s">
        <v>74</v>
      </c>
      <c r="BQ4" t="s">
        <v>74</v>
      </c>
      <c r="BR4" t="s">
        <v>103</v>
      </c>
      <c r="BS4" t="s">
        <v>137</v>
      </c>
      <c r="BT4" t="str">
        <f>HYPERLINK("https%3A%2F%2Fwww.webofscience.com%2Fwos%2Fwoscc%2Ffull-record%2FWOS:000483411800009","View Full Record in Web of Science")</f>
        <v>View Full Record in Web of Science</v>
      </c>
    </row>
    <row r="5" spans="1:72" x14ac:dyDescent="0.15">
      <c r="A5" t="s">
        <v>72</v>
      </c>
      <c r="B5" t="s">
        <v>138</v>
      </c>
      <c r="C5" t="s">
        <v>74</v>
      </c>
      <c r="D5" t="s">
        <v>74</v>
      </c>
      <c r="E5" t="s">
        <v>74</v>
      </c>
      <c r="F5" t="s">
        <v>139</v>
      </c>
      <c r="G5" t="s">
        <v>74</v>
      </c>
      <c r="H5" t="s">
        <v>74</v>
      </c>
      <c r="I5" t="s">
        <v>140</v>
      </c>
      <c r="J5" t="s">
        <v>141</v>
      </c>
      <c r="K5" t="s">
        <v>74</v>
      </c>
      <c r="L5" t="s">
        <v>74</v>
      </c>
      <c r="M5" t="s">
        <v>78</v>
      </c>
      <c r="N5" t="s">
        <v>79</v>
      </c>
      <c r="O5" t="s">
        <v>74</v>
      </c>
      <c r="P5" t="s">
        <v>74</v>
      </c>
      <c r="Q5" t="s">
        <v>74</v>
      </c>
      <c r="R5" t="s">
        <v>74</v>
      </c>
      <c r="S5" t="s">
        <v>74</v>
      </c>
      <c r="T5" t="s">
        <v>142</v>
      </c>
      <c r="U5" t="s">
        <v>143</v>
      </c>
      <c r="V5" t="s">
        <v>144</v>
      </c>
      <c r="W5" t="s">
        <v>145</v>
      </c>
      <c r="X5" t="s">
        <v>146</v>
      </c>
      <c r="Y5" t="s">
        <v>147</v>
      </c>
      <c r="Z5" t="s">
        <v>148</v>
      </c>
      <c r="AA5" t="s">
        <v>149</v>
      </c>
      <c r="AB5" t="s">
        <v>150</v>
      </c>
      <c r="AC5" t="s">
        <v>151</v>
      </c>
      <c r="AD5" t="s">
        <v>152</v>
      </c>
      <c r="AE5" t="s">
        <v>153</v>
      </c>
      <c r="AF5" t="s">
        <v>74</v>
      </c>
      <c r="AG5">
        <v>150</v>
      </c>
      <c r="AH5">
        <v>6</v>
      </c>
      <c r="AI5">
        <v>6</v>
      </c>
      <c r="AJ5">
        <v>3</v>
      </c>
      <c r="AK5">
        <v>43</v>
      </c>
      <c r="AL5" t="s">
        <v>154</v>
      </c>
      <c r="AM5" t="s">
        <v>155</v>
      </c>
      <c r="AN5" t="s">
        <v>156</v>
      </c>
      <c r="AO5" t="s">
        <v>157</v>
      </c>
      <c r="AP5" t="s">
        <v>158</v>
      </c>
      <c r="AQ5" t="s">
        <v>74</v>
      </c>
      <c r="AR5" t="s">
        <v>159</v>
      </c>
      <c r="AS5" t="s">
        <v>160</v>
      </c>
      <c r="AT5" t="s">
        <v>98</v>
      </c>
      <c r="AU5">
        <v>2019</v>
      </c>
      <c r="AV5">
        <v>29</v>
      </c>
      <c r="AW5">
        <v>3</v>
      </c>
      <c r="AX5" t="s">
        <v>74</v>
      </c>
      <c r="AY5" t="s">
        <v>74</v>
      </c>
      <c r="AZ5" t="s">
        <v>74</v>
      </c>
      <c r="BA5" t="s">
        <v>74</v>
      </c>
      <c r="BB5">
        <v>669</v>
      </c>
      <c r="BC5">
        <v>687</v>
      </c>
      <c r="BD5" t="s">
        <v>74</v>
      </c>
      <c r="BE5" t="s">
        <v>161</v>
      </c>
      <c r="BF5" t="str">
        <f>HYPERLINK("http://dx.doi.org/10.1007/s11160-019-09573-z","http://dx.doi.org/10.1007/s11160-019-09573-z")</f>
        <v>http://dx.doi.org/10.1007/s11160-019-09573-z</v>
      </c>
      <c r="BG5" t="s">
        <v>74</v>
      </c>
      <c r="BH5" t="s">
        <v>74</v>
      </c>
      <c r="BI5">
        <v>19</v>
      </c>
      <c r="BJ5" t="s">
        <v>162</v>
      </c>
      <c r="BK5" t="s">
        <v>101</v>
      </c>
      <c r="BL5" t="s">
        <v>162</v>
      </c>
      <c r="BM5" t="s">
        <v>163</v>
      </c>
      <c r="BN5" t="s">
        <v>74</v>
      </c>
      <c r="BO5" t="s">
        <v>164</v>
      </c>
      <c r="BP5" t="s">
        <v>74</v>
      </c>
      <c r="BQ5" t="s">
        <v>74</v>
      </c>
      <c r="BR5" t="s">
        <v>103</v>
      </c>
      <c r="BS5" t="s">
        <v>165</v>
      </c>
      <c r="BT5" t="str">
        <f>HYPERLINK("https%3A%2F%2Fwww.webofscience.com%2Fwos%2Fwoscc%2Ffull-record%2FWOS:000479264500009","View Full Record in Web of Science")</f>
        <v>View Full Record in Web of Science</v>
      </c>
    </row>
    <row r="6" spans="1:72" x14ac:dyDescent="0.15">
      <c r="A6" t="s">
        <v>72</v>
      </c>
      <c r="B6" t="s">
        <v>166</v>
      </c>
      <c r="C6" t="s">
        <v>74</v>
      </c>
      <c r="D6" t="s">
        <v>74</v>
      </c>
      <c r="E6" t="s">
        <v>74</v>
      </c>
      <c r="F6" t="s">
        <v>167</v>
      </c>
      <c r="G6" t="s">
        <v>74</v>
      </c>
      <c r="H6" t="s">
        <v>74</v>
      </c>
      <c r="I6" t="s">
        <v>168</v>
      </c>
      <c r="J6" t="s">
        <v>169</v>
      </c>
      <c r="K6" t="s">
        <v>74</v>
      </c>
      <c r="L6" t="s">
        <v>74</v>
      </c>
      <c r="M6" t="s">
        <v>78</v>
      </c>
      <c r="N6" t="s">
        <v>79</v>
      </c>
      <c r="O6" t="s">
        <v>74</v>
      </c>
      <c r="P6" t="s">
        <v>74</v>
      </c>
      <c r="Q6" t="s">
        <v>74</v>
      </c>
      <c r="R6" t="s">
        <v>74</v>
      </c>
      <c r="S6" t="s">
        <v>74</v>
      </c>
      <c r="T6" t="s">
        <v>170</v>
      </c>
      <c r="U6" t="s">
        <v>171</v>
      </c>
      <c r="V6" t="s">
        <v>172</v>
      </c>
      <c r="W6" t="s">
        <v>173</v>
      </c>
      <c r="X6" t="s">
        <v>174</v>
      </c>
      <c r="Y6" t="s">
        <v>175</v>
      </c>
      <c r="Z6" t="s">
        <v>176</v>
      </c>
      <c r="AA6" t="s">
        <v>177</v>
      </c>
      <c r="AB6" t="s">
        <v>178</v>
      </c>
      <c r="AC6" t="s">
        <v>179</v>
      </c>
      <c r="AD6" t="s">
        <v>180</v>
      </c>
      <c r="AE6" t="s">
        <v>181</v>
      </c>
      <c r="AF6" t="s">
        <v>74</v>
      </c>
      <c r="AG6">
        <v>610</v>
      </c>
      <c r="AH6">
        <v>94</v>
      </c>
      <c r="AI6">
        <v>101</v>
      </c>
      <c r="AJ6">
        <v>3</v>
      </c>
      <c r="AK6">
        <v>40</v>
      </c>
      <c r="AL6" t="s">
        <v>182</v>
      </c>
      <c r="AM6" t="s">
        <v>183</v>
      </c>
      <c r="AN6" t="s">
        <v>184</v>
      </c>
      <c r="AO6" t="s">
        <v>185</v>
      </c>
      <c r="AP6" t="s">
        <v>186</v>
      </c>
      <c r="AQ6" t="s">
        <v>74</v>
      </c>
      <c r="AR6" t="s">
        <v>187</v>
      </c>
      <c r="AS6" t="s">
        <v>188</v>
      </c>
      <c r="AT6" t="s">
        <v>98</v>
      </c>
      <c r="AU6">
        <v>2019</v>
      </c>
      <c r="AV6">
        <v>57</v>
      </c>
      <c r="AW6">
        <v>3</v>
      </c>
      <c r="AX6" t="s">
        <v>74</v>
      </c>
      <c r="AY6" t="s">
        <v>74</v>
      </c>
      <c r="AZ6" t="s">
        <v>74</v>
      </c>
      <c r="BA6" t="s">
        <v>74</v>
      </c>
      <c r="BB6">
        <v>623</v>
      </c>
      <c r="BC6">
        <v>708</v>
      </c>
      <c r="BD6" t="s">
        <v>74</v>
      </c>
      <c r="BE6" t="s">
        <v>189</v>
      </c>
      <c r="BF6" t="str">
        <f>HYPERLINK("http://dx.doi.org/10.1029/2018RG000604","http://dx.doi.org/10.1029/2018RG000604")</f>
        <v>http://dx.doi.org/10.1029/2018RG000604</v>
      </c>
      <c r="BG6" t="s">
        <v>74</v>
      </c>
      <c r="BH6" t="s">
        <v>74</v>
      </c>
      <c r="BI6">
        <v>86</v>
      </c>
      <c r="BJ6" t="s">
        <v>190</v>
      </c>
      <c r="BK6" t="s">
        <v>101</v>
      </c>
      <c r="BL6" t="s">
        <v>190</v>
      </c>
      <c r="BM6" t="s">
        <v>191</v>
      </c>
      <c r="BN6" t="s">
        <v>74</v>
      </c>
      <c r="BO6" t="s">
        <v>192</v>
      </c>
      <c r="BP6" t="s">
        <v>74</v>
      </c>
      <c r="BQ6" t="s">
        <v>74</v>
      </c>
      <c r="BR6" t="s">
        <v>103</v>
      </c>
      <c r="BS6" t="s">
        <v>193</v>
      </c>
      <c r="BT6" t="str">
        <f>HYPERLINK("https%3A%2F%2Fwww.webofscience.com%2Fwos%2Fwoscc%2Ffull-record%2FWOS:000492796700001","View Full Record in Web of Science")</f>
        <v>View Full Record in Web of Science</v>
      </c>
    </row>
    <row r="7" spans="1:72" x14ac:dyDescent="0.15">
      <c r="A7" t="s">
        <v>72</v>
      </c>
      <c r="B7" t="s">
        <v>194</v>
      </c>
      <c r="C7" t="s">
        <v>74</v>
      </c>
      <c r="D7" t="s">
        <v>74</v>
      </c>
      <c r="E7" t="s">
        <v>74</v>
      </c>
      <c r="F7" t="s">
        <v>195</v>
      </c>
      <c r="G7" t="s">
        <v>74</v>
      </c>
      <c r="H7" t="s">
        <v>74</v>
      </c>
      <c r="I7" t="s">
        <v>196</v>
      </c>
      <c r="J7" t="s">
        <v>197</v>
      </c>
      <c r="K7" t="s">
        <v>74</v>
      </c>
      <c r="L7" t="s">
        <v>74</v>
      </c>
      <c r="M7" t="s">
        <v>78</v>
      </c>
      <c r="N7" t="s">
        <v>108</v>
      </c>
      <c r="O7" t="s">
        <v>74</v>
      </c>
      <c r="P7" t="s">
        <v>74</v>
      </c>
      <c r="Q7" t="s">
        <v>74</v>
      </c>
      <c r="R7" t="s">
        <v>74</v>
      </c>
      <c r="S7" t="s">
        <v>74</v>
      </c>
      <c r="T7" t="s">
        <v>198</v>
      </c>
      <c r="U7" t="s">
        <v>199</v>
      </c>
      <c r="V7" t="s">
        <v>200</v>
      </c>
      <c r="W7" t="s">
        <v>201</v>
      </c>
      <c r="X7" t="s">
        <v>202</v>
      </c>
      <c r="Y7" t="s">
        <v>203</v>
      </c>
      <c r="Z7" t="s">
        <v>204</v>
      </c>
      <c r="AA7" t="s">
        <v>205</v>
      </c>
      <c r="AB7" t="s">
        <v>206</v>
      </c>
      <c r="AC7" t="s">
        <v>207</v>
      </c>
      <c r="AD7" t="s">
        <v>208</v>
      </c>
      <c r="AE7" t="s">
        <v>209</v>
      </c>
      <c r="AF7" t="s">
        <v>74</v>
      </c>
      <c r="AG7">
        <v>54</v>
      </c>
      <c r="AH7">
        <v>8</v>
      </c>
      <c r="AI7">
        <v>8</v>
      </c>
      <c r="AJ7">
        <v>6</v>
      </c>
      <c r="AK7">
        <v>32</v>
      </c>
      <c r="AL7" t="s">
        <v>210</v>
      </c>
      <c r="AM7" t="s">
        <v>211</v>
      </c>
      <c r="AN7" t="s">
        <v>212</v>
      </c>
      <c r="AO7" t="s">
        <v>213</v>
      </c>
      <c r="AP7" t="s">
        <v>214</v>
      </c>
      <c r="AQ7" t="s">
        <v>74</v>
      </c>
      <c r="AR7" t="s">
        <v>197</v>
      </c>
      <c r="AS7" t="s">
        <v>215</v>
      </c>
      <c r="AT7" t="s">
        <v>98</v>
      </c>
      <c r="AU7">
        <v>2019</v>
      </c>
      <c r="AV7">
        <v>23</v>
      </c>
      <c r="AW7">
        <v>5</v>
      </c>
      <c r="AX7" t="s">
        <v>74</v>
      </c>
      <c r="AY7" t="s">
        <v>74</v>
      </c>
      <c r="AZ7" t="s">
        <v>74</v>
      </c>
      <c r="BA7" t="s">
        <v>74</v>
      </c>
      <c r="BB7">
        <v>587</v>
      </c>
      <c r="BC7">
        <v>597</v>
      </c>
      <c r="BD7" t="s">
        <v>74</v>
      </c>
      <c r="BE7" t="s">
        <v>216</v>
      </c>
      <c r="BF7" t="str">
        <f>HYPERLINK("http://dx.doi.org/10.1007/s00792-019-01110-x","http://dx.doi.org/10.1007/s00792-019-01110-x")</f>
        <v>http://dx.doi.org/10.1007/s00792-019-01110-x</v>
      </c>
      <c r="BG7" t="s">
        <v>74</v>
      </c>
      <c r="BH7" t="s">
        <v>74</v>
      </c>
      <c r="BI7">
        <v>11</v>
      </c>
      <c r="BJ7" t="s">
        <v>217</v>
      </c>
      <c r="BK7" t="s">
        <v>101</v>
      </c>
      <c r="BL7" t="s">
        <v>217</v>
      </c>
      <c r="BM7" t="s">
        <v>218</v>
      </c>
      <c r="BN7">
        <v>31250111</v>
      </c>
      <c r="BO7" t="s">
        <v>74</v>
      </c>
      <c r="BP7" t="s">
        <v>74</v>
      </c>
      <c r="BQ7" t="s">
        <v>74</v>
      </c>
      <c r="BR7" t="s">
        <v>103</v>
      </c>
      <c r="BS7" t="s">
        <v>219</v>
      </c>
      <c r="BT7" t="str">
        <f>HYPERLINK("https%3A%2F%2Fwww.webofscience.com%2Fwos%2Fwoscc%2Ffull-record%2FWOS:000480747900009","View Full Record in Web of Science")</f>
        <v>View Full Record in Web of Science</v>
      </c>
    </row>
    <row r="8" spans="1:72" x14ac:dyDescent="0.15">
      <c r="A8" t="s">
        <v>72</v>
      </c>
      <c r="B8" t="s">
        <v>220</v>
      </c>
      <c r="C8" t="s">
        <v>74</v>
      </c>
      <c r="D8" t="s">
        <v>74</v>
      </c>
      <c r="E8" t="s">
        <v>74</v>
      </c>
      <c r="F8" t="s">
        <v>221</v>
      </c>
      <c r="G8" t="s">
        <v>74</v>
      </c>
      <c r="H8" t="s">
        <v>74</v>
      </c>
      <c r="I8" t="s">
        <v>222</v>
      </c>
      <c r="J8" t="s">
        <v>197</v>
      </c>
      <c r="K8" t="s">
        <v>74</v>
      </c>
      <c r="L8" t="s">
        <v>74</v>
      </c>
      <c r="M8" t="s">
        <v>78</v>
      </c>
      <c r="N8" t="s">
        <v>108</v>
      </c>
      <c r="O8" t="s">
        <v>74</v>
      </c>
      <c r="P8" t="s">
        <v>74</v>
      </c>
      <c r="Q8" t="s">
        <v>74</v>
      </c>
      <c r="R8" t="s">
        <v>74</v>
      </c>
      <c r="S8" t="s">
        <v>74</v>
      </c>
      <c r="T8" t="s">
        <v>223</v>
      </c>
      <c r="U8" t="s">
        <v>224</v>
      </c>
      <c r="V8" t="s">
        <v>225</v>
      </c>
      <c r="W8" t="s">
        <v>226</v>
      </c>
      <c r="X8" t="s">
        <v>227</v>
      </c>
      <c r="Y8" t="s">
        <v>228</v>
      </c>
      <c r="Z8" t="s">
        <v>229</v>
      </c>
      <c r="AA8" t="s">
        <v>74</v>
      </c>
      <c r="AB8" t="s">
        <v>74</v>
      </c>
      <c r="AC8" t="s">
        <v>230</v>
      </c>
      <c r="AD8" t="s">
        <v>231</v>
      </c>
      <c r="AE8" t="s">
        <v>232</v>
      </c>
      <c r="AF8" t="s">
        <v>74</v>
      </c>
      <c r="AG8">
        <v>51</v>
      </c>
      <c r="AH8">
        <v>9</v>
      </c>
      <c r="AI8">
        <v>9</v>
      </c>
      <c r="AJ8">
        <v>4</v>
      </c>
      <c r="AK8">
        <v>21</v>
      </c>
      <c r="AL8" t="s">
        <v>210</v>
      </c>
      <c r="AM8" t="s">
        <v>211</v>
      </c>
      <c r="AN8" t="s">
        <v>212</v>
      </c>
      <c r="AO8" t="s">
        <v>213</v>
      </c>
      <c r="AP8" t="s">
        <v>214</v>
      </c>
      <c r="AQ8" t="s">
        <v>74</v>
      </c>
      <c r="AR8" t="s">
        <v>197</v>
      </c>
      <c r="AS8" t="s">
        <v>215</v>
      </c>
      <c r="AT8" t="s">
        <v>98</v>
      </c>
      <c r="AU8">
        <v>2019</v>
      </c>
      <c r="AV8">
        <v>23</v>
      </c>
      <c r="AW8">
        <v>5</v>
      </c>
      <c r="AX8" t="s">
        <v>74</v>
      </c>
      <c r="AY8" t="s">
        <v>74</v>
      </c>
      <c r="AZ8" t="s">
        <v>74</v>
      </c>
      <c r="BA8" t="s">
        <v>74</v>
      </c>
      <c r="BB8">
        <v>625</v>
      </c>
      <c r="BC8">
        <v>633</v>
      </c>
      <c r="BD8" t="s">
        <v>74</v>
      </c>
      <c r="BE8" t="s">
        <v>233</v>
      </c>
      <c r="BF8" t="str">
        <f>HYPERLINK("http://dx.doi.org/10.1007/s00792-019-01109-4","http://dx.doi.org/10.1007/s00792-019-01109-4")</f>
        <v>http://dx.doi.org/10.1007/s00792-019-01109-4</v>
      </c>
      <c r="BG8" t="s">
        <v>74</v>
      </c>
      <c r="BH8" t="s">
        <v>74</v>
      </c>
      <c r="BI8">
        <v>9</v>
      </c>
      <c r="BJ8" t="s">
        <v>217</v>
      </c>
      <c r="BK8" t="s">
        <v>101</v>
      </c>
      <c r="BL8" t="s">
        <v>217</v>
      </c>
      <c r="BM8" t="s">
        <v>218</v>
      </c>
      <c r="BN8">
        <v>31250110</v>
      </c>
      <c r="BO8" t="s">
        <v>74</v>
      </c>
      <c r="BP8" t="s">
        <v>74</v>
      </c>
      <c r="BQ8" t="s">
        <v>74</v>
      </c>
      <c r="BR8" t="s">
        <v>103</v>
      </c>
      <c r="BS8" t="s">
        <v>234</v>
      </c>
      <c r="BT8" t="str">
        <f>HYPERLINK("https%3A%2F%2Fwww.webofscience.com%2Fwos%2Fwoscc%2Ffull-record%2FWOS:000480747900012","View Full Record in Web of Science")</f>
        <v>View Full Record in Web of Science</v>
      </c>
    </row>
    <row r="9" spans="1:72" x14ac:dyDescent="0.15">
      <c r="A9" t="s">
        <v>72</v>
      </c>
      <c r="B9" t="s">
        <v>235</v>
      </c>
      <c r="C9" t="s">
        <v>74</v>
      </c>
      <c r="D9" t="s">
        <v>74</v>
      </c>
      <c r="E9" t="s">
        <v>74</v>
      </c>
      <c r="F9" t="s">
        <v>236</v>
      </c>
      <c r="G9" t="s">
        <v>74</v>
      </c>
      <c r="H9" t="s">
        <v>74</v>
      </c>
      <c r="I9" t="s">
        <v>237</v>
      </c>
      <c r="J9" t="s">
        <v>238</v>
      </c>
      <c r="K9" t="s">
        <v>74</v>
      </c>
      <c r="L9" t="s">
        <v>74</v>
      </c>
      <c r="M9" t="s">
        <v>78</v>
      </c>
      <c r="N9" t="s">
        <v>108</v>
      </c>
      <c r="O9" t="s">
        <v>74</v>
      </c>
      <c r="P9" t="s">
        <v>74</v>
      </c>
      <c r="Q9" t="s">
        <v>74</v>
      </c>
      <c r="R9" t="s">
        <v>74</v>
      </c>
      <c r="S9" t="s">
        <v>74</v>
      </c>
      <c r="T9" t="s">
        <v>239</v>
      </c>
      <c r="U9" t="s">
        <v>240</v>
      </c>
      <c r="V9" t="s">
        <v>241</v>
      </c>
      <c r="W9" t="s">
        <v>242</v>
      </c>
      <c r="X9" t="s">
        <v>243</v>
      </c>
      <c r="Y9" t="s">
        <v>244</v>
      </c>
      <c r="Z9" t="s">
        <v>245</v>
      </c>
      <c r="AA9" t="s">
        <v>246</v>
      </c>
      <c r="AB9" t="s">
        <v>247</v>
      </c>
      <c r="AC9" t="s">
        <v>248</v>
      </c>
      <c r="AD9" t="s">
        <v>249</v>
      </c>
      <c r="AE9" t="s">
        <v>250</v>
      </c>
      <c r="AF9" t="s">
        <v>74</v>
      </c>
      <c r="AG9">
        <v>57</v>
      </c>
      <c r="AH9">
        <v>16</v>
      </c>
      <c r="AI9">
        <v>19</v>
      </c>
      <c r="AJ9">
        <v>0</v>
      </c>
      <c r="AK9">
        <v>18</v>
      </c>
      <c r="AL9" t="s">
        <v>251</v>
      </c>
      <c r="AM9" t="s">
        <v>252</v>
      </c>
      <c r="AN9" t="s">
        <v>253</v>
      </c>
      <c r="AO9" t="s">
        <v>254</v>
      </c>
      <c r="AP9" t="s">
        <v>255</v>
      </c>
      <c r="AQ9" t="s">
        <v>74</v>
      </c>
      <c r="AR9" t="s">
        <v>256</v>
      </c>
      <c r="AS9" t="s">
        <v>257</v>
      </c>
      <c r="AT9" t="s">
        <v>98</v>
      </c>
      <c r="AU9">
        <v>2019</v>
      </c>
      <c r="AV9">
        <v>32</v>
      </c>
      <c r="AW9">
        <v>18</v>
      </c>
      <c r="AX9" t="s">
        <v>74</v>
      </c>
      <c r="AY9" t="s">
        <v>74</v>
      </c>
      <c r="AZ9" t="s">
        <v>74</v>
      </c>
      <c r="BA9" t="s">
        <v>74</v>
      </c>
      <c r="BB9">
        <v>5915</v>
      </c>
      <c r="BC9">
        <v>5940</v>
      </c>
      <c r="BD9" t="s">
        <v>74</v>
      </c>
      <c r="BE9" t="s">
        <v>258</v>
      </c>
      <c r="BF9" t="str">
        <f>HYPERLINK("http://dx.doi.org/10.1175/JCLI-D-19-0263.1","http://dx.doi.org/10.1175/JCLI-D-19-0263.1")</f>
        <v>http://dx.doi.org/10.1175/JCLI-D-19-0263.1</v>
      </c>
      <c r="BG9" t="s">
        <v>74</v>
      </c>
      <c r="BH9" t="s">
        <v>74</v>
      </c>
      <c r="BI9">
        <v>26</v>
      </c>
      <c r="BJ9" t="s">
        <v>259</v>
      </c>
      <c r="BK9" t="s">
        <v>101</v>
      </c>
      <c r="BL9" t="s">
        <v>259</v>
      </c>
      <c r="BM9" t="s">
        <v>260</v>
      </c>
      <c r="BN9" t="s">
        <v>74</v>
      </c>
      <c r="BO9" t="s">
        <v>261</v>
      </c>
      <c r="BP9" t="s">
        <v>74</v>
      </c>
      <c r="BQ9" t="s">
        <v>74</v>
      </c>
      <c r="BR9" t="s">
        <v>103</v>
      </c>
      <c r="BS9" t="s">
        <v>262</v>
      </c>
      <c r="BT9" t="str">
        <f>HYPERLINK("https%3A%2F%2Fwww.webofscience.com%2Fwos%2Fwoscc%2Ffull-record%2FWOS:000481476900002","View Full Record in Web of Science")</f>
        <v>View Full Record in Web of Science</v>
      </c>
    </row>
    <row r="10" spans="1:72" x14ac:dyDescent="0.15">
      <c r="A10" t="s">
        <v>72</v>
      </c>
      <c r="B10" t="s">
        <v>263</v>
      </c>
      <c r="C10" t="s">
        <v>74</v>
      </c>
      <c r="D10" t="s">
        <v>74</v>
      </c>
      <c r="E10" t="s">
        <v>74</v>
      </c>
      <c r="F10" t="s">
        <v>264</v>
      </c>
      <c r="G10" t="s">
        <v>74</v>
      </c>
      <c r="H10" t="s">
        <v>74</v>
      </c>
      <c r="I10" t="s">
        <v>265</v>
      </c>
      <c r="J10" t="s">
        <v>266</v>
      </c>
      <c r="K10" t="s">
        <v>74</v>
      </c>
      <c r="L10" t="s">
        <v>74</v>
      </c>
      <c r="M10" t="s">
        <v>78</v>
      </c>
      <c r="N10" t="s">
        <v>108</v>
      </c>
      <c r="O10" t="s">
        <v>74</v>
      </c>
      <c r="P10" t="s">
        <v>74</v>
      </c>
      <c r="Q10" t="s">
        <v>74</v>
      </c>
      <c r="R10" t="s">
        <v>74</v>
      </c>
      <c r="S10" t="s">
        <v>74</v>
      </c>
      <c r="T10" t="s">
        <v>267</v>
      </c>
      <c r="U10" t="s">
        <v>268</v>
      </c>
      <c r="V10" t="s">
        <v>269</v>
      </c>
      <c r="W10" t="s">
        <v>270</v>
      </c>
      <c r="X10" t="s">
        <v>271</v>
      </c>
      <c r="Y10" t="s">
        <v>272</v>
      </c>
      <c r="Z10" t="s">
        <v>273</v>
      </c>
      <c r="AA10" t="s">
        <v>74</v>
      </c>
      <c r="AB10" t="s">
        <v>274</v>
      </c>
      <c r="AC10" t="s">
        <v>275</v>
      </c>
      <c r="AD10" t="s">
        <v>276</v>
      </c>
      <c r="AE10" t="s">
        <v>277</v>
      </c>
      <c r="AF10" t="s">
        <v>74</v>
      </c>
      <c r="AG10">
        <v>25</v>
      </c>
      <c r="AH10">
        <v>5</v>
      </c>
      <c r="AI10">
        <v>7</v>
      </c>
      <c r="AJ10">
        <v>3</v>
      </c>
      <c r="AK10">
        <v>34</v>
      </c>
      <c r="AL10" t="s">
        <v>154</v>
      </c>
      <c r="AM10" t="s">
        <v>155</v>
      </c>
      <c r="AN10" t="s">
        <v>156</v>
      </c>
      <c r="AO10" t="s">
        <v>278</v>
      </c>
      <c r="AP10" t="s">
        <v>279</v>
      </c>
      <c r="AQ10" t="s">
        <v>74</v>
      </c>
      <c r="AR10" t="s">
        <v>280</v>
      </c>
      <c r="AS10" t="s">
        <v>281</v>
      </c>
      <c r="AT10" t="s">
        <v>98</v>
      </c>
      <c r="AU10">
        <v>2019</v>
      </c>
      <c r="AV10">
        <v>138</v>
      </c>
      <c r="AW10">
        <v>3</v>
      </c>
      <c r="AX10" t="s">
        <v>74</v>
      </c>
      <c r="AY10" t="s">
        <v>74</v>
      </c>
      <c r="AZ10" t="s">
        <v>74</v>
      </c>
      <c r="BA10" t="s">
        <v>74</v>
      </c>
      <c r="BB10">
        <v>603</v>
      </c>
      <c r="BC10">
        <v>607</v>
      </c>
      <c r="BD10" t="s">
        <v>74</v>
      </c>
      <c r="BE10" t="s">
        <v>282</v>
      </c>
      <c r="BF10" t="str">
        <f>HYPERLINK("http://dx.doi.org/10.1007/s11240-019-01651-1","http://dx.doi.org/10.1007/s11240-019-01651-1")</f>
        <v>http://dx.doi.org/10.1007/s11240-019-01651-1</v>
      </c>
      <c r="BG10" t="s">
        <v>74</v>
      </c>
      <c r="BH10" t="s">
        <v>74</v>
      </c>
      <c r="BI10">
        <v>5</v>
      </c>
      <c r="BJ10" t="s">
        <v>283</v>
      </c>
      <c r="BK10" t="s">
        <v>101</v>
      </c>
      <c r="BL10" t="s">
        <v>283</v>
      </c>
      <c r="BM10" t="s">
        <v>284</v>
      </c>
      <c r="BN10" t="s">
        <v>74</v>
      </c>
      <c r="BO10" t="s">
        <v>74</v>
      </c>
      <c r="BP10" t="s">
        <v>74</v>
      </c>
      <c r="BQ10" t="s">
        <v>74</v>
      </c>
      <c r="BR10" t="s">
        <v>103</v>
      </c>
      <c r="BS10" t="s">
        <v>285</v>
      </c>
      <c r="BT10" t="str">
        <f>HYPERLINK("https%3A%2F%2Fwww.webofscience.com%2Fwos%2Fwoscc%2Ffull-record%2FWOS:000480574700017","View Full Record in Web of Science")</f>
        <v>View Full Record in Web of Science</v>
      </c>
    </row>
    <row r="11" spans="1:72" x14ac:dyDescent="0.15">
      <c r="A11" t="s">
        <v>72</v>
      </c>
      <c r="B11" t="s">
        <v>286</v>
      </c>
      <c r="C11" t="s">
        <v>74</v>
      </c>
      <c r="D11" t="s">
        <v>74</v>
      </c>
      <c r="E11" t="s">
        <v>74</v>
      </c>
      <c r="F11" t="s">
        <v>287</v>
      </c>
      <c r="G11" t="s">
        <v>74</v>
      </c>
      <c r="H11" t="s">
        <v>74</v>
      </c>
      <c r="I11" t="s">
        <v>288</v>
      </c>
      <c r="J11" t="s">
        <v>289</v>
      </c>
      <c r="K11" t="s">
        <v>74</v>
      </c>
      <c r="L11" t="s">
        <v>74</v>
      </c>
      <c r="M11" t="s">
        <v>78</v>
      </c>
      <c r="N11" t="s">
        <v>108</v>
      </c>
      <c r="O11" t="s">
        <v>74</v>
      </c>
      <c r="P11" t="s">
        <v>74</v>
      </c>
      <c r="Q11" t="s">
        <v>74</v>
      </c>
      <c r="R11" t="s">
        <v>74</v>
      </c>
      <c r="S11" t="s">
        <v>74</v>
      </c>
      <c r="T11" t="s">
        <v>290</v>
      </c>
      <c r="U11" t="s">
        <v>291</v>
      </c>
      <c r="V11" t="s">
        <v>292</v>
      </c>
      <c r="W11" t="s">
        <v>293</v>
      </c>
      <c r="X11" t="s">
        <v>294</v>
      </c>
      <c r="Y11" t="s">
        <v>295</v>
      </c>
      <c r="Z11" t="s">
        <v>296</v>
      </c>
      <c r="AA11" t="s">
        <v>297</v>
      </c>
      <c r="AB11" t="s">
        <v>298</v>
      </c>
      <c r="AC11" t="s">
        <v>299</v>
      </c>
      <c r="AD11" t="s">
        <v>300</v>
      </c>
      <c r="AE11" t="s">
        <v>301</v>
      </c>
      <c r="AF11" t="s">
        <v>74</v>
      </c>
      <c r="AG11">
        <v>38</v>
      </c>
      <c r="AH11">
        <v>1</v>
      </c>
      <c r="AI11">
        <v>1</v>
      </c>
      <c r="AJ11">
        <v>1</v>
      </c>
      <c r="AK11">
        <v>6</v>
      </c>
      <c r="AL11" t="s">
        <v>302</v>
      </c>
      <c r="AM11" t="s">
        <v>303</v>
      </c>
      <c r="AN11" t="s">
        <v>304</v>
      </c>
      <c r="AO11" t="s">
        <v>305</v>
      </c>
      <c r="AP11" t="s">
        <v>306</v>
      </c>
      <c r="AQ11" t="s">
        <v>74</v>
      </c>
      <c r="AR11" t="s">
        <v>307</v>
      </c>
      <c r="AS11" t="s">
        <v>308</v>
      </c>
      <c r="AT11" t="s">
        <v>98</v>
      </c>
      <c r="AU11">
        <v>2019</v>
      </c>
      <c r="AV11">
        <v>60</v>
      </c>
      <c r="AW11">
        <v>79</v>
      </c>
      <c r="AX11" t="s">
        <v>74</v>
      </c>
      <c r="AY11" t="s">
        <v>74</v>
      </c>
      <c r="AZ11" t="s">
        <v>74</v>
      </c>
      <c r="BA11" t="s">
        <v>74</v>
      </c>
      <c r="BB11">
        <v>14</v>
      </c>
      <c r="BC11">
        <v>22</v>
      </c>
      <c r="BD11" t="s">
        <v>74</v>
      </c>
      <c r="BE11" t="s">
        <v>309</v>
      </c>
      <c r="BF11" t="str">
        <f>HYPERLINK("http://dx.doi.org/10.1017/aog.2019.20","http://dx.doi.org/10.1017/aog.2019.20")</f>
        <v>http://dx.doi.org/10.1017/aog.2019.20</v>
      </c>
      <c r="BG11" t="s">
        <v>74</v>
      </c>
      <c r="BH11" t="s">
        <v>74</v>
      </c>
      <c r="BI11">
        <v>9</v>
      </c>
      <c r="BJ11" t="s">
        <v>310</v>
      </c>
      <c r="BK11" t="s">
        <v>101</v>
      </c>
      <c r="BL11" t="s">
        <v>311</v>
      </c>
      <c r="BM11" t="s">
        <v>312</v>
      </c>
      <c r="BN11" t="s">
        <v>74</v>
      </c>
      <c r="BO11" t="s">
        <v>313</v>
      </c>
      <c r="BP11" t="s">
        <v>74</v>
      </c>
      <c r="BQ11" t="s">
        <v>74</v>
      </c>
      <c r="BR11" t="s">
        <v>103</v>
      </c>
      <c r="BS11" t="s">
        <v>314</v>
      </c>
      <c r="BT11" t="str">
        <f>HYPERLINK("https%3A%2F%2Fwww.webofscience.com%2Fwos%2Fwoscc%2Ffull-record%2FWOS:000480289300002","View Full Record in Web of Science")</f>
        <v>View Full Record in Web of Science</v>
      </c>
    </row>
    <row r="12" spans="1:72" x14ac:dyDescent="0.15">
      <c r="A12" t="s">
        <v>72</v>
      </c>
      <c r="B12" t="s">
        <v>315</v>
      </c>
      <c r="C12" t="s">
        <v>74</v>
      </c>
      <c r="D12" t="s">
        <v>74</v>
      </c>
      <c r="E12" t="s">
        <v>74</v>
      </c>
      <c r="F12" t="s">
        <v>316</v>
      </c>
      <c r="G12" t="s">
        <v>74</v>
      </c>
      <c r="H12" t="s">
        <v>74</v>
      </c>
      <c r="I12" t="s">
        <v>317</v>
      </c>
      <c r="J12" t="s">
        <v>289</v>
      </c>
      <c r="K12" t="s">
        <v>74</v>
      </c>
      <c r="L12" t="s">
        <v>74</v>
      </c>
      <c r="M12" t="s">
        <v>78</v>
      </c>
      <c r="N12" t="s">
        <v>108</v>
      </c>
      <c r="O12" t="s">
        <v>74</v>
      </c>
      <c r="P12" t="s">
        <v>74</v>
      </c>
      <c r="Q12" t="s">
        <v>74</v>
      </c>
      <c r="R12" t="s">
        <v>74</v>
      </c>
      <c r="S12" t="s">
        <v>74</v>
      </c>
      <c r="T12" t="s">
        <v>318</v>
      </c>
      <c r="U12" t="s">
        <v>319</v>
      </c>
      <c r="V12" t="s">
        <v>320</v>
      </c>
      <c r="W12" t="s">
        <v>321</v>
      </c>
      <c r="X12" t="s">
        <v>322</v>
      </c>
      <c r="Y12" t="s">
        <v>323</v>
      </c>
      <c r="Z12" t="s">
        <v>324</v>
      </c>
      <c r="AA12" t="s">
        <v>325</v>
      </c>
      <c r="AB12" t="s">
        <v>326</v>
      </c>
      <c r="AC12" t="s">
        <v>327</v>
      </c>
      <c r="AD12" t="s">
        <v>328</v>
      </c>
      <c r="AE12" t="s">
        <v>329</v>
      </c>
      <c r="AF12" t="s">
        <v>74</v>
      </c>
      <c r="AG12">
        <v>38</v>
      </c>
      <c r="AH12">
        <v>4</v>
      </c>
      <c r="AI12">
        <v>5</v>
      </c>
      <c r="AJ12">
        <v>0</v>
      </c>
      <c r="AK12">
        <v>4</v>
      </c>
      <c r="AL12" t="s">
        <v>302</v>
      </c>
      <c r="AM12" t="s">
        <v>303</v>
      </c>
      <c r="AN12" t="s">
        <v>304</v>
      </c>
      <c r="AO12" t="s">
        <v>305</v>
      </c>
      <c r="AP12" t="s">
        <v>306</v>
      </c>
      <c r="AQ12" t="s">
        <v>74</v>
      </c>
      <c r="AR12" t="s">
        <v>307</v>
      </c>
      <c r="AS12" t="s">
        <v>308</v>
      </c>
      <c r="AT12" t="s">
        <v>98</v>
      </c>
      <c r="AU12">
        <v>2019</v>
      </c>
      <c r="AV12">
        <v>60</v>
      </c>
      <c r="AW12">
        <v>79</v>
      </c>
      <c r="AX12" t="s">
        <v>74</v>
      </c>
      <c r="AY12" t="s">
        <v>74</v>
      </c>
      <c r="AZ12" t="s">
        <v>74</v>
      </c>
      <c r="BA12" t="s">
        <v>74</v>
      </c>
      <c r="BB12">
        <v>37</v>
      </c>
      <c r="BC12">
        <v>44</v>
      </c>
      <c r="BD12" t="s">
        <v>74</v>
      </c>
      <c r="BE12" t="s">
        <v>330</v>
      </c>
      <c r="BF12" t="str">
        <f>HYPERLINK("http://dx.doi.org/10.1017/aog.2019.14","http://dx.doi.org/10.1017/aog.2019.14")</f>
        <v>http://dx.doi.org/10.1017/aog.2019.14</v>
      </c>
      <c r="BG12" t="s">
        <v>74</v>
      </c>
      <c r="BH12" t="s">
        <v>74</v>
      </c>
      <c r="BI12">
        <v>8</v>
      </c>
      <c r="BJ12" t="s">
        <v>310</v>
      </c>
      <c r="BK12" t="s">
        <v>101</v>
      </c>
      <c r="BL12" t="s">
        <v>311</v>
      </c>
      <c r="BM12" t="s">
        <v>312</v>
      </c>
      <c r="BN12" t="s">
        <v>74</v>
      </c>
      <c r="BO12" t="s">
        <v>331</v>
      </c>
      <c r="BP12" t="s">
        <v>74</v>
      </c>
      <c r="BQ12" t="s">
        <v>74</v>
      </c>
      <c r="BR12" t="s">
        <v>103</v>
      </c>
      <c r="BS12" t="s">
        <v>332</v>
      </c>
      <c r="BT12" t="str">
        <f>HYPERLINK("https%3A%2F%2Fwww.webofscience.com%2Fwos%2Fwoscc%2Ffull-record%2FWOS:000480289300004","View Full Record in Web of Science")</f>
        <v>View Full Record in Web of Science</v>
      </c>
    </row>
    <row r="13" spans="1:72" x14ac:dyDescent="0.15">
      <c r="A13" t="s">
        <v>72</v>
      </c>
      <c r="B13" t="s">
        <v>333</v>
      </c>
      <c r="C13" t="s">
        <v>74</v>
      </c>
      <c r="D13" t="s">
        <v>74</v>
      </c>
      <c r="E13" t="s">
        <v>74</v>
      </c>
      <c r="F13" t="s">
        <v>334</v>
      </c>
      <c r="G13" t="s">
        <v>74</v>
      </c>
      <c r="H13" t="s">
        <v>74</v>
      </c>
      <c r="I13" t="s">
        <v>335</v>
      </c>
      <c r="J13" t="s">
        <v>289</v>
      </c>
      <c r="K13" t="s">
        <v>74</v>
      </c>
      <c r="L13" t="s">
        <v>74</v>
      </c>
      <c r="M13" t="s">
        <v>78</v>
      </c>
      <c r="N13" t="s">
        <v>108</v>
      </c>
      <c r="O13" t="s">
        <v>74</v>
      </c>
      <c r="P13" t="s">
        <v>74</v>
      </c>
      <c r="Q13" t="s">
        <v>74</v>
      </c>
      <c r="R13" t="s">
        <v>74</v>
      </c>
      <c r="S13" t="s">
        <v>74</v>
      </c>
      <c r="T13" t="s">
        <v>336</v>
      </c>
      <c r="U13" t="s">
        <v>337</v>
      </c>
      <c r="V13" t="s">
        <v>338</v>
      </c>
      <c r="W13" t="s">
        <v>339</v>
      </c>
      <c r="X13" t="s">
        <v>340</v>
      </c>
      <c r="Y13" t="s">
        <v>341</v>
      </c>
      <c r="Z13" t="s">
        <v>342</v>
      </c>
      <c r="AA13" t="s">
        <v>343</v>
      </c>
      <c r="AB13" t="s">
        <v>344</v>
      </c>
      <c r="AC13" t="s">
        <v>345</v>
      </c>
      <c r="AD13" t="s">
        <v>346</v>
      </c>
      <c r="AE13" t="s">
        <v>347</v>
      </c>
      <c r="AF13" t="s">
        <v>74</v>
      </c>
      <c r="AG13">
        <v>58</v>
      </c>
      <c r="AH13">
        <v>15</v>
      </c>
      <c r="AI13">
        <v>18</v>
      </c>
      <c r="AJ13">
        <v>3</v>
      </c>
      <c r="AK13">
        <v>12</v>
      </c>
      <c r="AL13" t="s">
        <v>302</v>
      </c>
      <c r="AM13" t="s">
        <v>303</v>
      </c>
      <c r="AN13" t="s">
        <v>304</v>
      </c>
      <c r="AO13" t="s">
        <v>305</v>
      </c>
      <c r="AP13" t="s">
        <v>306</v>
      </c>
      <c r="AQ13" t="s">
        <v>74</v>
      </c>
      <c r="AR13" t="s">
        <v>307</v>
      </c>
      <c r="AS13" t="s">
        <v>308</v>
      </c>
      <c r="AT13" t="s">
        <v>98</v>
      </c>
      <c r="AU13">
        <v>2019</v>
      </c>
      <c r="AV13">
        <v>60</v>
      </c>
      <c r="AW13">
        <v>79</v>
      </c>
      <c r="AX13" t="s">
        <v>74</v>
      </c>
      <c r="AY13" t="s">
        <v>74</v>
      </c>
      <c r="AZ13" t="s">
        <v>74</v>
      </c>
      <c r="BA13" t="s">
        <v>74</v>
      </c>
      <c r="BB13">
        <v>45</v>
      </c>
      <c r="BC13">
        <v>56</v>
      </c>
      <c r="BD13" t="s">
        <v>74</v>
      </c>
      <c r="BE13" t="s">
        <v>348</v>
      </c>
      <c r="BF13" t="str">
        <f>HYPERLINK("http://dx.doi.org/10.1017/aog.2019.26","http://dx.doi.org/10.1017/aog.2019.26")</f>
        <v>http://dx.doi.org/10.1017/aog.2019.26</v>
      </c>
      <c r="BG13" t="s">
        <v>74</v>
      </c>
      <c r="BH13" t="s">
        <v>74</v>
      </c>
      <c r="BI13">
        <v>12</v>
      </c>
      <c r="BJ13" t="s">
        <v>310</v>
      </c>
      <c r="BK13" t="s">
        <v>101</v>
      </c>
      <c r="BL13" t="s">
        <v>311</v>
      </c>
      <c r="BM13" t="s">
        <v>312</v>
      </c>
      <c r="BN13" t="s">
        <v>74</v>
      </c>
      <c r="BO13" t="s">
        <v>313</v>
      </c>
      <c r="BP13" t="s">
        <v>74</v>
      </c>
      <c r="BQ13" t="s">
        <v>74</v>
      </c>
      <c r="BR13" t="s">
        <v>103</v>
      </c>
      <c r="BS13" t="s">
        <v>349</v>
      </c>
      <c r="BT13" t="str">
        <f>HYPERLINK("https%3A%2F%2Fwww.webofscience.com%2Fwos%2Fwoscc%2Ffull-record%2FWOS:000480289300005","View Full Record in Web of Science")</f>
        <v>View Full Record in Web of Science</v>
      </c>
    </row>
    <row r="14" spans="1:72" x14ac:dyDescent="0.15">
      <c r="A14" t="s">
        <v>72</v>
      </c>
      <c r="B14" t="s">
        <v>350</v>
      </c>
      <c r="C14" t="s">
        <v>74</v>
      </c>
      <c r="D14" t="s">
        <v>74</v>
      </c>
      <c r="E14" t="s">
        <v>74</v>
      </c>
      <c r="F14" t="s">
        <v>351</v>
      </c>
      <c r="G14" t="s">
        <v>74</v>
      </c>
      <c r="H14" t="s">
        <v>74</v>
      </c>
      <c r="I14" t="s">
        <v>352</v>
      </c>
      <c r="J14" t="s">
        <v>289</v>
      </c>
      <c r="K14" t="s">
        <v>74</v>
      </c>
      <c r="L14" t="s">
        <v>74</v>
      </c>
      <c r="M14" t="s">
        <v>78</v>
      </c>
      <c r="N14" t="s">
        <v>108</v>
      </c>
      <c r="O14" t="s">
        <v>74</v>
      </c>
      <c r="P14" t="s">
        <v>74</v>
      </c>
      <c r="Q14" t="s">
        <v>74</v>
      </c>
      <c r="R14" t="s">
        <v>74</v>
      </c>
      <c r="S14" t="s">
        <v>74</v>
      </c>
      <c r="T14" t="s">
        <v>353</v>
      </c>
      <c r="U14" t="s">
        <v>354</v>
      </c>
      <c r="V14" t="s">
        <v>355</v>
      </c>
      <c r="W14" t="s">
        <v>356</v>
      </c>
      <c r="X14" t="s">
        <v>357</v>
      </c>
      <c r="Y14" t="s">
        <v>358</v>
      </c>
      <c r="Z14" t="s">
        <v>359</v>
      </c>
      <c r="AA14" t="s">
        <v>360</v>
      </c>
      <c r="AB14" t="s">
        <v>361</v>
      </c>
      <c r="AC14" t="s">
        <v>362</v>
      </c>
      <c r="AD14" t="s">
        <v>363</v>
      </c>
      <c r="AE14" t="s">
        <v>364</v>
      </c>
      <c r="AF14" t="s">
        <v>74</v>
      </c>
      <c r="AG14">
        <v>45</v>
      </c>
      <c r="AH14">
        <v>12</v>
      </c>
      <c r="AI14">
        <v>12</v>
      </c>
      <c r="AJ14">
        <v>0</v>
      </c>
      <c r="AK14">
        <v>8</v>
      </c>
      <c r="AL14" t="s">
        <v>302</v>
      </c>
      <c r="AM14" t="s">
        <v>303</v>
      </c>
      <c r="AN14" t="s">
        <v>304</v>
      </c>
      <c r="AO14" t="s">
        <v>305</v>
      </c>
      <c r="AP14" t="s">
        <v>306</v>
      </c>
      <c r="AQ14" t="s">
        <v>74</v>
      </c>
      <c r="AR14" t="s">
        <v>307</v>
      </c>
      <c r="AS14" t="s">
        <v>308</v>
      </c>
      <c r="AT14" t="s">
        <v>98</v>
      </c>
      <c r="AU14">
        <v>2019</v>
      </c>
      <c r="AV14">
        <v>60</v>
      </c>
      <c r="AW14">
        <v>79</v>
      </c>
      <c r="AX14" t="s">
        <v>74</v>
      </c>
      <c r="AY14" t="s">
        <v>74</v>
      </c>
      <c r="AZ14" t="s">
        <v>74</v>
      </c>
      <c r="BA14" t="s">
        <v>74</v>
      </c>
      <c r="BB14">
        <v>57</v>
      </c>
      <c r="BC14">
        <v>67</v>
      </c>
      <c r="BD14" t="s">
        <v>74</v>
      </c>
      <c r="BE14" t="s">
        <v>365</v>
      </c>
      <c r="BF14" t="str">
        <f>HYPERLINK("http://dx.doi.org/10.1017/aog.2019.25","http://dx.doi.org/10.1017/aog.2019.25")</f>
        <v>http://dx.doi.org/10.1017/aog.2019.25</v>
      </c>
      <c r="BG14" t="s">
        <v>74</v>
      </c>
      <c r="BH14" t="s">
        <v>74</v>
      </c>
      <c r="BI14">
        <v>11</v>
      </c>
      <c r="BJ14" t="s">
        <v>310</v>
      </c>
      <c r="BK14" t="s">
        <v>101</v>
      </c>
      <c r="BL14" t="s">
        <v>311</v>
      </c>
      <c r="BM14" t="s">
        <v>312</v>
      </c>
      <c r="BN14" t="s">
        <v>74</v>
      </c>
      <c r="BO14" t="s">
        <v>366</v>
      </c>
      <c r="BP14" t="s">
        <v>74</v>
      </c>
      <c r="BQ14" t="s">
        <v>74</v>
      </c>
      <c r="BR14" t="s">
        <v>103</v>
      </c>
      <c r="BS14" t="s">
        <v>367</v>
      </c>
      <c r="BT14" t="str">
        <f>HYPERLINK("https%3A%2F%2Fwww.webofscience.com%2Fwos%2Fwoscc%2Ffull-record%2FWOS:000480289300006","View Full Record in Web of Science")</f>
        <v>View Full Record in Web of Science</v>
      </c>
    </row>
    <row r="15" spans="1:72" x14ac:dyDescent="0.15">
      <c r="A15" t="s">
        <v>72</v>
      </c>
      <c r="B15" t="s">
        <v>368</v>
      </c>
      <c r="C15" t="s">
        <v>74</v>
      </c>
      <c r="D15" t="s">
        <v>74</v>
      </c>
      <c r="E15" t="s">
        <v>74</v>
      </c>
      <c r="F15" t="s">
        <v>369</v>
      </c>
      <c r="G15" t="s">
        <v>74</v>
      </c>
      <c r="H15" t="s">
        <v>74</v>
      </c>
      <c r="I15" t="s">
        <v>370</v>
      </c>
      <c r="J15" t="s">
        <v>289</v>
      </c>
      <c r="K15" t="s">
        <v>74</v>
      </c>
      <c r="L15" t="s">
        <v>74</v>
      </c>
      <c r="M15" t="s">
        <v>78</v>
      </c>
      <c r="N15" t="s">
        <v>108</v>
      </c>
      <c r="O15" t="s">
        <v>74</v>
      </c>
      <c r="P15" t="s">
        <v>74</v>
      </c>
      <c r="Q15" t="s">
        <v>74</v>
      </c>
      <c r="R15" t="s">
        <v>74</v>
      </c>
      <c r="S15" t="s">
        <v>74</v>
      </c>
      <c r="T15" t="s">
        <v>371</v>
      </c>
      <c r="U15" t="s">
        <v>372</v>
      </c>
      <c r="V15" t="s">
        <v>373</v>
      </c>
      <c r="W15" t="s">
        <v>374</v>
      </c>
      <c r="X15" t="s">
        <v>375</v>
      </c>
      <c r="Y15" t="s">
        <v>376</v>
      </c>
      <c r="Z15" t="s">
        <v>377</v>
      </c>
      <c r="AA15" t="s">
        <v>378</v>
      </c>
      <c r="AB15" t="s">
        <v>379</v>
      </c>
      <c r="AC15" t="s">
        <v>380</v>
      </c>
      <c r="AD15" t="s">
        <v>381</v>
      </c>
      <c r="AE15" t="s">
        <v>382</v>
      </c>
      <c r="AF15" t="s">
        <v>74</v>
      </c>
      <c r="AG15">
        <v>71</v>
      </c>
      <c r="AH15">
        <v>22</v>
      </c>
      <c r="AI15">
        <v>26</v>
      </c>
      <c r="AJ15">
        <v>1</v>
      </c>
      <c r="AK15">
        <v>6</v>
      </c>
      <c r="AL15" t="s">
        <v>302</v>
      </c>
      <c r="AM15" t="s">
        <v>303</v>
      </c>
      <c r="AN15" t="s">
        <v>304</v>
      </c>
      <c r="AO15" t="s">
        <v>305</v>
      </c>
      <c r="AP15" t="s">
        <v>306</v>
      </c>
      <c r="AQ15" t="s">
        <v>74</v>
      </c>
      <c r="AR15" t="s">
        <v>307</v>
      </c>
      <c r="AS15" t="s">
        <v>308</v>
      </c>
      <c r="AT15" t="s">
        <v>98</v>
      </c>
      <c r="AU15">
        <v>2019</v>
      </c>
      <c r="AV15">
        <v>60</v>
      </c>
      <c r="AW15">
        <v>79</v>
      </c>
      <c r="AX15" t="s">
        <v>74</v>
      </c>
      <c r="AY15" t="s">
        <v>74</v>
      </c>
      <c r="AZ15" t="s">
        <v>74</v>
      </c>
      <c r="BA15" t="s">
        <v>74</v>
      </c>
      <c r="BB15">
        <v>137</v>
      </c>
      <c r="BC15">
        <v>157</v>
      </c>
      <c r="BD15" t="s">
        <v>74</v>
      </c>
      <c r="BE15" t="s">
        <v>383</v>
      </c>
      <c r="BF15" t="str">
        <f>HYPERLINK("http://dx.doi.org/10.1017/aog.2018.29","http://dx.doi.org/10.1017/aog.2018.29")</f>
        <v>http://dx.doi.org/10.1017/aog.2018.29</v>
      </c>
      <c r="BG15" t="s">
        <v>74</v>
      </c>
      <c r="BH15" t="s">
        <v>74</v>
      </c>
      <c r="BI15">
        <v>21</v>
      </c>
      <c r="BJ15" t="s">
        <v>310</v>
      </c>
      <c r="BK15" t="s">
        <v>101</v>
      </c>
      <c r="BL15" t="s">
        <v>311</v>
      </c>
      <c r="BM15" t="s">
        <v>312</v>
      </c>
      <c r="BN15" t="s">
        <v>74</v>
      </c>
      <c r="BO15" t="s">
        <v>384</v>
      </c>
      <c r="BP15" t="s">
        <v>74</v>
      </c>
      <c r="BQ15" t="s">
        <v>74</v>
      </c>
      <c r="BR15" t="s">
        <v>103</v>
      </c>
      <c r="BS15" t="s">
        <v>385</v>
      </c>
      <c r="BT15" t="str">
        <f>HYPERLINK("https%3A%2F%2Fwww.webofscience.com%2Fwos%2Fwoscc%2Ffull-record%2FWOS:000480289300012","View Full Record in Web of Science")</f>
        <v>View Full Record in Web of Science</v>
      </c>
    </row>
    <row r="16" spans="1:72" x14ac:dyDescent="0.15">
      <c r="A16" t="s">
        <v>72</v>
      </c>
      <c r="B16" t="s">
        <v>386</v>
      </c>
      <c r="C16" t="s">
        <v>74</v>
      </c>
      <c r="D16" t="s">
        <v>74</v>
      </c>
      <c r="E16" t="s">
        <v>74</v>
      </c>
      <c r="F16" t="s">
        <v>387</v>
      </c>
      <c r="G16" t="s">
        <v>74</v>
      </c>
      <c r="H16" t="s">
        <v>74</v>
      </c>
      <c r="I16" t="s">
        <v>388</v>
      </c>
      <c r="J16" t="s">
        <v>289</v>
      </c>
      <c r="K16" t="s">
        <v>74</v>
      </c>
      <c r="L16" t="s">
        <v>74</v>
      </c>
      <c r="M16" t="s">
        <v>78</v>
      </c>
      <c r="N16" t="s">
        <v>108</v>
      </c>
      <c r="O16" t="s">
        <v>74</v>
      </c>
      <c r="P16" t="s">
        <v>74</v>
      </c>
      <c r="Q16" t="s">
        <v>74</v>
      </c>
      <c r="R16" t="s">
        <v>74</v>
      </c>
      <c r="S16" t="s">
        <v>74</v>
      </c>
      <c r="T16" t="s">
        <v>389</v>
      </c>
      <c r="U16" t="s">
        <v>390</v>
      </c>
      <c r="V16" t="s">
        <v>391</v>
      </c>
      <c r="W16" t="s">
        <v>392</v>
      </c>
      <c r="X16" t="s">
        <v>393</v>
      </c>
      <c r="Y16" t="s">
        <v>394</v>
      </c>
      <c r="Z16" t="s">
        <v>395</v>
      </c>
      <c r="AA16" t="s">
        <v>396</v>
      </c>
      <c r="AB16" t="s">
        <v>397</v>
      </c>
      <c r="AC16" t="s">
        <v>398</v>
      </c>
      <c r="AD16" t="s">
        <v>399</v>
      </c>
      <c r="AE16" t="s">
        <v>400</v>
      </c>
      <c r="AF16" t="s">
        <v>74</v>
      </c>
      <c r="AG16">
        <v>36</v>
      </c>
      <c r="AH16">
        <v>10</v>
      </c>
      <c r="AI16">
        <v>12</v>
      </c>
      <c r="AJ16">
        <v>1</v>
      </c>
      <c r="AK16">
        <v>11</v>
      </c>
      <c r="AL16" t="s">
        <v>302</v>
      </c>
      <c r="AM16" t="s">
        <v>303</v>
      </c>
      <c r="AN16" t="s">
        <v>304</v>
      </c>
      <c r="AO16" t="s">
        <v>305</v>
      </c>
      <c r="AP16" t="s">
        <v>306</v>
      </c>
      <c r="AQ16" t="s">
        <v>74</v>
      </c>
      <c r="AR16" t="s">
        <v>307</v>
      </c>
      <c r="AS16" t="s">
        <v>308</v>
      </c>
      <c r="AT16" t="s">
        <v>98</v>
      </c>
      <c r="AU16">
        <v>2019</v>
      </c>
      <c r="AV16">
        <v>60</v>
      </c>
      <c r="AW16">
        <v>79</v>
      </c>
      <c r="AX16" t="s">
        <v>74</v>
      </c>
      <c r="AY16" t="s">
        <v>74</v>
      </c>
      <c r="AZ16" t="s">
        <v>74</v>
      </c>
      <c r="BA16" t="s">
        <v>74</v>
      </c>
      <c r="BB16">
        <v>167</v>
      </c>
      <c r="BC16">
        <v>181</v>
      </c>
      <c r="BD16" t="s">
        <v>74</v>
      </c>
      <c r="BE16" t="s">
        <v>401</v>
      </c>
      <c r="BF16" t="str">
        <f>HYPERLINK("http://dx.doi.org/10.1017/aog.2019.18","http://dx.doi.org/10.1017/aog.2019.18")</f>
        <v>http://dx.doi.org/10.1017/aog.2019.18</v>
      </c>
      <c r="BG16" t="s">
        <v>74</v>
      </c>
      <c r="BH16" t="s">
        <v>74</v>
      </c>
      <c r="BI16">
        <v>15</v>
      </c>
      <c r="BJ16" t="s">
        <v>310</v>
      </c>
      <c r="BK16" t="s">
        <v>101</v>
      </c>
      <c r="BL16" t="s">
        <v>311</v>
      </c>
      <c r="BM16" t="s">
        <v>312</v>
      </c>
      <c r="BN16" t="s">
        <v>74</v>
      </c>
      <c r="BO16" t="s">
        <v>402</v>
      </c>
      <c r="BP16" t="s">
        <v>74</v>
      </c>
      <c r="BQ16" t="s">
        <v>74</v>
      </c>
      <c r="BR16" t="s">
        <v>103</v>
      </c>
      <c r="BS16" t="s">
        <v>403</v>
      </c>
      <c r="BT16" t="str">
        <f>HYPERLINK("https%3A%2F%2Fwww.webofscience.com%2Fwos%2Fwoscc%2Ffull-record%2FWOS:000480289300014","View Full Record in Web of Science")</f>
        <v>View Full Record in Web of Science</v>
      </c>
    </row>
    <row r="17" spans="1:72" x14ac:dyDescent="0.15">
      <c r="A17" t="s">
        <v>72</v>
      </c>
      <c r="B17" t="s">
        <v>404</v>
      </c>
      <c r="C17" t="s">
        <v>74</v>
      </c>
      <c r="D17" t="s">
        <v>74</v>
      </c>
      <c r="E17" t="s">
        <v>74</v>
      </c>
      <c r="F17" t="s">
        <v>405</v>
      </c>
      <c r="G17" t="s">
        <v>74</v>
      </c>
      <c r="H17" t="s">
        <v>74</v>
      </c>
      <c r="I17" t="s">
        <v>406</v>
      </c>
      <c r="J17" t="s">
        <v>289</v>
      </c>
      <c r="K17" t="s">
        <v>74</v>
      </c>
      <c r="L17" t="s">
        <v>74</v>
      </c>
      <c r="M17" t="s">
        <v>78</v>
      </c>
      <c r="N17" t="s">
        <v>108</v>
      </c>
      <c r="O17" t="s">
        <v>74</v>
      </c>
      <c r="P17" t="s">
        <v>74</v>
      </c>
      <c r="Q17" t="s">
        <v>74</v>
      </c>
      <c r="R17" t="s">
        <v>74</v>
      </c>
      <c r="S17" t="s">
        <v>74</v>
      </c>
      <c r="T17" t="s">
        <v>407</v>
      </c>
      <c r="U17" t="s">
        <v>408</v>
      </c>
      <c r="V17" t="s">
        <v>409</v>
      </c>
      <c r="W17" t="s">
        <v>410</v>
      </c>
      <c r="X17" t="s">
        <v>411</v>
      </c>
      <c r="Y17" t="s">
        <v>412</v>
      </c>
      <c r="Z17" t="s">
        <v>413</v>
      </c>
      <c r="AA17" t="s">
        <v>414</v>
      </c>
      <c r="AB17" t="s">
        <v>415</v>
      </c>
      <c r="AC17" t="s">
        <v>416</v>
      </c>
      <c r="AD17" t="s">
        <v>417</v>
      </c>
      <c r="AE17" t="s">
        <v>418</v>
      </c>
      <c r="AF17" t="s">
        <v>74</v>
      </c>
      <c r="AG17">
        <v>66</v>
      </c>
      <c r="AH17">
        <v>13</v>
      </c>
      <c r="AI17">
        <v>14</v>
      </c>
      <c r="AJ17">
        <v>0</v>
      </c>
      <c r="AK17">
        <v>6</v>
      </c>
      <c r="AL17" t="s">
        <v>302</v>
      </c>
      <c r="AM17" t="s">
        <v>303</v>
      </c>
      <c r="AN17" t="s">
        <v>304</v>
      </c>
      <c r="AO17" t="s">
        <v>305</v>
      </c>
      <c r="AP17" t="s">
        <v>306</v>
      </c>
      <c r="AQ17" t="s">
        <v>74</v>
      </c>
      <c r="AR17" t="s">
        <v>307</v>
      </c>
      <c r="AS17" t="s">
        <v>308</v>
      </c>
      <c r="AT17" t="s">
        <v>98</v>
      </c>
      <c r="AU17">
        <v>2019</v>
      </c>
      <c r="AV17">
        <v>60</v>
      </c>
      <c r="AW17">
        <v>79</v>
      </c>
      <c r="AX17" t="s">
        <v>74</v>
      </c>
      <c r="AY17" t="s">
        <v>74</v>
      </c>
      <c r="AZ17" t="s">
        <v>74</v>
      </c>
      <c r="BA17" t="s">
        <v>74</v>
      </c>
      <c r="BB17">
        <v>220</v>
      </c>
      <c r="BC17">
        <v>230</v>
      </c>
      <c r="BD17" t="s">
        <v>74</v>
      </c>
      <c r="BE17" t="s">
        <v>419</v>
      </c>
      <c r="BF17" t="str">
        <f>HYPERLINK("http://dx.doi.org/10.1017/aog.2019.10","http://dx.doi.org/10.1017/aog.2019.10")</f>
        <v>http://dx.doi.org/10.1017/aog.2019.10</v>
      </c>
      <c r="BG17" t="s">
        <v>74</v>
      </c>
      <c r="BH17" t="s">
        <v>74</v>
      </c>
      <c r="BI17">
        <v>11</v>
      </c>
      <c r="BJ17" t="s">
        <v>310</v>
      </c>
      <c r="BK17" t="s">
        <v>101</v>
      </c>
      <c r="BL17" t="s">
        <v>311</v>
      </c>
      <c r="BM17" t="s">
        <v>312</v>
      </c>
      <c r="BN17" t="s">
        <v>74</v>
      </c>
      <c r="BO17" t="s">
        <v>420</v>
      </c>
      <c r="BP17" t="s">
        <v>74</v>
      </c>
      <c r="BQ17" t="s">
        <v>74</v>
      </c>
      <c r="BR17" t="s">
        <v>103</v>
      </c>
      <c r="BS17" t="s">
        <v>421</v>
      </c>
      <c r="BT17" t="str">
        <f>HYPERLINK("https%3A%2F%2Fwww.webofscience.com%2Fwos%2Fwoscc%2Ffull-record%2FWOS:000480289300018","View Full Record in Web of Science")</f>
        <v>View Full Record in Web of Science</v>
      </c>
    </row>
    <row r="18" spans="1:72" x14ac:dyDescent="0.15">
      <c r="A18" t="s">
        <v>72</v>
      </c>
      <c r="B18" t="s">
        <v>422</v>
      </c>
      <c r="C18" t="s">
        <v>74</v>
      </c>
      <c r="D18" t="s">
        <v>74</v>
      </c>
      <c r="E18" t="s">
        <v>74</v>
      </c>
      <c r="F18" t="s">
        <v>423</v>
      </c>
      <c r="G18" t="s">
        <v>74</v>
      </c>
      <c r="H18" t="s">
        <v>74</v>
      </c>
      <c r="I18" t="s">
        <v>424</v>
      </c>
      <c r="J18" t="s">
        <v>425</v>
      </c>
      <c r="K18" t="s">
        <v>74</v>
      </c>
      <c r="L18" t="s">
        <v>74</v>
      </c>
      <c r="M18" t="s">
        <v>78</v>
      </c>
      <c r="N18" t="s">
        <v>108</v>
      </c>
      <c r="O18" t="s">
        <v>74</v>
      </c>
      <c r="P18" t="s">
        <v>74</v>
      </c>
      <c r="Q18" t="s">
        <v>74</v>
      </c>
      <c r="R18" t="s">
        <v>74</v>
      </c>
      <c r="S18" t="s">
        <v>74</v>
      </c>
      <c r="T18" t="s">
        <v>426</v>
      </c>
      <c r="U18" t="s">
        <v>427</v>
      </c>
      <c r="V18" t="s">
        <v>428</v>
      </c>
      <c r="W18" t="s">
        <v>429</v>
      </c>
      <c r="X18" t="s">
        <v>430</v>
      </c>
      <c r="Y18" t="s">
        <v>431</v>
      </c>
      <c r="Z18" t="s">
        <v>432</v>
      </c>
      <c r="AA18" t="s">
        <v>433</v>
      </c>
      <c r="AB18" t="s">
        <v>434</v>
      </c>
      <c r="AC18" t="s">
        <v>435</v>
      </c>
      <c r="AD18" t="s">
        <v>436</v>
      </c>
      <c r="AE18" t="s">
        <v>437</v>
      </c>
      <c r="AF18" t="s">
        <v>74</v>
      </c>
      <c r="AG18">
        <v>61</v>
      </c>
      <c r="AH18">
        <v>16</v>
      </c>
      <c r="AI18">
        <v>17</v>
      </c>
      <c r="AJ18">
        <v>1</v>
      </c>
      <c r="AK18">
        <v>18</v>
      </c>
      <c r="AL18" t="s">
        <v>438</v>
      </c>
      <c r="AM18" t="s">
        <v>439</v>
      </c>
      <c r="AN18" t="s">
        <v>440</v>
      </c>
      <c r="AO18" t="s">
        <v>441</v>
      </c>
      <c r="AP18" t="s">
        <v>442</v>
      </c>
      <c r="AQ18" t="s">
        <v>74</v>
      </c>
      <c r="AR18" t="s">
        <v>443</v>
      </c>
      <c r="AS18" t="s">
        <v>444</v>
      </c>
      <c r="AT18" t="s">
        <v>98</v>
      </c>
      <c r="AU18">
        <v>2019</v>
      </c>
      <c r="AV18">
        <v>1867</v>
      </c>
      <c r="AW18">
        <v>9</v>
      </c>
      <c r="AX18" t="s">
        <v>74</v>
      </c>
      <c r="AY18" t="s">
        <v>74</v>
      </c>
      <c r="AZ18" t="s">
        <v>74</v>
      </c>
      <c r="BA18" t="s">
        <v>74</v>
      </c>
      <c r="BB18">
        <v>776</v>
      </c>
      <c r="BC18">
        <v>786</v>
      </c>
      <c r="BD18" t="s">
        <v>74</v>
      </c>
      <c r="BE18" t="s">
        <v>445</v>
      </c>
      <c r="BF18" t="str">
        <f>HYPERLINK("http://dx.doi.org/10.1016/j.bbapap.2019.06.001","http://dx.doi.org/10.1016/j.bbapap.2019.06.001")</f>
        <v>http://dx.doi.org/10.1016/j.bbapap.2019.06.001</v>
      </c>
      <c r="BG18" t="s">
        <v>74</v>
      </c>
      <c r="BH18" t="s">
        <v>74</v>
      </c>
      <c r="BI18">
        <v>11</v>
      </c>
      <c r="BJ18" t="s">
        <v>446</v>
      </c>
      <c r="BK18" t="s">
        <v>101</v>
      </c>
      <c r="BL18" t="s">
        <v>446</v>
      </c>
      <c r="BM18" t="s">
        <v>447</v>
      </c>
      <c r="BN18">
        <v>31195142</v>
      </c>
      <c r="BO18" t="s">
        <v>74</v>
      </c>
      <c r="BP18" t="s">
        <v>74</v>
      </c>
      <c r="BQ18" t="s">
        <v>74</v>
      </c>
      <c r="BR18" t="s">
        <v>103</v>
      </c>
      <c r="BS18" t="s">
        <v>448</v>
      </c>
      <c r="BT18" t="str">
        <f>HYPERLINK("https%3A%2F%2Fwww.webofscience.com%2Fwos%2Fwoscc%2Ffull-record%2FWOS:000480671300005","View Full Record in Web of Science")</f>
        <v>View Full Record in Web of Science</v>
      </c>
    </row>
    <row r="19" spans="1:72" x14ac:dyDescent="0.15">
      <c r="A19" t="s">
        <v>72</v>
      </c>
      <c r="B19" t="s">
        <v>449</v>
      </c>
      <c r="C19" t="s">
        <v>74</v>
      </c>
      <c r="D19" t="s">
        <v>74</v>
      </c>
      <c r="E19" t="s">
        <v>74</v>
      </c>
      <c r="F19" t="s">
        <v>450</v>
      </c>
      <c r="G19" t="s">
        <v>74</v>
      </c>
      <c r="H19" t="s">
        <v>74</v>
      </c>
      <c r="I19" t="s">
        <v>451</v>
      </c>
      <c r="J19" t="s">
        <v>452</v>
      </c>
      <c r="K19" t="s">
        <v>74</v>
      </c>
      <c r="L19" t="s">
        <v>74</v>
      </c>
      <c r="M19" t="s">
        <v>78</v>
      </c>
      <c r="N19" t="s">
        <v>108</v>
      </c>
      <c r="O19" t="s">
        <v>74</v>
      </c>
      <c r="P19" t="s">
        <v>74</v>
      </c>
      <c r="Q19" t="s">
        <v>74</v>
      </c>
      <c r="R19" t="s">
        <v>74</v>
      </c>
      <c r="S19" t="s">
        <v>74</v>
      </c>
      <c r="T19" t="s">
        <v>453</v>
      </c>
      <c r="U19" t="s">
        <v>454</v>
      </c>
      <c r="V19" t="s">
        <v>455</v>
      </c>
      <c r="W19" t="s">
        <v>456</v>
      </c>
      <c r="X19" t="s">
        <v>457</v>
      </c>
      <c r="Y19" t="s">
        <v>458</v>
      </c>
      <c r="Z19" t="s">
        <v>459</v>
      </c>
      <c r="AA19" t="s">
        <v>460</v>
      </c>
      <c r="AB19" t="s">
        <v>461</v>
      </c>
      <c r="AC19" t="s">
        <v>462</v>
      </c>
      <c r="AD19" t="s">
        <v>463</v>
      </c>
      <c r="AE19" t="s">
        <v>464</v>
      </c>
      <c r="AF19" t="s">
        <v>74</v>
      </c>
      <c r="AG19">
        <v>102</v>
      </c>
      <c r="AH19">
        <v>9</v>
      </c>
      <c r="AI19">
        <v>9</v>
      </c>
      <c r="AJ19">
        <v>0</v>
      </c>
      <c r="AK19">
        <v>11</v>
      </c>
      <c r="AL19" t="s">
        <v>438</v>
      </c>
      <c r="AM19" t="s">
        <v>439</v>
      </c>
      <c r="AN19" t="s">
        <v>440</v>
      </c>
      <c r="AO19" t="s">
        <v>465</v>
      </c>
      <c r="AP19" t="s">
        <v>466</v>
      </c>
      <c r="AQ19" t="s">
        <v>74</v>
      </c>
      <c r="AR19" t="s">
        <v>467</v>
      </c>
      <c r="AS19" t="s">
        <v>468</v>
      </c>
      <c r="AT19" t="s">
        <v>469</v>
      </c>
      <c r="AU19">
        <v>2019</v>
      </c>
      <c r="AV19">
        <v>381</v>
      </c>
      <c r="AW19" t="s">
        <v>74</v>
      </c>
      <c r="AX19" t="s">
        <v>74</v>
      </c>
      <c r="AY19" t="s">
        <v>74</v>
      </c>
      <c r="AZ19" t="s">
        <v>74</v>
      </c>
      <c r="BA19" t="s">
        <v>74</v>
      </c>
      <c r="BB19">
        <v>119</v>
      </c>
      <c r="BC19">
        <v>139</v>
      </c>
      <c r="BD19" t="s">
        <v>74</v>
      </c>
      <c r="BE19" t="s">
        <v>470</v>
      </c>
      <c r="BF19" t="str">
        <f>HYPERLINK("http://dx.doi.org/10.1016/j.jvolgeores.2019.05.017","http://dx.doi.org/10.1016/j.jvolgeores.2019.05.017")</f>
        <v>http://dx.doi.org/10.1016/j.jvolgeores.2019.05.017</v>
      </c>
      <c r="BG19" t="s">
        <v>74</v>
      </c>
      <c r="BH19" t="s">
        <v>74</v>
      </c>
      <c r="BI19">
        <v>21</v>
      </c>
      <c r="BJ19" t="s">
        <v>471</v>
      </c>
      <c r="BK19" t="s">
        <v>101</v>
      </c>
      <c r="BL19" t="s">
        <v>472</v>
      </c>
      <c r="BM19" t="s">
        <v>473</v>
      </c>
      <c r="BN19" t="s">
        <v>74</v>
      </c>
      <c r="BO19" t="s">
        <v>474</v>
      </c>
      <c r="BP19" t="s">
        <v>74</v>
      </c>
      <c r="BQ19" t="s">
        <v>74</v>
      </c>
      <c r="BR19" t="s">
        <v>103</v>
      </c>
      <c r="BS19" t="s">
        <v>475</v>
      </c>
      <c r="BT19" t="str">
        <f>HYPERLINK("https%3A%2F%2Fwww.webofscience.com%2Fwos%2Fwoscc%2Ffull-record%2FWOS:000480378900008","View Full Record in Web of Science")</f>
        <v>View Full Record in Web of Science</v>
      </c>
    </row>
    <row r="20" spans="1:72" x14ac:dyDescent="0.15">
      <c r="A20" t="s">
        <v>72</v>
      </c>
      <c r="B20" t="s">
        <v>476</v>
      </c>
      <c r="C20" t="s">
        <v>74</v>
      </c>
      <c r="D20" t="s">
        <v>74</v>
      </c>
      <c r="E20" t="s">
        <v>74</v>
      </c>
      <c r="F20" t="s">
        <v>477</v>
      </c>
      <c r="G20" t="s">
        <v>74</v>
      </c>
      <c r="H20" t="s">
        <v>74</v>
      </c>
      <c r="I20" t="s">
        <v>478</v>
      </c>
      <c r="J20" t="s">
        <v>479</v>
      </c>
      <c r="K20" t="s">
        <v>74</v>
      </c>
      <c r="L20" t="s">
        <v>74</v>
      </c>
      <c r="M20" t="s">
        <v>78</v>
      </c>
      <c r="N20" t="s">
        <v>108</v>
      </c>
      <c r="O20" t="s">
        <v>74</v>
      </c>
      <c r="P20" t="s">
        <v>74</v>
      </c>
      <c r="Q20" t="s">
        <v>74</v>
      </c>
      <c r="R20" t="s">
        <v>74</v>
      </c>
      <c r="S20" t="s">
        <v>74</v>
      </c>
      <c r="T20" t="s">
        <v>74</v>
      </c>
      <c r="U20" t="s">
        <v>74</v>
      </c>
      <c r="V20" t="s">
        <v>74</v>
      </c>
      <c r="W20" t="s">
        <v>74</v>
      </c>
      <c r="X20" t="s">
        <v>74</v>
      </c>
      <c r="Y20" t="s">
        <v>74</v>
      </c>
      <c r="Z20" t="s">
        <v>74</v>
      </c>
      <c r="AA20" t="s">
        <v>74</v>
      </c>
      <c r="AB20" t="s">
        <v>74</v>
      </c>
      <c r="AC20" t="s">
        <v>74</v>
      </c>
      <c r="AD20" t="s">
        <v>74</v>
      </c>
      <c r="AE20" t="s">
        <v>74</v>
      </c>
      <c r="AF20" t="s">
        <v>74</v>
      </c>
      <c r="AG20">
        <v>0</v>
      </c>
      <c r="AH20">
        <v>0</v>
      </c>
      <c r="AI20">
        <v>0</v>
      </c>
      <c r="AJ20">
        <v>0</v>
      </c>
      <c r="AK20">
        <v>2</v>
      </c>
      <c r="AL20" t="s">
        <v>480</v>
      </c>
      <c r="AM20" t="s">
        <v>252</v>
      </c>
      <c r="AN20" t="s">
        <v>481</v>
      </c>
      <c r="AO20" t="s">
        <v>482</v>
      </c>
      <c r="AP20" t="s">
        <v>483</v>
      </c>
      <c r="AQ20" t="s">
        <v>74</v>
      </c>
      <c r="AR20" t="s">
        <v>479</v>
      </c>
      <c r="AS20" t="s">
        <v>484</v>
      </c>
      <c r="AT20" t="s">
        <v>485</v>
      </c>
      <c r="AU20">
        <v>2019</v>
      </c>
      <c r="AV20">
        <v>72</v>
      </c>
      <c r="AW20">
        <v>5</v>
      </c>
      <c r="AX20" t="s">
        <v>74</v>
      </c>
      <c r="AY20" t="s">
        <v>74</v>
      </c>
      <c r="AZ20" t="s">
        <v>74</v>
      </c>
      <c r="BA20" t="s">
        <v>74</v>
      </c>
      <c r="BB20">
        <v>48</v>
      </c>
      <c r="BC20">
        <v>53</v>
      </c>
      <c r="BD20" t="s">
        <v>74</v>
      </c>
      <c r="BE20" t="s">
        <v>74</v>
      </c>
      <c r="BF20" t="s">
        <v>74</v>
      </c>
      <c r="BG20" t="s">
        <v>74</v>
      </c>
      <c r="BH20" t="s">
        <v>74</v>
      </c>
      <c r="BI20">
        <v>6</v>
      </c>
      <c r="BJ20" t="s">
        <v>484</v>
      </c>
      <c r="BK20" t="s">
        <v>486</v>
      </c>
      <c r="BL20" t="s">
        <v>484</v>
      </c>
      <c r="BM20" t="s">
        <v>487</v>
      </c>
      <c r="BN20" t="s">
        <v>74</v>
      </c>
      <c r="BO20" t="s">
        <v>74</v>
      </c>
      <c r="BP20" t="s">
        <v>74</v>
      </c>
      <c r="BQ20" t="s">
        <v>74</v>
      </c>
      <c r="BR20" t="s">
        <v>103</v>
      </c>
      <c r="BS20" t="s">
        <v>488</v>
      </c>
      <c r="BT20" t="str">
        <f>HYPERLINK("https%3A%2F%2Fwww.webofscience.com%2Fwos%2Fwoscc%2Ffull-record%2FWOS:000478032100029","View Full Record in Web of Science")</f>
        <v>View Full Record in Web of Science</v>
      </c>
    </row>
    <row r="21" spans="1:72" x14ac:dyDescent="0.15">
      <c r="A21" t="s">
        <v>72</v>
      </c>
      <c r="B21" t="s">
        <v>489</v>
      </c>
      <c r="C21" t="s">
        <v>74</v>
      </c>
      <c r="D21" t="s">
        <v>74</v>
      </c>
      <c r="E21" t="s">
        <v>74</v>
      </c>
      <c r="F21" t="s">
        <v>490</v>
      </c>
      <c r="G21" t="s">
        <v>74</v>
      </c>
      <c r="H21" t="s">
        <v>74</v>
      </c>
      <c r="I21" t="s">
        <v>491</v>
      </c>
      <c r="J21" t="s">
        <v>492</v>
      </c>
      <c r="K21" t="s">
        <v>74</v>
      </c>
      <c r="L21" t="s">
        <v>74</v>
      </c>
      <c r="M21" t="s">
        <v>78</v>
      </c>
      <c r="N21" t="s">
        <v>108</v>
      </c>
      <c r="O21" t="s">
        <v>74</v>
      </c>
      <c r="P21" t="s">
        <v>74</v>
      </c>
      <c r="Q21" t="s">
        <v>74</v>
      </c>
      <c r="R21" t="s">
        <v>74</v>
      </c>
      <c r="S21" t="s">
        <v>74</v>
      </c>
      <c r="T21" t="s">
        <v>493</v>
      </c>
      <c r="U21" t="s">
        <v>494</v>
      </c>
      <c r="V21" t="s">
        <v>495</v>
      </c>
      <c r="W21" t="s">
        <v>496</v>
      </c>
      <c r="X21" t="s">
        <v>497</v>
      </c>
      <c r="Y21" t="s">
        <v>498</v>
      </c>
      <c r="Z21" t="s">
        <v>499</v>
      </c>
      <c r="AA21" t="s">
        <v>500</v>
      </c>
      <c r="AB21" t="s">
        <v>501</v>
      </c>
      <c r="AC21" t="s">
        <v>502</v>
      </c>
      <c r="AD21" t="s">
        <v>503</v>
      </c>
      <c r="AE21" t="s">
        <v>504</v>
      </c>
      <c r="AF21" t="s">
        <v>74</v>
      </c>
      <c r="AG21">
        <v>47</v>
      </c>
      <c r="AH21">
        <v>5</v>
      </c>
      <c r="AI21">
        <v>5</v>
      </c>
      <c r="AJ21">
        <v>1</v>
      </c>
      <c r="AK21">
        <v>32</v>
      </c>
      <c r="AL21" t="s">
        <v>505</v>
      </c>
      <c r="AM21" t="s">
        <v>506</v>
      </c>
      <c r="AN21" t="s">
        <v>507</v>
      </c>
      <c r="AO21" t="s">
        <v>508</v>
      </c>
      <c r="AP21" t="s">
        <v>509</v>
      </c>
      <c r="AQ21" t="s">
        <v>74</v>
      </c>
      <c r="AR21" t="s">
        <v>510</v>
      </c>
      <c r="AS21" t="s">
        <v>511</v>
      </c>
      <c r="AT21" t="s">
        <v>98</v>
      </c>
      <c r="AU21">
        <v>2019</v>
      </c>
      <c r="AV21">
        <v>191</v>
      </c>
      <c r="AW21">
        <v>1</v>
      </c>
      <c r="AX21" t="s">
        <v>74</v>
      </c>
      <c r="AY21" t="s">
        <v>74</v>
      </c>
      <c r="AZ21" t="s">
        <v>74</v>
      </c>
      <c r="BA21" t="s">
        <v>74</v>
      </c>
      <c r="BB21">
        <v>214</v>
      </c>
      <c r="BC21">
        <v>223</v>
      </c>
      <c r="BD21" t="s">
        <v>74</v>
      </c>
      <c r="BE21" t="s">
        <v>512</v>
      </c>
      <c r="BF21" t="str">
        <f>HYPERLINK("http://dx.doi.org/10.1007/s12011-018-1598-1","http://dx.doi.org/10.1007/s12011-018-1598-1")</f>
        <v>http://dx.doi.org/10.1007/s12011-018-1598-1</v>
      </c>
      <c r="BG21" t="s">
        <v>74</v>
      </c>
      <c r="BH21" t="s">
        <v>74</v>
      </c>
      <c r="BI21">
        <v>10</v>
      </c>
      <c r="BJ21" t="s">
        <v>513</v>
      </c>
      <c r="BK21" t="s">
        <v>101</v>
      </c>
      <c r="BL21" t="s">
        <v>513</v>
      </c>
      <c r="BM21" t="s">
        <v>514</v>
      </c>
      <c r="BN21">
        <v>30600496</v>
      </c>
      <c r="BO21" t="s">
        <v>74</v>
      </c>
      <c r="BP21" t="s">
        <v>74</v>
      </c>
      <c r="BQ21" t="s">
        <v>74</v>
      </c>
      <c r="BR21" t="s">
        <v>103</v>
      </c>
      <c r="BS21" t="s">
        <v>515</v>
      </c>
      <c r="BT21" t="str">
        <f>HYPERLINK("https%3A%2F%2Fwww.webofscience.com%2Fwos%2Fwoscc%2Ffull-record%2FWOS:000477025100026","View Full Record in Web of Science")</f>
        <v>View Full Record in Web of Science</v>
      </c>
    </row>
    <row r="22" spans="1:72" x14ac:dyDescent="0.15">
      <c r="A22" t="s">
        <v>72</v>
      </c>
      <c r="B22" t="s">
        <v>516</v>
      </c>
      <c r="C22" t="s">
        <v>74</v>
      </c>
      <c r="D22" t="s">
        <v>74</v>
      </c>
      <c r="E22" t="s">
        <v>74</v>
      </c>
      <c r="F22" t="s">
        <v>517</v>
      </c>
      <c r="G22" t="s">
        <v>74</v>
      </c>
      <c r="H22" t="s">
        <v>74</v>
      </c>
      <c r="I22" t="s">
        <v>518</v>
      </c>
      <c r="J22" t="s">
        <v>519</v>
      </c>
      <c r="K22" t="s">
        <v>74</v>
      </c>
      <c r="L22" t="s">
        <v>74</v>
      </c>
      <c r="M22" t="s">
        <v>78</v>
      </c>
      <c r="N22" t="s">
        <v>108</v>
      </c>
      <c r="O22" t="s">
        <v>74</v>
      </c>
      <c r="P22" t="s">
        <v>74</v>
      </c>
      <c r="Q22" t="s">
        <v>74</v>
      </c>
      <c r="R22" t="s">
        <v>74</v>
      </c>
      <c r="S22" t="s">
        <v>74</v>
      </c>
      <c r="T22" t="s">
        <v>520</v>
      </c>
      <c r="U22" t="s">
        <v>521</v>
      </c>
      <c r="V22" t="s">
        <v>522</v>
      </c>
      <c r="W22" t="s">
        <v>523</v>
      </c>
      <c r="X22" t="s">
        <v>524</v>
      </c>
      <c r="Y22" t="s">
        <v>525</v>
      </c>
      <c r="Z22" t="s">
        <v>526</v>
      </c>
      <c r="AA22" t="s">
        <v>74</v>
      </c>
      <c r="AB22" t="s">
        <v>527</v>
      </c>
      <c r="AC22" t="s">
        <v>528</v>
      </c>
      <c r="AD22" t="s">
        <v>529</v>
      </c>
      <c r="AE22" t="s">
        <v>530</v>
      </c>
      <c r="AF22" t="s">
        <v>74</v>
      </c>
      <c r="AG22">
        <v>42</v>
      </c>
      <c r="AH22">
        <v>13</v>
      </c>
      <c r="AI22">
        <v>13</v>
      </c>
      <c r="AJ22">
        <v>2</v>
      </c>
      <c r="AK22">
        <v>11</v>
      </c>
      <c r="AL22" t="s">
        <v>438</v>
      </c>
      <c r="AM22" t="s">
        <v>439</v>
      </c>
      <c r="AN22" t="s">
        <v>440</v>
      </c>
      <c r="AO22" t="s">
        <v>531</v>
      </c>
      <c r="AP22" t="s">
        <v>532</v>
      </c>
      <c r="AQ22" t="s">
        <v>74</v>
      </c>
      <c r="AR22" t="s">
        <v>533</v>
      </c>
      <c r="AS22" t="s">
        <v>534</v>
      </c>
      <c r="AT22" t="s">
        <v>469</v>
      </c>
      <c r="AU22">
        <v>2019</v>
      </c>
      <c r="AV22">
        <v>521</v>
      </c>
      <c r="AW22" t="s">
        <v>74</v>
      </c>
      <c r="AX22" t="s">
        <v>74</v>
      </c>
      <c r="AY22" t="s">
        <v>74</v>
      </c>
      <c r="AZ22" t="s">
        <v>74</v>
      </c>
      <c r="BA22" t="s">
        <v>74</v>
      </c>
      <c r="BB22">
        <v>169</v>
      </c>
      <c r="BC22">
        <v>176</v>
      </c>
      <c r="BD22" t="s">
        <v>74</v>
      </c>
      <c r="BE22" t="s">
        <v>535</v>
      </c>
      <c r="BF22" t="str">
        <f>HYPERLINK("http://dx.doi.org/10.1016/j.epsl.2019.06.002","http://dx.doi.org/10.1016/j.epsl.2019.06.002")</f>
        <v>http://dx.doi.org/10.1016/j.epsl.2019.06.002</v>
      </c>
      <c r="BG22" t="s">
        <v>74</v>
      </c>
      <c r="BH22" t="s">
        <v>74</v>
      </c>
      <c r="BI22">
        <v>8</v>
      </c>
      <c r="BJ22" t="s">
        <v>190</v>
      </c>
      <c r="BK22" t="s">
        <v>101</v>
      </c>
      <c r="BL22" t="s">
        <v>190</v>
      </c>
      <c r="BM22" t="s">
        <v>536</v>
      </c>
      <c r="BN22" t="s">
        <v>74</v>
      </c>
      <c r="BO22" t="s">
        <v>537</v>
      </c>
      <c r="BP22" t="s">
        <v>74</v>
      </c>
      <c r="BQ22" t="s">
        <v>74</v>
      </c>
      <c r="BR22" t="s">
        <v>103</v>
      </c>
      <c r="BS22" t="s">
        <v>538</v>
      </c>
      <c r="BT22" t="str">
        <f>HYPERLINK("https%3A%2F%2Fwww.webofscience.com%2Fwos%2Fwoscc%2Ffull-record%2FWOS:000476963300017","View Full Record in Web of Science")</f>
        <v>View Full Record in Web of Science</v>
      </c>
    </row>
    <row r="23" spans="1:72" x14ac:dyDescent="0.15">
      <c r="A23" t="s">
        <v>72</v>
      </c>
      <c r="B23" t="s">
        <v>539</v>
      </c>
      <c r="C23" t="s">
        <v>74</v>
      </c>
      <c r="D23" t="s">
        <v>74</v>
      </c>
      <c r="E23" t="s">
        <v>74</v>
      </c>
      <c r="F23" t="s">
        <v>540</v>
      </c>
      <c r="G23" t="s">
        <v>74</v>
      </c>
      <c r="H23" t="s">
        <v>74</v>
      </c>
      <c r="I23" t="s">
        <v>541</v>
      </c>
      <c r="J23" t="s">
        <v>238</v>
      </c>
      <c r="K23" t="s">
        <v>74</v>
      </c>
      <c r="L23" t="s">
        <v>74</v>
      </c>
      <c r="M23" t="s">
        <v>78</v>
      </c>
      <c r="N23" t="s">
        <v>108</v>
      </c>
      <c r="O23" t="s">
        <v>74</v>
      </c>
      <c r="P23" t="s">
        <v>74</v>
      </c>
      <c r="Q23" t="s">
        <v>74</v>
      </c>
      <c r="R23" t="s">
        <v>74</v>
      </c>
      <c r="S23" t="s">
        <v>74</v>
      </c>
      <c r="T23" t="s">
        <v>542</v>
      </c>
      <c r="U23" t="s">
        <v>543</v>
      </c>
      <c r="V23" t="s">
        <v>544</v>
      </c>
      <c r="W23" t="s">
        <v>545</v>
      </c>
      <c r="X23" t="s">
        <v>546</v>
      </c>
      <c r="Y23" t="s">
        <v>547</v>
      </c>
      <c r="Z23" t="s">
        <v>548</v>
      </c>
      <c r="AA23" t="s">
        <v>74</v>
      </c>
      <c r="AB23" t="s">
        <v>549</v>
      </c>
      <c r="AC23" t="s">
        <v>550</v>
      </c>
      <c r="AD23" t="s">
        <v>551</v>
      </c>
      <c r="AE23" t="s">
        <v>552</v>
      </c>
      <c r="AF23" t="s">
        <v>74</v>
      </c>
      <c r="AG23">
        <v>53</v>
      </c>
      <c r="AH23">
        <v>40</v>
      </c>
      <c r="AI23">
        <v>45</v>
      </c>
      <c r="AJ23">
        <v>5</v>
      </c>
      <c r="AK23">
        <v>44</v>
      </c>
      <c r="AL23" t="s">
        <v>251</v>
      </c>
      <c r="AM23" t="s">
        <v>252</v>
      </c>
      <c r="AN23" t="s">
        <v>253</v>
      </c>
      <c r="AO23" t="s">
        <v>254</v>
      </c>
      <c r="AP23" t="s">
        <v>255</v>
      </c>
      <c r="AQ23" t="s">
        <v>74</v>
      </c>
      <c r="AR23" t="s">
        <v>256</v>
      </c>
      <c r="AS23" t="s">
        <v>257</v>
      </c>
      <c r="AT23" t="s">
        <v>98</v>
      </c>
      <c r="AU23">
        <v>2019</v>
      </c>
      <c r="AV23">
        <v>32</v>
      </c>
      <c r="AW23">
        <v>17</v>
      </c>
      <c r="AX23" t="s">
        <v>74</v>
      </c>
      <c r="AY23" t="s">
        <v>74</v>
      </c>
      <c r="AZ23" t="s">
        <v>74</v>
      </c>
      <c r="BA23" t="s">
        <v>74</v>
      </c>
      <c r="BB23">
        <v>5381</v>
      </c>
      <c r="BC23">
        <v>5395</v>
      </c>
      <c r="BD23" t="s">
        <v>74</v>
      </c>
      <c r="BE23" t="s">
        <v>553</v>
      </c>
      <c r="BF23" t="str">
        <f>HYPERLINK("http://dx.doi.org/10.1175/JCLI-D-18-0635.1","http://dx.doi.org/10.1175/JCLI-D-18-0635.1")</f>
        <v>http://dx.doi.org/10.1175/JCLI-D-18-0635.1</v>
      </c>
      <c r="BG23" t="s">
        <v>74</v>
      </c>
      <c r="BH23" t="s">
        <v>74</v>
      </c>
      <c r="BI23">
        <v>15</v>
      </c>
      <c r="BJ23" t="s">
        <v>259</v>
      </c>
      <c r="BK23" t="s">
        <v>101</v>
      </c>
      <c r="BL23" t="s">
        <v>259</v>
      </c>
      <c r="BM23" t="s">
        <v>554</v>
      </c>
      <c r="BN23" t="s">
        <v>74</v>
      </c>
      <c r="BO23" t="s">
        <v>555</v>
      </c>
      <c r="BP23" t="s">
        <v>74</v>
      </c>
      <c r="BQ23" t="s">
        <v>74</v>
      </c>
      <c r="BR23" t="s">
        <v>103</v>
      </c>
      <c r="BS23" t="s">
        <v>556</v>
      </c>
      <c r="BT23" t="str">
        <f>HYPERLINK("https%3A%2F%2Fwww.webofscience.com%2Fwos%2Fwoscc%2Ffull-record%2FWOS:000477657300003","View Full Record in Web of Science")</f>
        <v>View Full Record in Web of Science</v>
      </c>
    </row>
    <row r="24" spans="1:72" x14ac:dyDescent="0.15">
      <c r="A24" t="s">
        <v>72</v>
      </c>
      <c r="B24" t="s">
        <v>557</v>
      </c>
      <c r="C24" t="s">
        <v>74</v>
      </c>
      <c r="D24" t="s">
        <v>74</v>
      </c>
      <c r="E24" t="s">
        <v>74</v>
      </c>
      <c r="F24" t="s">
        <v>558</v>
      </c>
      <c r="G24" t="s">
        <v>74</v>
      </c>
      <c r="H24" t="s">
        <v>74</v>
      </c>
      <c r="I24" t="s">
        <v>559</v>
      </c>
      <c r="J24" t="s">
        <v>560</v>
      </c>
      <c r="K24" t="s">
        <v>74</v>
      </c>
      <c r="L24" t="s">
        <v>74</v>
      </c>
      <c r="M24" t="s">
        <v>78</v>
      </c>
      <c r="N24" t="s">
        <v>108</v>
      </c>
      <c r="O24" t="s">
        <v>74</v>
      </c>
      <c r="P24" t="s">
        <v>74</v>
      </c>
      <c r="Q24" t="s">
        <v>74</v>
      </c>
      <c r="R24" t="s">
        <v>74</v>
      </c>
      <c r="S24" t="s">
        <v>74</v>
      </c>
      <c r="T24" t="s">
        <v>561</v>
      </c>
      <c r="U24" t="s">
        <v>562</v>
      </c>
      <c r="V24" t="s">
        <v>563</v>
      </c>
      <c r="W24" t="s">
        <v>564</v>
      </c>
      <c r="X24" t="s">
        <v>565</v>
      </c>
      <c r="Y24" t="s">
        <v>566</v>
      </c>
      <c r="Z24" t="s">
        <v>567</v>
      </c>
      <c r="AA24" t="s">
        <v>568</v>
      </c>
      <c r="AB24" t="s">
        <v>569</v>
      </c>
      <c r="AC24" t="s">
        <v>570</v>
      </c>
      <c r="AD24" t="s">
        <v>571</v>
      </c>
      <c r="AE24" t="s">
        <v>572</v>
      </c>
      <c r="AF24" t="s">
        <v>74</v>
      </c>
      <c r="AG24">
        <v>84</v>
      </c>
      <c r="AH24">
        <v>18</v>
      </c>
      <c r="AI24">
        <v>19</v>
      </c>
      <c r="AJ24">
        <v>0</v>
      </c>
      <c r="AK24">
        <v>13</v>
      </c>
      <c r="AL24" t="s">
        <v>92</v>
      </c>
      <c r="AM24" t="s">
        <v>93</v>
      </c>
      <c r="AN24" t="s">
        <v>94</v>
      </c>
      <c r="AO24" t="s">
        <v>573</v>
      </c>
      <c r="AP24" t="s">
        <v>574</v>
      </c>
      <c r="AQ24" t="s">
        <v>74</v>
      </c>
      <c r="AR24" t="s">
        <v>575</v>
      </c>
      <c r="AS24" t="s">
        <v>576</v>
      </c>
      <c r="AT24" t="s">
        <v>469</v>
      </c>
      <c r="AU24">
        <v>2019</v>
      </c>
      <c r="AV24">
        <v>260</v>
      </c>
      <c r="AW24" t="s">
        <v>74</v>
      </c>
      <c r="AX24" t="s">
        <v>74</v>
      </c>
      <c r="AY24" t="s">
        <v>74</v>
      </c>
      <c r="AZ24" t="s">
        <v>74</v>
      </c>
      <c r="BA24" t="s">
        <v>74</v>
      </c>
      <c r="BB24">
        <v>99</v>
      </c>
      <c r="BC24">
        <v>123</v>
      </c>
      <c r="BD24" t="s">
        <v>74</v>
      </c>
      <c r="BE24" t="s">
        <v>577</v>
      </c>
      <c r="BF24" t="str">
        <f>HYPERLINK("http://dx.doi.org/10.1016/j.gca.2019.06.027","http://dx.doi.org/10.1016/j.gca.2019.06.027")</f>
        <v>http://dx.doi.org/10.1016/j.gca.2019.06.027</v>
      </c>
      <c r="BG24" t="s">
        <v>74</v>
      </c>
      <c r="BH24" t="s">
        <v>74</v>
      </c>
      <c r="BI24">
        <v>25</v>
      </c>
      <c r="BJ24" t="s">
        <v>190</v>
      </c>
      <c r="BK24" t="s">
        <v>101</v>
      </c>
      <c r="BL24" t="s">
        <v>190</v>
      </c>
      <c r="BM24" t="s">
        <v>578</v>
      </c>
      <c r="BN24" t="s">
        <v>74</v>
      </c>
      <c r="BO24" t="s">
        <v>579</v>
      </c>
      <c r="BP24" t="s">
        <v>74</v>
      </c>
      <c r="BQ24" t="s">
        <v>74</v>
      </c>
      <c r="BR24" t="s">
        <v>103</v>
      </c>
      <c r="BS24" t="s">
        <v>580</v>
      </c>
      <c r="BT24" t="str">
        <f>HYPERLINK("https%3A%2F%2Fwww.webofscience.com%2Fwos%2Fwoscc%2Ffull-record%2FWOS:000475938300007","View Full Record in Web of Science")</f>
        <v>View Full Record in Web of Science</v>
      </c>
    </row>
    <row r="25" spans="1:72" x14ac:dyDescent="0.15">
      <c r="A25" t="s">
        <v>72</v>
      </c>
      <c r="B25" t="s">
        <v>581</v>
      </c>
      <c r="C25" t="s">
        <v>74</v>
      </c>
      <c r="D25" t="s">
        <v>74</v>
      </c>
      <c r="E25" t="s">
        <v>74</v>
      </c>
      <c r="F25" t="s">
        <v>582</v>
      </c>
      <c r="G25" t="s">
        <v>74</v>
      </c>
      <c r="H25" t="s">
        <v>74</v>
      </c>
      <c r="I25" t="s">
        <v>583</v>
      </c>
      <c r="J25" t="s">
        <v>560</v>
      </c>
      <c r="K25" t="s">
        <v>74</v>
      </c>
      <c r="L25" t="s">
        <v>74</v>
      </c>
      <c r="M25" t="s">
        <v>78</v>
      </c>
      <c r="N25" t="s">
        <v>108</v>
      </c>
      <c r="O25" t="s">
        <v>74</v>
      </c>
      <c r="P25" t="s">
        <v>74</v>
      </c>
      <c r="Q25" t="s">
        <v>74</v>
      </c>
      <c r="R25" t="s">
        <v>74</v>
      </c>
      <c r="S25" t="s">
        <v>74</v>
      </c>
      <c r="T25" t="s">
        <v>584</v>
      </c>
      <c r="U25" t="s">
        <v>585</v>
      </c>
      <c r="V25" t="s">
        <v>586</v>
      </c>
      <c r="W25" t="s">
        <v>587</v>
      </c>
      <c r="X25" t="s">
        <v>588</v>
      </c>
      <c r="Y25" t="s">
        <v>589</v>
      </c>
      <c r="Z25" t="s">
        <v>590</v>
      </c>
      <c r="AA25" t="s">
        <v>591</v>
      </c>
      <c r="AB25" t="s">
        <v>592</v>
      </c>
      <c r="AC25" t="s">
        <v>570</v>
      </c>
      <c r="AD25" t="s">
        <v>571</v>
      </c>
      <c r="AE25" t="s">
        <v>593</v>
      </c>
      <c r="AF25" t="s">
        <v>74</v>
      </c>
      <c r="AG25">
        <v>53</v>
      </c>
      <c r="AH25">
        <v>21</v>
      </c>
      <c r="AI25">
        <v>23</v>
      </c>
      <c r="AJ25">
        <v>3</v>
      </c>
      <c r="AK25">
        <v>25</v>
      </c>
      <c r="AL25" t="s">
        <v>92</v>
      </c>
      <c r="AM25" t="s">
        <v>93</v>
      </c>
      <c r="AN25" t="s">
        <v>94</v>
      </c>
      <c r="AO25" t="s">
        <v>573</v>
      </c>
      <c r="AP25" t="s">
        <v>574</v>
      </c>
      <c r="AQ25" t="s">
        <v>74</v>
      </c>
      <c r="AR25" t="s">
        <v>575</v>
      </c>
      <c r="AS25" t="s">
        <v>576</v>
      </c>
      <c r="AT25" t="s">
        <v>469</v>
      </c>
      <c r="AU25">
        <v>2019</v>
      </c>
      <c r="AV25">
        <v>260</v>
      </c>
      <c r="AW25" t="s">
        <v>74</v>
      </c>
      <c r="AX25" t="s">
        <v>74</v>
      </c>
      <c r="AY25" t="s">
        <v>74</v>
      </c>
      <c r="AZ25" t="s">
        <v>74</v>
      </c>
      <c r="BA25" t="s">
        <v>74</v>
      </c>
      <c r="BB25">
        <v>275</v>
      </c>
      <c r="BC25">
        <v>291</v>
      </c>
      <c r="BD25" t="s">
        <v>74</v>
      </c>
      <c r="BE25" t="s">
        <v>594</v>
      </c>
      <c r="BF25" t="str">
        <f>HYPERLINK("http://dx.doi.org/10.1016/j.gca.2019.06.012","http://dx.doi.org/10.1016/j.gca.2019.06.012")</f>
        <v>http://dx.doi.org/10.1016/j.gca.2019.06.012</v>
      </c>
      <c r="BG25" t="s">
        <v>74</v>
      </c>
      <c r="BH25" t="s">
        <v>74</v>
      </c>
      <c r="BI25">
        <v>17</v>
      </c>
      <c r="BJ25" t="s">
        <v>190</v>
      </c>
      <c r="BK25" t="s">
        <v>101</v>
      </c>
      <c r="BL25" t="s">
        <v>190</v>
      </c>
      <c r="BM25" t="s">
        <v>578</v>
      </c>
      <c r="BN25" t="s">
        <v>74</v>
      </c>
      <c r="BO25" t="s">
        <v>595</v>
      </c>
      <c r="BP25" t="s">
        <v>74</v>
      </c>
      <c r="BQ25" t="s">
        <v>74</v>
      </c>
      <c r="BR25" t="s">
        <v>103</v>
      </c>
      <c r="BS25" t="s">
        <v>596</v>
      </c>
      <c r="BT25" t="str">
        <f>HYPERLINK("https%3A%2F%2Fwww.webofscience.com%2Fwos%2Fwoscc%2Ffull-record%2FWOS:000475938300017","View Full Record in Web of Science")</f>
        <v>View Full Record in Web of Science</v>
      </c>
    </row>
    <row r="26" spans="1:72" x14ac:dyDescent="0.15">
      <c r="A26" t="s">
        <v>72</v>
      </c>
      <c r="B26" t="s">
        <v>597</v>
      </c>
      <c r="C26" t="s">
        <v>74</v>
      </c>
      <c r="D26" t="s">
        <v>74</v>
      </c>
      <c r="E26" t="s">
        <v>74</v>
      </c>
      <c r="F26" t="s">
        <v>598</v>
      </c>
      <c r="G26" t="s">
        <v>74</v>
      </c>
      <c r="H26" t="s">
        <v>74</v>
      </c>
      <c r="I26" t="s">
        <v>599</v>
      </c>
      <c r="J26" t="s">
        <v>600</v>
      </c>
      <c r="K26" t="s">
        <v>74</v>
      </c>
      <c r="L26" t="s">
        <v>74</v>
      </c>
      <c r="M26" t="s">
        <v>78</v>
      </c>
      <c r="N26" t="s">
        <v>79</v>
      </c>
      <c r="O26" t="s">
        <v>74</v>
      </c>
      <c r="P26" t="s">
        <v>74</v>
      </c>
      <c r="Q26" t="s">
        <v>74</v>
      </c>
      <c r="R26" t="s">
        <v>74</v>
      </c>
      <c r="S26" t="s">
        <v>74</v>
      </c>
      <c r="T26" t="s">
        <v>601</v>
      </c>
      <c r="U26" t="s">
        <v>602</v>
      </c>
      <c r="V26" t="s">
        <v>603</v>
      </c>
      <c r="W26" t="s">
        <v>604</v>
      </c>
      <c r="X26" t="s">
        <v>605</v>
      </c>
      <c r="Y26" t="s">
        <v>606</v>
      </c>
      <c r="Z26" t="s">
        <v>607</v>
      </c>
      <c r="AA26" t="s">
        <v>608</v>
      </c>
      <c r="AB26" t="s">
        <v>609</v>
      </c>
      <c r="AC26" t="s">
        <v>610</v>
      </c>
      <c r="AD26" t="s">
        <v>611</v>
      </c>
      <c r="AE26" t="s">
        <v>612</v>
      </c>
      <c r="AF26" t="s">
        <v>74</v>
      </c>
      <c r="AG26">
        <v>144</v>
      </c>
      <c r="AH26">
        <v>22</v>
      </c>
      <c r="AI26">
        <v>22</v>
      </c>
      <c r="AJ26">
        <v>0</v>
      </c>
      <c r="AK26">
        <v>37</v>
      </c>
      <c r="AL26" t="s">
        <v>438</v>
      </c>
      <c r="AM26" t="s">
        <v>439</v>
      </c>
      <c r="AN26" t="s">
        <v>440</v>
      </c>
      <c r="AO26" t="s">
        <v>613</v>
      </c>
      <c r="AP26" t="s">
        <v>614</v>
      </c>
      <c r="AQ26" t="s">
        <v>74</v>
      </c>
      <c r="AR26" t="s">
        <v>615</v>
      </c>
      <c r="AS26" t="s">
        <v>616</v>
      </c>
      <c r="AT26" t="s">
        <v>98</v>
      </c>
      <c r="AU26">
        <v>2019</v>
      </c>
      <c r="AV26">
        <v>197</v>
      </c>
      <c r="AW26" t="s">
        <v>74</v>
      </c>
      <c r="AX26" t="s">
        <v>74</v>
      </c>
      <c r="AY26" t="s">
        <v>74</v>
      </c>
      <c r="AZ26" t="s">
        <v>74</v>
      </c>
      <c r="BA26" t="s">
        <v>74</v>
      </c>
      <c r="BB26" t="s">
        <v>74</v>
      </c>
      <c r="BC26" t="s">
        <v>74</v>
      </c>
      <c r="BD26">
        <v>103182</v>
      </c>
      <c r="BE26" t="s">
        <v>617</v>
      </c>
      <c r="BF26" t="str">
        <f>HYPERLINK("http://dx.doi.org/10.1016/j.jmarsys.2019.05.008","http://dx.doi.org/10.1016/j.jmarsys.2019.05.008")</f>
        <v>http://dx.doi.org/10.1016/j.jmarsys.2019.05.008</v>
      </c>
      <c r="BG26" t="s">
        <v>74</v>
      </c>
      <c r="BH26" t="s">
        <v>74</v>
      </c>
      <c r="BI26">
        <v>17</v>
      </c>
      <c r="BJ26" t="s">
        <v>618</v>
      </c>
      <c r="BK26" t="s">
        <v>101</v>
      </c>
      <c r="BL26" t="s">
        <v>619</v>
      </c>
      <c r="BM26" t="s">
        <v>620</v>
      </c>
      <c r="BN26" t="s">
        <v>74</v>
      </c>
      <c r="BO26" t="s">
        <v>621</v>
      </c>
      <c r="BP26" t="s">
        <v>74</v>
      </c>
      <c r="BQ26" t="s">
        <v>74</v>
      </c>
      <c r="BR26" t="s">
        <v>103</v>
      </c>
      <c r="BS26" t="s">
        <v>622</v>
      </c>
      <c r="BT26" t="str">
        <f>HYPERLINK("https%3A%2F%2Fwww.webofscience.com%2Fwos%2Fwoscc%2Ffull-record%2FWOS:000475993900002","View Full Record in Web of Science")</f>
        <v>View Full Record in Web of Science</v>
      </c>
    </row>
    <row r="27" spans="1:72" x14ac:dyDescent="0.15">
      <c r="A27" t="s">
        <v>72</v>
      </c>
      <c r="B27" t="s">
        <v>623</v>
      </c>
      <c r="C27" t="s">
        <v>74</v>
      </c>
      <c r="D27" t="s">
        <v>74</v>
      </c>
      <c r="E27" t="s">
        <v>74</v>
      </c>
      <c r="F27" t="s">
        <v>624</v>
      </c>
      <c r="G27" t="s">
        <v>74</v>
      </c>
      <c r="H27" t="s">
        <v>74</v>
      </c>
      <c r="I27" t="s">
        <v>625</v>
      </c>
      <c r="J27" t="s">
        <v>600</v>
      </c>
      <c r="K27" t="s">
        <v>74</v>
      </c>
      <c r="L27" t="s">
        <v>74</v>
      </c>
      <c r="M27" t="s">
        <v>78</v>
      </c>
      <c r="N27" t="s">
        <v>108</v>
      </c>
      <c r="O27" t="s">
        <v>74</v>
      </c>
      <c r="P27" t="s">
        <v>74</v>
      </c>
      <c r="Q27" t="s">
        <v>74</v>
      </c>
      <c r="R27" t="s">
        <v>74</v>
      </c>
      <c r="S27" t="s">
        <v>74</v>
      </c>
      <c r="T27" t="s">
        <v>626</v>
      </c>
      <c r="U27" t="s">
        <v>627</v>
      </c>
      <c r="V27" t="s">
        <v>628</v>
      </c>
      <c r="W27" t="s">
        <v>629</v>
      </c>
      <c r="X27" t="s">
        <v>630</v>
      </c>
      <c r="Y27" t="s">
        <v>631</v>
      </c>
      <c r="Z27" t="s">
        <v>632</v>
      </c>
      <c r="AA27" t="s">
        <v>633</v>
      </c>
      <c r="AB27" t="s">
        <v>634</v>
      </c>
      <c r="AC27" t="s">
        <v>635</v>
      </c>
      <c r="AD27" t="s">
        <v>636</v>
      </c>
      <c r="AE27" t="s">
        <v>637</v>
      </c>
      <c r="AF27" t="s">
        <v>74</v>
      </c>
      <c r="AG27">
        <v>52</v>
      </c>
      <c r="AH27">
        <v>4</v>
      </c>
      <c r="AI27">
        <v>5</v>
      </c>
      <c r="AJ27">
        <v>3</v>
      </c>
      <c r="AK27">
        <v>23</v>
      </c>
      <c r="AL27" t="s">
        <v>638</v>
      </c>
      <c r="AM27" t="s">
        <v>439</v>
      </c>
      <c r="AN27" t="s">
        <v>639</v>
      </c>
      <c r="AO27" t="s">
        <v>613</v>
      </c>
      <c r="AP27" t="s">
        <v>614</v>
      </c>
      <c r="AQ27" t="s">
        <v>74</v>
      </c>
      <c r="AR27" t="s">
        <v>615</v>
      </c>
      <c r="AS27" t="s">
        <v>616</v>
      </c>
      <c r="AT27" t="s">
        <v>98</v>
      </c>
      <c r="AU27">
        <v>2019</v>
      </c>
      <c r="AV27">
        <v>197</v>
      </c>
      <c r="AW27" t="s">
        <v>74</v>
      </c>
      <c r="AX27" t="s">
        <v>74</v>
      </c>
      <c r="AY27" t="s">
        <v>74</v>
      </c>
      <c r="AZ27" t="s">
        <v>74</v>
      </c>
      <c r="BA27" t="s">
        <v>74</v>
      </c>
      <c r="BB27" t="s">
        <v>74</v>
      </c>
      <c r="BC27" t="s">
        <v>74</v>
      </c>
      <c r="BD27">
        <v>103179</v>
      </c>
      <c r="BE27" t="s">
        <v>640</v>
      </c>
      <c r="BF27" t="str">
        <f>HYPERLINK("http://dx.doi.org/10.1016/j.jmarsys.2019.05.005","http://dx.doi.org/10.1016/j.jmarsys.2019.05.005")</f>
        <v>http://dx.doi.org/10.1016/j.jmarsys.2019.05.005</v>
      </c>
      <c r="BG27" t="s">
        <v>74</v>
      </c>
      <c r="BH27" t="s">
        <v>74</v>
      </c>
      <c r="BI27">
        <v>9</v>
      </c>
      <c r="BJ27" t="s">
        <v>618</v>
      </c>
      <c r="BK27" t="s">
        <v>101</v>
      </c>
      <c r="BL27" t="s">
        <v>619</v>
      </c>
      <c r="BM27" t="s">
        <v>620</v>
      </c>
      <c r="BN27" t="s">
        <v>74</v>
      </c>
      <c r="BO27" t="s">
        <v>74</v>
      </c>
      <c r="BP27" t="s">
        <v>74</v>
      </c>
      <c r="BQ27" t="s">
        <v>74</v>
      </c>
      <c r="BR27" t="s">
        <v>103</v>
      </c>
      <c r="BS27" t="s">
        <v>641</v>
      </c>
      <c r="BT27" t="str">
        <f>HYPERLINK("https%3A%2F%2Fwww.webofscience.com%2Fwos%2Fwoscc%2Ffull-record%2FWOS:000475993900006","View Full Record in Web of Science")</f>
        <v>View Full Record in Web of Science</v>
      </c>
    </row>
    <row r="28" spans="1:72" x14ac:dyDescent="0.15">
      <c r="A28" t="s">
        <v>72</v>
      </c>
      <c r="B28" t="s">
        <v>642</v>
      </c>
      <c r="C28" t="s">
        <v>74</v>
      </c>
      <c r="D28" t="s">
        <v>74</v>
      </c>
      <c r="E28" t="s">
        <v>74</v>
      </c>
      <c r="F28" t="s">
        <v>643</v>
      </c>
      <c r="G28" t="s">
        <v>74</v>
      </c>
      <c r="H28" t="s">
        <v>74</v>
      </c>
      <c r="I28" t="s">
        <v>644</v>
      </c>
      <c r="J28" t="s">
        <v>645</v>
      </c>
      <c r="K28" t="s">
        <v>74</v>
      </c>
      <c r="L28" t="s">
        <v>74</v>
      </c>
      <c r="M28" t="s">
        <v>78</v>
      </c>
      <c r="N28" t="s">
        <v>108</v>
      </c>
      <c r="O28" t="s">
        <v>74</v>
      </c>
      <c r="P28" t="s">
        <v>74</v>
      </c>
      <c r="Q28" t="s">
        <v>74</v>
      </c>
      <c r="R28" t="s">
        <v>74</v>
      </c>
      <c r="S28" t="s">
        <v>74</v>
      </c>
      <c r="T28" t="s">
        <v>646</v>
      </c>
      <c r="U28" t="s">
        <v>647</v>
      </c>
      <c r="V28" t="s">
        <v>648</v>
      </c>
      <c r="W28" t="s">
        <v>649</v>
      </c>
      <c r="X28" t="s">
        <v>650</v>
      </c>
      <c r="Y28" t="s">
        <v>651</v>
      </c>
      <c r="Z28" t="s">
        <v>652</v>
      </c>
      <c r="AA28" t="s">
        <v>74</v>
      </c>
      <c r="AB28" t="s">
        <v>74</v>
      </c>
      <c r="AC28" t="s">
        <v>653</v>
      </c>
      <c r="AD28" t="s">
        <v>654</v>
      </c>
      <c r="AE28" t="s">
        <v>655</v>
      </c>
      <c r="AF28" t="s">
        <v>74</v>
      </c>
      <c r="AG28">
        <v>66</v>
      </c>
      <c r="AH28">
        <v>10</v>
      </c>
      <c r="AI28">
        <v>13</v>
      </c>
      <c r="AJ28">
        <v>2</v>
      </c>
      <c r="AK28">
        <v>23</v>
      </c>
      <c r="AL28" t="s">
        <v>656</v>
      </c>
      <c r="AM28" t="s">
        <v>657</v>
      </c>
      <c r="AN28" t="s">
        <v>658</v>
      </c>
      <c r="AO28" t="s">
        <v>659</v>
      </c>
      <c r="AP28" t="s">
        <v>660</v>
      </c>
      <c r="AQ28" t="s">
        <v>74</v>
      </c>
      <c r="AR28" t="s">
        <v>661</v>
      </c>
      <c r="AS28" t="s">
        <v>662</v>
      </c>
      <c r="AT28" t="s">
        <v>98</v>
      </c>
      <c r="AU28">
        <v>2019</v>
      </c>
      <c r="AV28">
        <v>101</v>
      </c>
      <c r="AW28" t="s">
        <v>74</v>
      </c>
      <c r="AX28" t="s">
        <v>74</v>
      </c>
      <c r="AY28" t="s">
        <v>74</v>
      </c>
      <c r="AZ28" t="s">
        <v>74</v>
      </c>
      <c r="BA28" t="s">
        <v>74</v>
      </c>
      <c r="BB28">
        <v>1</v>
      </c>
      <c r="BC28">
        <v>16</v>
      </c>
      <c r="BD28" t="s">
        <v>74</v>
      </c>
      <c r="BE28" t="s">
        <v>663</v>
      </c>
      <c r="BF28" t="str">
        <f>HYPERLINK("http://dx.doi.org/10.1016/j.cretres.2019.04.003","http://dx.doi.org/10.1016/j.cretres.2019.04.003")</f>
        <v>http://dx.doi.org/10.1016/j.cretres.2019.04.003</v>
      </c>
      <c r="BG28" t="s">
        <v>74</v>
      </c>
      <c r="BH28" t="s">
        <v>74</v>
      </c>
      <c r="BI28">
        <v>16</v>
      </c>
      <c r="BJ28" t="s">
        <v>664</v>
      </c>
      <c r="BK28" t="s">
        <v>101</v>
      </c>
      <c r="BL28" t="s">
        <v>664</v>
      </c>
      <c r="BM28" t="s">
        <v>665</v>
      </c>
      <c r="BN28" t="s">
        <v>74</v>
      </c>
      <c r="BO28" t="s">
        <v>537</v>
      </c>
      <c r="BP28" t="s">
        <v>74</v>
      </c>
      <c r="BQ28" t="s">
        <v>74</v>
      </c>
      <c r="BR28" t="s">
        <v>103</v>
      </c>
      <c r="BS28" t="s">
        <v>666</v>
      </c>
      <c r="BT28" t="str">
        <f>HYPERLINK("https%3A%2F%2Fwww.webofscience.com%2Fwos%2Fwoscc%2Ffull-record%2FWOS:000474325200001","View Full Record in Web of Science")</f>
        <v>View Full Record in Web of Science</v>
      </c>
    </row>
    <row r="29" spans="1:72" x14ac:dyDescent="0.15">
      <c r="A29" t="s">
        <v>72</v>
      </c>
      <c r="B29" t="s">
        <v>667</v>
      </c>
      <c r="C29" t="s">
        <v>74</v>
      </c>
      <c r="D29" t="s">
        <v>74</v>
      </c>
      <c r="E29" t="s">
        <v>74</v>
      </c>
      <c r="F29" t="s">
        <v>668</v>
      </c>
      <c r="G29" t="s">
        <v>74</v>
      </c>
      <c r="H29" t="s">
        <v>74</v>
      </c>
      <c r="I29" t="s">
        <v>669</v>
      </c>
      <c r="J29" t="s">
        <v>670</v>
      </c>
      <c r="K29" t="s">
        <v>74</v>
      </c>
      <c r="L29" t="s">
        <v>74</v>
      </c>
      <c r="M29" t="s">
        <v>78</v>
      </c>
      <c r="N29" t="s">
        <v>108</v>
      </c>
      <c r="O29" t="s">
        <v>74</v>
      </c>
      <c r="P29" t="s">
        <v>74</v>
      </c>
      <c r="Q29" t="s">
        <v>74</v>
      </c>
      <c r="R29" t="s">
        <v>74</v>
      </c>
      <c r="S29" t="s">
        <v>74</v>
      </c>
      <c r="T29" t="s">
        <v>671</v>
      </c>
      <c r="U29" t="s">
        <v>672</v>
      </c>
      <c r="V29" t="s">
        <v>673</v>
      </c>
      <c r="W29" t="s">
        <v>674</v>
      </c>
      <c r="X29" t="s">
        <v>675</v>
      </c>
      <c r="Y29" t="s">
        <v>676</v>
      </c>
      <c r="Z29" t="s">
        <v>677</v>
      </c>
      <c r="AA29" t="s">
        <v>678</v>
      </c>
      <c r="AB29" t="s">
        <v>679</v>
      </c>
      <c r="AC29" t="s">
        <v>74</v>
      </c>
      <c r="AD29" t="s">
        <v>74</v>
      </c>
      <c r="AE29" t="s">
        <v>74</v>
      </c>
      <c r="AF29" t="s">
        <v>74</v>
      </c>
      <c r="AG29">
        <v>30</v>
      </c>
      <c r="AH29">
        <v>15</v>
      </c>
      <c r="AI29">
        <v>17</v>
      </c>
      <c r="AJ29">
        <v>0</v>
      </c>
      <c r="AK29">
        <v>15</v>
      </c>
      <c r="AL29" t="s">
        <v>92</v>
      </c>
      <c r="AM29" t="s">
        <v>93</v>
      </c>
      <c r="AN29" t="s">
        <v>94</v>
      </c>
      <c r="AO29" t="s">
        <v>680</v>
      </c>
      <c r="AP29" t="s">
        <v>681</v>
      </c>
      <c r="AQ29" t="s">
        <v>74</v>
      </c>
      <c r="AR29" t="s">
        <v>682</v>
      </c>
      <c r="AS29" t="s">
        <v>683</v>
      </c>
      <c r="AT29" t="s">
        <v>469</v>
      </c>
      <c r="AU29">
        <v>2019</v>
      </c>
      <c r="AV29">
        <v>190</v>
      </c>
      <c r="AW29" t="s">
        <v>74</v>
      </c>
      <c r="AX29" t="s">
        <v>74</v>
      </c>
      <c r="AY29" t="s">
        <v>74</v>
      </c>
      <c r="AZ29" t="s">
        <v>74</v>
      </c>
      <c r="BA29" t="s">
        <v>74</v>
      </c>
      <c r="BB29">
        <v>1</v>
      </c>
      <c r="BC29">
        <v>5</v>
      </c>
      <c r="BD29" t="s">
        <v>74</v>
      </c>
      <c r="BE29" t="s">
        <v>684</v>
      </c>
      <c r="BF29" t="str">
        <f>HYPERLINK("http://dx.doi.org/10.1016/j.jastp.2019.04.016","http://dx.doi.org/10.1016/j.jastp.2019.04.016")</f>
        <v>http://dx.doi.org/10.1016/j.jastp.2019.04.016</v>
      </c>
      <c r="BG29" t="s">
        <v>74</v>
      </c>
      <c r="BH29" t="s">
        <v>74</v>
      </c>
      <c r="BI29">
        <v>5</v>
      </c>
      <c r="BJ29" t="s">
        <v>685</v>
      </c>
      <c r="BK29" t="s">
        <v>101</v>
      </c>
      <c r="BL29" t="s">
        <v>685</v>
      </c>
      <c r="BM29" t="s">
        <v>686</v>
      </c>
      <c r="BN29" t="s">
        <v>74</v>
      </c>
      <c r="BO29" t="s">
        <v>74</v>
      </c>
      <c r="BP29" t="s">
        <v>74</v>
      </c>
      <c r="BQ29" t="s">
        <v>74</v>
      </c>
      <c r="BR29" t="s">
        <v>103</v>
      </c>
      <c r="BS29" t="s">
        <v>687</v>
      </c>
      <c r="BT29" t="str">
        <f>HYPERLINK("https%3A%2F%2Fwww.webofscience.com%2Fwos%2Fwoscc%2Ffull-record%2FWOS:000474680400001","View Full Record in Web of Science")</f>
        <v>View Full Record in Web of Science</v>
      </c>
    </row>
    <row r="30" spans="1:72" x14ac:dyDescent="0.15">
      <c r="A30" t="s">
        <v>72</v>
      </c>
      <c r="B30" t="s">
        <v>688</v>
      </c>
      <c r="C30" t="s">
        <v>74</v>
      </c>
      <c r="D30" t="s">
        <v>74</v>
      </c>
      <c r="E30" t="s">
        <v>74</v>
      </c>
      <c r="F30" t="s">
        <v>689</v>
      </c>
      <c r="G30" t="s">
        <v>74</v>
      </c>
      <c r="H30" t="s">
        <v>74</v>
      </c>
      <c r="I30" t="s">
        <v>690</v>
      </c>
      <c r="J30" t="s">
        <v>691</v>
      </c>
      <c r="K30" t="s">
        <v>74</v>
      </c>
      <c r="L30" t="s">
        <v>74</v>
      </c>
      <c r="M30" t="s">
        <v>78</v>
      </c>
      <c r="N30" t="s">
        <v>108</v>
      </c>
      <c r="O30" t="s">
        <v>74</v>
      </c>
      <c r="P30" t="s">
        <v>74</v>
      </c>
      <c r="Q30" t="s">
        <v>74</v>
      </c>
      <c r="R30" t="s">
        <v>74</v>
      </c>
      <c r="S30" t="s">
        <v>74</v>
      </c>
      <c r="T30" t="s">
        <v>692</v>
      </c>
      <c r="U30" t="s">
        <v>693</v>
      </c>
      <c r="V30" t="s">
        <v>694</v>
      </c>
      <c r="W30" t="s">
        <v>695</v>
      </c>
      <c r="X30" t="s">
        <v>696</v>
      </c>
      <c r="Y30" t="s">
        <v>697</v>
      </c>
      <c r="Z30" t="s">
        <v>698</v>
      </c>
      <c r="AA30" t="s">
        <v>699</v>
      </c>
      <c r="AB30" t="s">
        <v>700</v>
      </c>
      <c r="AC30" t="s">
        <v>701</v>
      </c>
      <c r="AD30" t="s">
        <v>701</v>
      </c>
      <c r="AE30" t="s">
        <v>702</v>
      </c>
      <c r="AF30" t="s">
        <v>74</v>
      </c>
      <c r="AG30">
        <v>68</v>
      </c>
      <c r="AH30">
        <v>8</v>
      </c>
      <c r="AI30">
        <v>8</v>
      </c>
      <c r="AJ30">
        <v>1</v>
      </c>
      <c r="AK30">
        <v>50</v>
      </c>
      <c r="AL30" t="s">
        <v>92</v>
      </c>
      <c r="AM30" t="s">
        <v>93</v>
      </c>
      <c r="AN30" t="s">
        <v>94</v>
      </c>
      <c r="AO30" t="s">
        <v>703</v>
      </c>
      <c r="AP30" t="s">
        <v>74</v>
      </c>
      <c r="AQ30" t="s">
        <v>74</v>
      </c>
      <c r="AR30" t="s">
        <v>704</v>
      </c>
      <c r="AS30" t="s">
        <v>705</v>
      </c>
      <c r="AT30" t="s">
        <v>469</v>
      </c>
      <c r="AU30">
        <v>2019</v>
      </c>
      <c r="AV30">
        <v>160</v>
      </c>
      <c r="AW30" t="s">
        <v>74</v>
      </c>
      <c r="AX30" t="s">
        <v>74</v>
      </c>
      <c r="AY30" t="s">
        <v>74</v>
      </c>
      <c r="AZ30" t="s">
        <v>74</v>
      </c>
      <c r="BA30" t="s">
        <v>74</v>
      </c>
      <c r="BB30">
        <v>39</v>
      </c>
      <c r="BC30">
        <v>51</v>
      </c>
      <c r="BD30" t="s">
        <v>74</v>
      </c>
      <c r="BE30" t="s">
        <v>706</v>
      </c>
      <c r="BF30" t="str">
        <f>HYPERLINK("http://dx.doi.org/10.1016/j.watres.2019.05.035","http://dx.doi.org/10.1016/j.watres.2019.05.035")</f>
        <v>http://dx.doi.org/10.1016/j.watres.2019.05.035</v>
      </c>
      <c r="BG30" t="s">
        <v>74</v>
      </c>
      <c r="BH30" t="s">
        <v>74</v>
      </c>
      <c r="BI30">
        <v>13</v>
      </c>
      <c r="BJ30" t="s">
        <v>707</v>
      </c>
      <c r="BK30" t="s">
        <v>101</v>
      </c>
      <c r="BL30" t="s">
        <v>708</v>
      </c>
      <c r="BM30" t="s">
        <v>709</v>
      </c>
      <c r="BN30">
        <v>31129380</v>
      </c>
      <c r="BO30" t="s">
        <v>164</v>
      </c>
      <c r="BP30" t="s">
        <v>74</v>
      </c>
      <c r="BQ30" t="s">
        <v>74</v>
      </c>
      <c r="BR30" t="s">
        <v>103</v>
      </c>
      <c r="BS30" t="s">
        <v>710</v>
      </c>
      <c r="BT30" t="str">
        <f>HYPERLINK("https%3A%2F%2Fwww.webofscience.com%2Fwos%2Fwoscc%2Ffull-record%2FWOS:000474327700005","View Full Record in Web of Science")</f>
        <v>View Full Record in Web of Science</v>
      </c>
    </row>
    <row r="31" spans="1:72" x14ac:dyDescent="0.15">
      <c r="A31" t="s">
        <v>72</v>
      </c>
      <c r="B31" t="s">
        <v>711</v>
      </c>
      <c r="C31" t="s">
        <v>74</v>
      </c>
      <c r="D31" t="s">
        <v>74</v>
      </c>
      <c r="E31" t="s">
        <v>74</v>
      </c>
      <c r="F31" t="s">
        <v>712</v>
      </c>
      <c r="G31" t="s">
        <v>74</v>
      </c>
      <c r="H31" t="s">
        <v>74</v>
      </c>
      <c r="I31" t="s">
        <v>713</v>
      </c>
      <c r="J31" t="s">
        <v>714</v>
      </c>
      <c r="K31" t="s">
        <v>74</v>
      </c>
      <c r="L31" t="s">
        <v>74</v>
      </c>
      <c r="M31" t="s">
        <v>78</v>
      </c>
      <c r="N31" t="s">
        <v>108</v>
      </c>
      <c r="O31" t="s">
        <v>74</v>
      </c>
      <c r="P31" t="s">
        <v>74</v>
      </c>
      <c r="Q31" t="s">
        <v>74</v>
      </c>
      <c r="R31" t="s">
        <v>74</v>
      </c>
      <c r="S31" t="s">
        <v>74</v>
      </c>
      <c r="T31" t="s">
        <v>715</v>
      </c>
      <c r="U31" t="s">
        <v>716</v>
      </c>
      <c r="V31" t="s">
        <v>717</v>
      </c>
      <c r="W31" t="s">
        <v>718</v>
      </c>
      <c r="X31" t="s">
        <v>719</v>
      </c>
      <c r="Y31" t="s">
        <v>720</v>
      </c>
      <c r="Z31" t="s">
        <v>721</v>
      </c>
      <c r="AA31" t="s">
        <v>722</v>
      </c>
      <c r="AB31" t="s">
        <v>723</v>
      </c>
      <c r="AC31" t="s">
        <v>724</v>
      </c>
      <c r="AD31" t="s">
        <v>724</v>
      </c>
      <c r="AE31" t="s">
        <v>725</v>
      </c>
      <c r="AF31" t="s">
        <v>74</v>
      </c>
      <c r="AG31">
        <v>40</v>
      </c>
      <c r="AH31">
        <v>10</v>
      </c>
      <c r="AI31">
        <v>11</v>
      </c>
      <c r="AJ31">
        <v>1</v>
      </c>
      <c r="AK31">
        <v>13</v>
      </c>
      <c r="AL31" t="s">
        <v>638</v>
      </c>
      <c r="AM31" t="s">
        <v>439</v>
      </c>
      <c r="AN31" t="s">
        <v>639</v>
      </c>
      <c r="AO31" t="s">
        <v>726</v>
      </c>
      <c r="AP31" t="s">
        <v>727</v>
      </c>
      <c r="AQ31" t="s">
        <v>74</v>
      </c>
      <c r="AR31" t="s">
        <v>728</v>
      </c>
      <c r="AS31" t="s">
        <v>729</v>
      </c>
      <c r="AT31" t="s">
        <v>98</v>
      </c>
      <c r="AU31">
        <v>2019</v>
      </c>
      <c r="AV31">
        <v>217</v>
      </c>
      <c r="AW31" t="s">
        <v>74</v>
      </c>
      <c r="AX31" t="s">
        <v>74</v>
      </c>
      <c r="AY31" t="s">
        <v>74</v>
      </c>
      <c r="AZ31" t="s">
        <v>730</v>
      </c>
      <c r="BA31" t="s">
        <v>74</v>
      </c>
      <c r="BB31">
        <v>98</v>
      </c>
      <c r="BC31">
        <v>107</v>
      </c>
      <c r="BD31" t="s">
        <v>74</v>
      </c>
      <c r="BE31" t="s">
        <v>731</v>
      </c>
      <c r="BF31" t="str">
        <f>HYPERLINK("http://dx.doi.org/10.1016/j.fishres.2018.09.027","http://dx.doi.org/10.1016/j.fishres.2018.09.027")</f>
        <v>http://dx.doi.org/10.1016/j.fishres.2018.09.027</v>
      </c>
      <c r="BG31" t="s">
        <v>74</v>
      </c>
      <c r="BH31" t="s">
        <v>74</v>
      </c>
      <c r="BI31">
        <v>10</v>
      </c>
      <c r="BJ31" t="s">
        <v>732</v>
      </c>
      <c r="BK31" t="s">
        <v>101</v>
      </c>
      <c r="BL31" t="s">
        <v>732</v>
      </c>
      <c r="BM31" t="s">
        <v>733</v>
      </c>
      <c r="BN31" t="s">
        <v>74</v>
      </c>
      <c r="BO31" t="s">
        <v>537</v>
      </c>
      <c r="BP31" t="s">
        <v>74</v>
      </c>
      <c r="BQ31" t="s">
        <v>74</v>
      </c>
      <c r="BR31" t="s">
        <v>103</v>
      </c>
      <c r="BS31" t="s">
        <v>734</v>
      </c>
      <c r="BT31" t="str">
        <f>HYPERLINK("https%3A%2F%2Fwww.webofscience.com%2Fwos%2Fwoscc%2Ffull-record%2FWOS:000473841400010","View Full Record in Web of Science")</f>
        <v>View Full Record in Web of Science</v>
      </c>
    </row>
    <row r="32" spans="1:72" x14ac:dyDescent="0.15">
      <c r="A32" t="s">
        <v>72</v>
      </c>
      <c r="B32" t="s">
        <v>735</v>
      </c>
      <c r="C32" t="s">
        <v>74</v>
      </c>
      <c r="D32" t="s">
        <v>74</v>
      </c>
      <c r="E32" t="s">
        <v>74</v>
      </c>
      <c r="F32" t="s">
        <v>736</v>
      </c>
      <c r="G32" t="s">
        <v>74</v>
      </c>
      <c r="H32" t="s">
        <v>74</v>
      </c>
      <c r="I32" t="s">
        <v>737</v>
      </c>
      <c r="J32" t="s">
        <v>714</v>
      </c>
      <c r="K32" t="s">
        <v>74</v>
      </c>
      <c r="L32" t="s">
        <v>74</v>
      </c>
      <c r="M32" t="s">
        <v>78</v>
      </c>
      <c r="N32" t="s">
        <v>79</v>
      </c>
      <c r="O32" t="s">
        <v>74</v>
      </c>
      <c r="P32" t="s">
        <v>74</v>
      </c>
      <c r="Q32" t="s">
        <v>74</v>
      </c>
      <c r="R32" t="s">
        <v>74</v>
      </c>
      <c r="S32" t="s">
        <v>74</v>
      </c>
      <c r="T32" t="s">
        <v>738</v>
      </c>
      <c r="U32" t="s">
        <v>739</v>
      </c>
      <c r="V32" t="s">
        <v>740</v>
      </c>
      <c r="W32" t="s">
        <v>741</v>
      </c>
      <c r="X32" t="s">
        <v>742</v>
      </c>
      <c r="Y32" t="s">
        <v>743</v>
      </c>
      <c r="Z32" t="s">
        <v>744</v>
      </c>
      <c r="AA32" t="s">
        <v>74</v>
      </c>
      <c r="AB32" t="s">
        <v>74</v>
      </c>
      <c r="AC32" t="s">
        <v>745</v>
      </c>
      <c r="AD32" t="s">
        <v>746</v>
      </c>
      <c r="AE32" t="s">
        <v>747</v>
      </c>
      <c r="AF32" t="s">
        <v>74</v>
      </c>
      <c r="AG32">
        <v>90</v>
      </c>
      <c r="AH32">
        <v>18</v>
      </c>
      <c r="AI32">
        <v>20</v>
      </c>
      <c r="AJ32">
        <v>0</v>
      </c>
      <c r="AK32">
        <v>8</v>
      </c>
      <c r="AL32" t="s">
        <v>638</v>
      </c>
      <c r="AM32" t="s">
        <v>439</v>
      </c>
      <c r="AN32" t="s">
        <v>639</v>
      </c>
      <c r="AO32" t="s">
        <v>726</v>
      </c>
      <c r="AP32" t="s">
        <v>727</v>
      </c>
      <c r="AQ32" t="s">
        <v>74</v>
      </c>
      <c r="AR32" t="s">
        <v>728</v>
      </c>
      <c r="AS32" t="s">
        <v>729</v>
      </c>
      <c r="AT32" t="s">
        <v>98</v>
      </c>
      <c r="AU32">
        <v>2019</v>
      </c>
      <c r="AV32">
        <v>217</v>
      </c>
      <c r="AW32" t="s">
        <v>74</v>
      </c>
      <c r="AX32" t="s">
        <v>74</v>
      </c>
      <c r="AY32" t="s">
        <v>74</v>
      </c>
      <c r="AZ32" t="s">
        <v>730</v>
      </c>
      <c r="BA32" t="s">
        <v>74</v>
      </c>
      <c r="BB32">
        <v>140</v>
      </c>
      <c r="BC32">
        <v>155</v>
      </c>
      <c r="BD32" t="s">
        <v>74</v>
      </c>
      <c r="BE32" t="s">
        <v>748</v>
      </c>
      <c r="BF32" t="str">
        <f>HYPERLINK("http://dx.doi.org/10.1016/j.fishres.2017.08.021","http://dx.doi.org/10.1016/j.fishres.2017.08.021")</f>
        <v>http://dx.doi.org/10.1016/j.fishres.2017.08.021</v>
      </c>
      <c r="BG32" t="s">
        <v>74</v>
      </c>
      <c r="BH32" t="s">
        <v>74</v>
      </c>
      <c r="BI32">
        <v>16</v>
      </c>
      <c r="BJ32" t="s">
        <v>732</v>
      </c>
      <c r="BK32" t="s">
        <v>101</v>
      </c>
      <c r="BL32" t="s">
        <v>732</v>
      </c>
      <c r="BM32" t="s">
        <v>733</v>
      </c>
      <c r="BN32" t="s">
        <v>74</v>
      </c>
      <c r="BO32" t="s">
        <v>537</v>
      </c>
      <c r="BP32" t="s">
        <v>74</v>
      </c>
      <c r="BQ32" t="s">
        <v>74</v>
      </c>
      <c r="BR32" t="s">
        <v>103</v>
      </c>
      <c r="BS32" t="s">
        <v>749</v>
      </c>
      <c r="BT32" t="str">
        <f>HYPERLINK("https%3A%2F%2Fwww.webofscience.com%2Fwos%2Fwoscc%2Ffull-record%2FWOS:000473841400014","View Full Record in Web of Science")</f>
        <v>View Full Record in Web of Science</v>
      </c>
    </row>
    <row r="33" spans="1:72" x14ac:dyDescent="0.15">
      <c r="A33" t="s">
        <v>72</v>
      </c>
      <c r="B33" t="s">
        <v>750</v>
      </c>
      <c r="C33" t="s">
        <v>74</v>
      </c>
      <c r="D33" t="s">
        <v>74</v>
      </c>
      <c r="E33" t="s">
        <v>74</v>
      </c>
      <c r="F33" t="s">
        <v>751</v>
      </c>
      <c r="G33" t="s">
        <v>74</v>
      </c>
      <c r="H33" t="s">
        <v>74</v>
      </c>
      <c r="I33" t="s">
        <v>752</v>
      </c>
      <c r="J33" t="s">
        <v>753</v>
      </c>
      <c r="K33" t="s">
        <v>74</v>
      </c>
      <c r="L33" t="s">
        <v>74</v>
      </c>
      <c r="M33" t="s">
        <v>78</v>
      </c>
      <c r="N33" t="s">
        <v>108</v>
      </c>
      <c r="O33" t="s">
        <v>74</v>
      </c>
      <c r="P33" t="s">
        <v>74</v>
      </c>
      <c r="Q33" t="s">
        <v>74</v>
      </c>
      <c r="R33" t="s">
        <v>74</v>
      </c>
      <c r="S33" t="s">
        <v>74</v>
      </c>
      <c r="T33" t="s">
        <v>754</v>
      </c>
      <c r="U33" t="s">
        <v>755</v>
      </c>
      <c r="V33" t="s">
        <v>756</v>
      </c>
      <c r="W33" t="s">
        <v>757</v>
      </c>
      <c r="X33" t="s">
        <v>758</v>
      </c>
      <c r="Y33" t="s">
        <v>759</v>
      </c>
      <c r="Z33" t="s">
        <v>760</v>
      </c>
      <c r="AA33" t="s">
        <v>761</v>
      </c>
      <c r="AB33" t="s">
        <v>762</v>
      </c>
      <c r="AC33" t="s">
        <v>763</v>
      </c>
      <c r="AD33" t="s">
        <v>764</v>
      </c>
      <c r="AE33" t="s">
        <v>765</v>
      </c>
      <c r="AF33" t="s">
        <v>74</v>
      </c>
      <c r="AG33">
        <v>71</v>
      </c>
      <c r="AH33">
        <v>9</v>
      </c>
      <c r="AI33">
        <v>10</v>
      </c>
      <c r="AJ33">
        <v>9</v>
      </c>
      <c r="AK33">
        <v>35</v>
      </c>
      <c r="AL33" t="s">
        <v>438</v>
      </c>
      <c r="AM33" t="s">
        <v>439</v>
      </c>
      <c r="AN33" t="s">
        <v>440</v>
      </c>
      <c r="AO33" t="s">
        <v>766</v>
      </c>
      <c r="AP33" t="s">
        <v>767</v>
      </c>
      <c r="AQ33" t="s">
        <v>74</v>
      </c>
      <c r="AR33" t="s">
        <v>753</v>
      </c>
      <c r="AS33" t="s">
        <v>768</v>
      </c>
      <c r="AT33" t="s">
        <v>469</v>
      </c>
      <c r="AU33">
        <v>2019</v>
      </c>
      <c r="AV33">
        <v>202</v>
      </c>
      <c r="AW33" t="s">
        <v>74</v>
      </c>
      <c r="AX33" t="s">
        <v>74</v>
      </c>
      <c r="AY33" t="s">
        <v>74</v>
      </c>
      <c r="AZ33" t="s">
        <v>74</v>
      </c>
      <c r="BA33" t="s">
        <v>74</v>
      </c>
      <c r="BB33">
        <v>600</v>
      </c>
      <c r="BC33">
        <v>609</v>
      </c>
      <c r="BD33" t="s">
        <v>74</v>
      </c>
      <c r="BE33" t="s">
        <v>769</v>
      </c>
      <c r="BF33" t="str">
        <f>HYPERLINK("http://dx.doi.org/10.1016/j.talanta.2019.03.086","http://dx.doi.org/10.1016/j.talanta.2019.03.086")</f>
        <v>http://dx.doi.org/10.1016/j.talanta.2019.03.086</v>
      </c>
      <c r="BG33" t="s">
        <v>74</v>
      </c>
      <c r="BH33" t="s">
        <v>74</v>
      </c>
      <c r="BI33">
        <v>10</v>
      </c>
      <c r="BJ33" t="s">
        <v>770</v>
      </c>
      <c r="BK33" t="s">
        <v>101</v>
      </c>
      <c r="BL33" t="s">
        <v>771</v>
      </c>
      <c r="BM33" t="s">
        <v>772</v>
      </c>
      <c r="BN33">
        <v>31171227</v>
      </c>
      <c r="BO33" t="s">
        <v>74</v>
      </c>
      <c r="BP33" t="s">
        <v>74</v>
      </c>
      <c r="BQ33" t="s">
        <v>74</v>
      </c>
      <c r="BR33" t="s">
        <v>103</v>
      </c>
      <c r="BS33" t="s">
        <v>773</v>
      </c>
      <c r="BT33" t="str">
        <f>HYPERLINK("https%3A%2F%2Fwww.webofscience.com%2Fwos%2Fwoscc%2Ffull-record%2FWOS:000472693700075","View Full Record in Web of Science")</f>
        <v>View Full Record in Web of Science</v>
      </c>
    </row>
    <row r="34" spans="1:72" x14ac:dyDescent="0.15">
      <c r="A34" t="s">
        <v>72</v>
      </c>
      <c r="B34" t="s">
        <v>774</v>
      </c>
      <c r="C34" t="s">
        <v>74</v>
      </c>
      <c r="D34" t="s">
        <v>74</v>
      </c>
      <c r="E34" t="s">
        <v>74</v>
      </c>
      <c r="F34" t="s">
        <v>775</v>
      </c>
      <c r="G34" t="s">
        <v>74</v>
      </c>
      <c r="H34" t="s">
        <v>74</v>
      </c>
      <c r="I34" t="s">
        <v>776</v>
      </c>
      <c r="J34" t="s">
        <v>777</v>
      </c>
      <c r="K34" t="s">
        <v>74</v>
      </c>
      <c r="L34" t="s">
        <v>74</v>
      </c>
      <c r="M34" t="s">
        <v>78</v>
      </c>
      <c r="N34" t="s">
        <v>778</v>
      </c>
      <c r="O34" t="s">
        <v>779</v>
      </c>
      <c r="P34">
        <v>2018</v>
      </c>
      <c r="Q34" t="s">
        <v>780</v>
      </c>
      <c r="R34" t="s">
        <v>74</v>
      </c>
      <c r="S34" t="s">
        <v>74</v>
      </c>
      <c r="T34" t="s">
        <v>781</v>
      </c>
      <c r="U34" t="s">
        <v>782</v>
      </c>
      <c r="V34" t="s">
        <v>783</v>
      </c>
      <c r="W34" t="s">
        <v>784</v>
      </c>
      <c r="X34" t="s">
        <v>785</v>
      </c>
      <c r="Y34" t="s">
        <v>786</v>
      </c>
      <c r="Z34" t="s">
        <v>787</v>
      </c>
      <c r="AA34" t="s">
        <v>788</v>
      </c>
      <c r="AB34" t="s">
        <v>789</v>
      </c>
      <c r="AC34" t="s">
        <v>790</v>
      </c>
      <c r="AD34" t="s">
        <v>791</v>
      </c>
      <c r="AE34" t="s">
        <v>792</v>
      </c>
      <c r="AF34" t="s">
        <v>74</v>
      </c>
      <c r="AG34">
        <v>46</v>
      </c>
      <c r="AH34">
        <v>28</v>
      </c>
      <c r="AI34">
        <v>30</v>
      </c>
      <c r="AJ34">
        <v>2</v>
      </c>
      <c r="AK34">
        <v>80</v>
      </c>
      <c r="AL34" t="s">
        <v>92</v>
      </c>
      <c r="AM34" t="s">
        <v>93</v>
      </c>
      <c r="AN34" t="s">
        <v>94</v>
      </c>
      <c r="AO34" t="s">
        <v>793</v>
      </c>
      <c r="AP34" t="s">
        <v>794</v>
      </c>
      <c r="AQ34" t="s">
        <v>74</v>
      </c>
      <c r="AR34" t="s">
        <v>777</v>
      </c>
      <c r="AS34" t="s">
        <v>795</v>
      </c>
      <c r="AT34" t="s">
        <v>98</v>
      </c>
      <c r="AU34">
        <v>2019</v>
      </c>
      <c r="AV34">
        <v>231</v>
      </c>
      <c r="AW34" t="s">
        <v>74</v>
      </c>
      <c r="AX34" t="s">
        <v>74</v>
      </c>
      <c r="AY34" t="s">
        <v>74</v>
      </c>
      <c r="AZ34" t="s">
        <v>74</v>
      </c>
      <c r="BA34" t="s">
        <v>74</v>
      </c>
      <c r="BB34">
        <v>233</v>
      </c>
      <c r="BC34">
        <v>239</v>
      </c>
      <c r="BD34" t="s">
        <v>74</v>
      </c>
      <c r="BE34" t="s">
        <v>796</v>
      </c>
      <c r="BF34" t="str">
        <f>HYPERLINK("http://dx.doi.org/10.1016/j.chemosphere.2019.05.126","http://dx.doi.org/10.1016/j.chemosphere.2019.05.126")</f>
        <v>http://dx.doi.org/10.1016/j.chemosphere.2019.05.126</v>
      </c>
      <c r="BG34" t="s">
        <v>74</v>
      </c>
      <c r="BH34" t="s">
        <v>74</v>
      </c>
      <c r="BI34">
        <v>7</v>
      </c>
      <c r="BJ34" t="s">
        <v>797</v>
      </c>
      <c r="BK34" t="s">
        <v>798</v>
      </c>
      <c r="BL34" t="s">
        <v>799</v>
      </c>
      <c r="BM34" t="s">
        <v>800</v>
      </c>
      <c r="BN34">
        <v>31129404</v>
      </c>
      <c r="BO34" t="s">
        <v>74</v>
      </c>
      <c r="BP34" t="s">
        <v>74</v>
      </c>
      <c r="BQ34" t="s">
        <v>74</v>
      </c>
      <c r="BR34" t="s">
        <v>103</v>
      </c>
      <c r="BS34" t="s">
        <v>801</v>
      </c>
      <c r="BT34" t="str">
        <f>HYPERLINK("https%3A%2F%2Fwww.webofscience.com%2Fwos%2Fwoscc%2Ffull-record%2FWOS:000472694200027","View Full Record in Web of Science")</f>
        <v>View Full Record in Web of Science</v>
      </c>
    </row>
    <row r="35" spans="1:72" x14ac:dyDescent="0.15">
      <c r="A35" t="s">
        <v>72</v>
      </c>
      <c r="B35" t="s">
        <v>802</v>
      </c>
      <c r="C35" t="s">
        <v>74</v>
      </c>
      <c r="D35" t="s">
        <v>74</v>
      </c>
      <c r="E35" t="s">
        <v>74</v>
      </c>
      <c r="F35" t="s">
        <v>803</v>
      </c>
      <c r="G35" t="s">
        <v>74</v>
      </c>
      <c r="H35" t="s">
        <v>74</v>
      </c>
      <c r="I35" t="s">
        <v>804</v>
      </c>
      <c r="J35" t="s">
        <v>805</v>
      </c>
      <c r="K35" t="s">
        <v>74</v>
      </c>
      <c r="L35" t="s">
        <v>74</v>
      </c>
      <c r="M35" t="s">
        <v>78</v>
      </c>
      <c r="N35" t="s">
        <v>108</v>
      </c>
      <c r="O35" t="s">
        <v>74</v>
      </c>
      <c r="P35" t="s">
        <v>74</v>
      </c>
      <c r="Q35" t="s">
        <v>74</v>
      </c>
      <c r="R35" t="s">
        <v>74</v>
      </c>
      <c r="S35" t="s">
        <v>74</v>
      </c>
      <c r="T35" t="s">
        <v>806</v>
      </c>
      <c r="U35" t="s">
        <v>807</v>
      </c>
      <c r="V35" t="s">
        <v>808</v>
      </c>
      <c r="W35" t="s">
        <v>809</v>
      </c>
      <c r="X35" t="s">
        <v>810</v>
      </c>
      <c r="Y35" t="s">
        <v>811</v>
      </c>
      <c r="Z35" t="s">
        <v>812</v>
      </c>
      <c r="AA35" t="s">
        <v>813</v>
      </c>
      <c r="AB35" t="s">
        <v>814</v>
      </c>
      <c r="AC35" t="s">
        <v>815</v>
      </c>
      <c r="AD35" t="s">
        <v>816</v>
      </c>
      <c r="AE35" t="s">
        <v>817</v>
      </c>
      <c r="AF35" t="s">
        <v>74</v>
      </c>
      <c r="AG35">
        <v>95</v>
      </c>
      <c r="AH35">
        <v>10</v>
      </c>
      <c r="AI35">
        <v>10</v>
      </c>
      <c r="AJ35">
        <v>0</v>
      </c>
      <c r="AK35">
        <v>35</v>
      </c>
      <c r="AL35" t="s">
        <v>638</v>
      </c>
      <c r="AM35" t="s">
        <v>439</v>
      </c>
      <c r="AN35" t="s">
        <v>639</v>
      </c>
      <c r="AO35" t="s">
        <v>818</v>
      </c>
      <c r="AP35" t="s">
        <v>819</v>
      </c>
      <c r="AQ35" t="s">
        <v>74</v>
      </c>
      <c r="AR35" t="s">
        <v>820</v>
      </c>
      <c r="AS35" t="s">
        <v>821</v>
      </c>
      <c r="AT35" t="s">
        <v>469</v>
      </c>
      <c r="AU35">
        <v>2019</v>
      </c>
      <c r="AV35">
        <v>681</v>
      </c>
      <c r="AW35" t="s">
        <v>74</v>
      </c>
      <c r="AX35" t="s">
        <v>74</v>
      </c>
      <c r="AY35" t="s">
        <v>74</v>
      </c>
      <c r="AZ35" t="s">
        <v>74</v>
      </c>
      <c r="BA35" t="s">
        <v>74</v>
      </c>
      <c r="BB35">
        <v>379</v>
      </c>
      <c r="BC35">
        <v>391</v>
      </c>
      <c r="BD35" t="s">
        <v>74</v>
      </c>
      <c r="BE35" t="s">
        <v>822</v>
      </c>
      <c r="BF35" t="str">
        <f>HYPERLINK("http://dx.doi.org/10.1016/j.scitotenv.2019.05.096","http://dx.doi.org/10.1016/j.scitotenv.2019.05.096")</f>
        <v>http://dx.doi.org/10.1016/j.scitotenv.2019.05.096</v>
      </c>
      <c r="BG35" t="s">
        <v>74</v>
      </c>
      <c r="BH35" t="s">
        <v>74</v>
      </c>
      <c r="BI35">
        <v>13</v>
      </c>
      <c r="BJ35" t="s">
        <v>797</v>
      </c>
      <c r="BK35" t="s">
        <v>101</v>
      </c>
      <c r="BL35" t="s">
        <v>799</v>
      </c>
      <c r="BM35" t="s">
        <v>823</v>
      </c>
      <c r="BN35">
        <v>31108358</v>
      </c>
      <c r="BO35" t="s">
        <v>74</v>
      </c>
      <c r="BP35" t="s">
        <v>74</v>
      </c>
      <c r="BQ35" t="s">
        <v>74</v>
      </c>
      <c r="BR35" t="s">
        <v>103</v>
      </c>
      <c r="BS35" t="s">
        <v>824</v>
      </c>
      <c r="BT35" t="str">
        <f>HYPERLINK("https%3A%2F%2Fwww.webofscience.com%2Fwos%2Fwoscc%2Ffull-record%2FWOS:000469847200035","View Full Record in Web of Science")</f>
        <v>View Full Record in Web of Science</v>
      </c>
    </row>
    <row r="36" spans="1:72" x14ac:dyDescent="0.15">
      <c r="A36" t="s">
        <v>72</v>
      </c>
      <c r="B36" t="s">
        <v>825</v>
      </c>
      <c r="C36" t="s">
        <v>74</v>
      </c>
      <c r="D36" t="s">
        <v>74</v>
      </c>
      <c r="E36" t="s">
        <v>74</v>
      </c>
      <c r="F36" t="s">
        <v>826</v>
      </c>
      <c r="G36" t="s">
        <v>74</v>
      </c>
      <c r="H36" t="s">
        <v>74</v>
      </c>
      <c r="I36" t="s">
        <v>827</v>
      </c>
      <c r="J36" t="s">
        <v>828</v>
      </c>
      <c r="K36" t="s">
        <v>74</v>
      </c>
      <c r="L36" t="s">
        <v>74</v>
      </c>
      <c r="M36" t="s">
        <v>78</v>
      </c>
      <c r="N36" t="s">
        <v>108</v>
      </c>
      <c r="O36" t="s">
        <v>74</v>
      </c>
      <c r="P36" t="s">
        <v>74</v>
      </c>
      <c r="Q36" t="s">
        <v>74</v>
      </c>
      <c r="R36" t="s">
        <v>74</v>
      </c>
      <c r="S36" t="s">
        <v>74</v>
      </c>
      <c r="T36" t="s">
        <v>74</v>
      </c>
      <c r="U36" t="s">
        <v>829</v>
      </c>
      <c r="V36" t="s">
        <v>830</v>
      </c>
      <c r="W36" t="s">
        <v>831</v>
      </c>
      <c r="X36" t="s">
        <v>832</v>
      </c>
      <c r="Y36" t="s">
        <v>128</v>
      </c>
      <c r="Z36" t="s">
        <v>833</v>
      </c>
      <c r="AA36" t="s">
        <v>834</v>
      </c>
      <c r="AB36" t="s">
        <v>835</v>
      </c>
      <c r="AC36" t="s">
        <v>836</v>
      </c>
      <c r="AD36" t="s">
        <v>837</v>
      </c>
      <c r="AE36" t="s">
        <v>838</v>
      </c>
      <c r="AF36" t="s">
        <v>74</v>
      </c>
      <c r="AG36">
        <v>60</v>
      </c>
      <c r="AH36">
        <v>12</v>
      </c>
      <c r="AI36">
        <v>13</v>
      </c>
      <c r="AJ36">
        <v>0</v>
      </c>
      <c r="AK36">
        <v>6</v>
      </c>
      <c r="AL36" t="s">
        <v>839</v>
      </c>
      <c r="AM36" t="s">
        <v>840</v>
      </c>
      <c r="AN36" t="s">
        <v>841</v>
      </c>
      <c r="AO36" t="s">
        <v>842</v>
      </c>
      <c r="AP36" t="s">
        <v>843</v>
      </c>
      <c r="AQ36" t="s">
        <v>74</v>
      </c>
      <c r="AR36" t="s">
        <v>828</v>
      </c>
      <c r="AS36" t="s">
        <v>844</v>
      </c>
      <c r="AT36" t="s">
        <v>845</v>
      </c>
      <c r="AU36">
        <v>2019</v>
      </c>
      <c r="AV36">
        <v>16</v>
      </c>
      <c r="AW36">
        <v>16</v>
      </c>
      <c r="AX36" t="s">
        <v>74</v>
      </c>
      <c r="AY36" t="s">
        <v>74</v>
      </c>
      <c r="AZ36" t="s">
        <v>74</v>
      </c>
      <c r="BA36" t="s">
        <v>74</v>
      </c>
      <c r="BB36">
        <v>3267</v>
      </c>
      <c r="BC36">
        <v>3282</v>
      </c>
      <c r="BD36" t="s">
        <v>74</v>
      </c>
      <c r="BE36" t="s">
        <v>846</v>
      </c>
      <c r="BF36" t="str">
        <f>HYPERLINK("http://dx.doi.org/10.5194/bg-16-3267-2019","http://dx.doi.org/10.5194/bg-16-3267-2019")</f>
        <v>http://dx.doi.org/10.5194/bg-16-3267-2019</v>
      </c>
      <c r="BG36" t="s">
        <v>74</v>
      </c>
      <c r="BH36" t="s">
        <v>74</v>
      </c>
      <c r="BI36">
        <v>16</v>
      </c>
      <c r="BJ36" t="s">
        <v>847</v>
      </c>
      <c r="BK36" t="s">
        <v>101</v>
      </c>
      <c r="BL36" t="s">
        <v>848</v>
      </c>
      <c r="BM36" t="s">
        <v>849</v>
      </c>
      <c r="BN36" t="s">
        <v>74</v>
      </c>
      <c r="BO36" t="s">
        <v>850</v>
      </c>
      <c r="BP36" t="s">
        <v>74</v>
      </c>
      <c r="BQ36" t="s">
        <v>74</v>
      </c>
      <c r="BR36" t="s">
        <v>103</v>
      </c>
      <c r="BS36" t="s">
        <v>851</v>
      </c>
      <c r="BT36" t="str">
        <f>HYPERLINK("https%3A%2F%2Fwww.webofscience.com%2Fwos%2Fwoscc%2Ffull-record%2FWOS:000484052700001","View Full Record in Web of Science")</f>
        <v>View Full Record in Web of Science</v>
      </c>
    </row>
    <row r="37" spans="1:72" x14ac:dyDescent="0.15">
      <c r="A37" t="s">
        <v>72</v>
      </c>
      <c r="B37" t="s">
        <v>852</v>
      </c>
      <c r="C37" t="s">
        <v>74</v>
      </c>
      <c r="D37" t="s">
        <v>74</v>
      </c>
      <c r="E37" t="s">
        <v>74</v>
      </c>
      <c r="F37" t="s">
        <v>853</v>
      </c>
      <c r="G37" t="s">
        <v>74</v>
      </c>
      <c r="H37" t="s">
        <v>74</v>
      </c>
      <c r="I37" t="s">
        <v>854</v>
      </c>
      <c r="J37" t="s">
        <v>855</v>
      </c>
      <c r="K37" t="s">
        <v>74</v>
      </c>
      <c r="L37" t="s">
        <v>74</v>
      </c>
      <c r="M37" t="s">
        <v>78</v>
      </c>
      <c r="N37" t="s">
        <v>79</v>
      </c>
      <c r="O37" t="s">
        <v>74</v>
      </c>
      <c r="P37" t="s">
        <v>74</v>
      </c>
      <c r="Q37" t="s">
        <v>74</v>
      </c>
      <c r="R37" t="s">
        <v>74</v>
      </c>
      <c r="S37" t="s">
        <v>74</v>
      </c>
      <c r="T37" t="s">
        <v>856</v>
      </c>
      <c r="U37" t="s">
        <v>857</v>
      </c>
      <c r="V37" t="s">
        <v>858</v>
      </c>
      <c r="W37" t="s">
        <v>859</v>
      </c>
      <c r="X37" t="s">
        <v>860</v>
      </c>
      <c r="Y37" t="s">
        <v>861</v>
      </c>
      <c r="Z37" t="s">
        <v>862</v>
      </c>
      <c r="AA37" t="s">
        <v>863</v>
      </c>
      <c r="AB37" t="s">
        <v>864</v>
      </c>
      <c r="AC37" t="s">
        <v>865</v>
      </c>
      <c r="AD37" t="s">
        <v>866</v>
      </c>
      <c r="AE37" t="s">
        <v>867</v>
      </c>
      <c r="AF37" t="s">
        <v>74</v>
      </c>
      <c r="AG37">
        <v>244</v>
      </c>
      <c r="AH37">
        <v>19</v>
      </c>
      <c r="AI37">
        <v>19</v>
      </c>
      <c r="AJ37">
        <v>2</v>
      </c>
      <c r="AK37">
        <v>34</v>
      </c>
      <c r="AL37" t="s">
        <v>868</v>
      </c>
      <c r="AM37" t="s">
        <v>869</v>
      </c>
      <c r="AN37" t="s">
        <v>870</v>
      </c>
      <c r="AO37" t="s">
        <v>74</v>
      </c>
      <c r="AP37" t="s">
        <v>871</v>
      </c>
      <c r="AQ37" t="s">
        <v>74</v>
      </c>
      <c r="AR37" t="s">
        <v>872</v>
      </c>
      <c r="AS37" t="s">
        <v>873</v>
      </c>
      <c r="AT37" t="s">
        <v>874</v>
      </c>
      <c r="AU37">
        <v>2019</v>
      </c>
      <c r="AV37">
        <v>6</v>
      </c>
      <c r="AW37" t="s">
        <v>74</v>
      </c>
      <c r="AX37" t="s">
        <v>74</v>
      </c>
      <c r="AY37" t="s">
        <v>74</v>
      </c>
      <c r="AZ37" t="s">
        <v>74</v>
      </c>
      <c r="BA37" t="s">
        <v>74</v>
      </c>
      <c r="BB37" t="s">
        <v>74</v>
      </c>
      <c r="BC37" t="s">
        <v>74</v>
      </c>
      <c r="BD37">
        <v>416</v>
      </c>
      <c r="BE37" t="s">
        <v>875</v>
      </c>
      <c r="BF37" t="str">
        <f>HYPERLINK("http://dx.doi.org/10.3389/fmars.2019.00416","http://dx.doi.org/10.3389/fmars.2019.00416")</f>
        <v>http://dx.doi.org/10.3389/fmars.2019.00416</v>
      </c>
      <c r="BG37" t="s">
        <v>74</v>
      </c>
      <c r="BH37" t="s">
        <v>74</v>
      </c>
      <c r="BI37">
        <v>26</v>
      </c>
      <c r="BJ37" t="s">
        <v>876</v>
      </c>
      <c r="BK37" t="s">
        <v>101</v>
      </c>
      <c r="BL37" t="s">
        <v>877</v>
      </c>
      <c r="BM37" t="s">
        <v>878</v>
      </c>
      <c r="BN37" t="s">
        <v>74</v>
      </c>
      <c r="BO37" t="s">
        <v>879</v>
      </c>
      <c r="BP37" t="s">
        <v>74</v>
      </c>
      <c r="BQ37" t="s">
        <v>74</v>
      </c>
      <c r="BR37" t="s">
        <v>103</v>
      </c>
      <c r="BS37" t="s">
        <v>880</v>
      </c>
      <c r="BT37" t="str">
        <f>HYPERLINK("https%3A%2F%2Fwww.webofscience.com%2Fwos%2Fwoscc%2Ffull-record%2FWOS:000483055000001","View Full Record in Web of Science")</f>
        <v>View Full Record in Web of Science</v>
      </c>
    </row>
    <row r="38" spans="1:72" x14ac:dyDescent="0.15">
      <c r="A38" t="s">
        <v>72</v>
      </c>
      <c r="B38" t="s">
        <v>881</v>
      </c>
      <c r="C38" t="s">
        <v>74</v>
      </c>
      <c r="D38" t="s">
        <v>74</v>
      </c>
      <c r="E38" t="s">
        <v>74</v>
      </c>
      <c r="F38" t="s">
        <v>882</v>
      </c>
      <c r="G38" t="s">
        <v>74</v>
      </c>
      <c r="H38" t="s">
        <v>74</v>
      </c>
      <c r="I38" t="s">
        <v>883</v>
      </c>
      <c r="J38" t="s">
        <v>884</v>
      </c>
      <c r="K38" t="s">
        <v>74</v>
      </c>
      <c r="L38" t="s">
        <v>74</v>
      </c>
      <c r="M38" t="s">
        <v>78</v>
      </c>
      <c r="N38" t="s">
        <v>108</v>
      </c>
      <c r="O38" t="s">
        <v>74</v>
      </c>
      <c r="P38" t="s">
        <v>74</v>
      </c>
      <c r="Q38" t="s">
        <v>74</v>
      </c>
      <c r="R38" t="s">
        <v>74</v>
      </c>
      <c r="S38" t="s">
        <v>74</v>
      </c>
      <c r="T38" t="s">
        <v>74</v>
      </c>
      <c r="U38" t="s">
        <v>885</v>
      </c>
      <c r="V38" t="s">
        <v>886</v>
      </c>
      <c r="W38" t="s">
        <v>887</v>
      </c>
      <c r="X38" t="s">
        <v>888</v>
      </c>
      <c r="Y38" t="s">
        <v>889</v>
      </c>
      <c r="Z38" t="s">
        <v>890</v>
      </c>
      <c r="AA38" t="s">
        <v>891</v>
      </c>
      <c r="AB38" t="s">
        <v>892</v>
      </c>
      <c r="AC38" t="s">
        <v>893</v>
      </c>
      <c r="AD38" t="s">
        <v>894</v>
      </c>
      <c r="AE38" t="s">
        <v>895</v>
      </c>
      <c r="AF38" t="s">
        <v>74</v>
      </c>
      <c r="AG38">
        <v>30</v>
      </c>
      <c r="AH38">
        <v>24</v>
      </c>
      <c r="AI38">
        <v>24</v>
      </c>
      <c r="AJ38">
        <v>2</v>
      </c>
      <c r="AK38">
        <v>14</v>
      </c>
      <c r="AL38" t="s">
        <v>182</v>
      </c>
      <c r="AM38" t="s">
        <v>183</v>
      </c>
      <c r="AN38" t="s">
        <v>184</v>
      </c>
      <c r="AO38" t="s">
        <v>896</v>
      </c>
      <c r="AP38" t="s">
        <v>897</v>
      </c>
      <c r="AQ38" t="s">
        <v>74</v>
      </c>
      <c r="AR38" t="s">
        <v>898</v>
      </c>
      <c r="AS38" t="s">
        <v>899</v>
      </c>
      <c r="AT38" t="s">
        <v>900</v>
      </c>
      <c r="AU38">
        <v>2019</v>
      </c>
      <c r="AV38">
        <v>46</v>
      </c>
      <c r="AW38">
        <v>16</v>
      </c>
      <c r="AX38" t="s">
        <v>74</v>
      </c>
      <c r="AY38" t="s">
        <v>74</v>
      </c>
      <c r="AZ38" t="s">
        <v>74</v>
      </c>
      <c r="BA38" t="s">
        <v>74</v>
      </c>
      <c r="BB38">
        <v>9719</v>
      </c>
      <c r="BC38">
        <v>9727</v>
      </c>
      <c r="BD38" t="s">
        <v>74</v>
      </c>
      <c r="BE38" t="s">
        <v>901</v>
      </c>
      <c r="BF38" t="str">
        <f>HYPERLINK("http://dx.doi.org/10.1029/2019GL084096","http://dx.doi.org/10.1029/2019GL084096")</f>
        <v>http://dx.doi.org/10.1029/2019GL084096</v>
      </c>
      <c r="BG38" t="s">
        <v>74</v>
      </c>
      <c r="BH38" t="s">
        <v>74</v>
      </c>
      <c r="BI38">
        <v>9</v>
      </c>
      <c r="BJ38" t="s">
        <v>471</v>
      </c>
      <c r="BK38" t="s">
        <v>101</v>
      </c>
      <c r="BL38" t="s">
        <v>472</v>
      </c>
      <c r="BM38" t="s">
        <v>902</v>
      </c>
      <c r="BN38" t="s">
        <v>74</v>
      </c>
      <c r="BO38" t="s">
        <v>595</v>
      </c>
      <c r="BP38" t="s">
        <v>74</v>
      </c>
      <c r="BQ38" t="s">
        <v>74</v>
      </c>
      <c r="BR38" t="s">
        <v>103</v>
      </c>
      <c r="BS38" t="s">
        <v>903</v>
      </c>
      <c r="BT38" t="str">
        <f>HYPERLINK("https%3A%2F%2Fwww.webofscience.com%2Fwos%2Fwoscc%2Ffull-record%2FWOS:000490966700046","View Full Record in Web of Science")</f>
        <v>View Full Record in Web of Science</v>
      </c>
    </row>
    <row r="39" spans="1:72" x14ac:dyDescent="0.15">
      <c r="A39" t="s">
        <v>72</v>
      </c>
      <c r="B39" t="s">
        <v>904</v>
      </c>
      <c r="C39" t="s">
        <v>74</v>
      </c>
      <c r="D39" t="s">
        <v>74</v>
      </c>
      <c r="E39" t="s">
        <v>74</v>
      </c>
      <c r="F39" t="s">
        <v>905</v>
      </c>
      <c r="G39" t="s">
        <v>74</v>
      </c>
      <c r="H39" t="s">
        <v>74</v>
      </c>
      <c r="I39" t="s">
        <v>906</v>
      </c>
      <c r="J39" t="s">
        <v>884</v>
      </c>
      <c r="K39" t="s">
        <v>74</v>
      </c>
      <c r="L39" t="s">
        <v>74</v>
      </c>
      <c r="M39" t="s">
        <v>78</v>
      </c>
      <c r="N39" t="s">
        <v>108</v>
      </c>
      <c r="O39" t="s">
        <v>74</v>
      </c>
      <c r="P39" t="s">
        <v>74</v>
      </c>
      <c r="Q39" t="s">
        <v>74</v>
      </c>
      <c r="R39" t="s">
        <v>74</v>
      </c>
      <c r="S39" t="s">
        <v>74</v>
      </c>
      <c r="T39" t="s">
        <v>74</v>
      </c>
      <c r="U39" t="s">
        <v>907</v>
      </c>
      <c r="V39" t="s">
        <v>908</v>
      </c>
      <c r="W39" t="s">
        <v>909</v>
      </c>
      <c r="X39" t="s">
        <v>910</v>
      </c>
      <c r="Y39" t="s">
        <v>911</v>
      </c>
      <c r="Z39" t="s">
        <v>912</v>
      </c>
      <c r="AA39" t="s">
        <v>913</v>
      </c>
      <c r="AB39" t="s">
        <v>914</v>
      </c>
      <c r="AC39" t="s">
        <v>915</v>
      </c>
      <c r="AD39" t="s">
        <v>916</v>
      </c>
      <c r="AE39" t="s">
        <v>917</v>
      </c>
      <c r="AF39" t="s">
        <v>74</v>
      </c>
      <c r="AG39">
        <v>60</v>
      </c>
      <c r="AH39">
        <v>17</v>
      </c>
      <c r="AI39">
        <v>17</v>
      </c>
      <c r="AJ39">
        <v>1</v>
      </c>
      <c r="AK39">
        <v>8</v>
      </c>
      <c r="AL39" t="s">
        <v>182</v>
      </c>
      <c r="AM39" t="s">
        <v>183</v>
      </c>
      <c r="AN39" t="s">
        <v>184</v>
      </c>
      <c r="AO39" t="s">
        <v>896</v>
      </c>
      <c r="AP39" t="s">
        <v>897</v>
      </c>
      <c r="AQ39" t="s">
        <v>74</v>
      </c>
      <c r="AR39" t="s">
        <v>898</v>
      </c>
      <c r="AS39" t="s">
        <v>899</v>
      </c>
      <c r="AT39" t="s">
        <v>900</v>
      </c>
      <c r="AU39">
        <v>2019</v>
      </c>
      <c r="AV39">
        <v>46</v>
      </c>
      <c r="AW39">
        <v>16</v>
      </c>
      <c r="AX39" t="s">
        <v>74</v>
      </c>
      <c r="AY39" t="s">
        <v>74</v>
      </c>
      <c r="AZ39" t="s">
        <v>74</v>
      </c>
      <c r="BA39" t="s">
        <v>74</v>
      </c>
      <c r="BB39">
        <v>9824</v>
      </c>
      <c r="BC39">
        <v>9832</v>
      </c>
      <c r="BD39" t="s">
        <v>74</v>
      </c>
      <c r="BE39" t="s">
        <v>918</v>
      </c>
      <c r="BF39" t="str">
        <f>HYPERLINK("http://dx.doi.org/10.1029/2019GL083881","http://dx.doi.org/10.1029/2019GL083881")</f>
        <v>http://dx.doi.org/10.1029/2019GL083881</v>
      </c>
      <c r="BG39" t="s">
        <v>74</v>
      </c>
      <c r="BH39" t="s">
        <v>74</v>
      </c>
      <c r="BI39">
        <v>9</v>
      </c>
      <c r="BJ39" t="s">
        <v>471</v>
      </c>
      <c r="BK39" t="s">
        <v>101</v>
      </c>
      <c r="BL39" t="s">
        <v>472</v>
      </c>
      <c r="BM39" t="s">
        <v>902</v>
      </c>
      <c r="BN39" t="s">
        <v>74</v>
      </c>
      <c r="BO39" t="s">
        <v>919</v>
      </c>
      <c r="BP39" t="s">
        <v>74</v>
      </c>
      <c r="BQ39" t="s">
        <v>74</v>
      </c>
      <c r="BR39" t="s">
        <v>103</v>
      </c>
      <c r="BS39" t="s">
        <v>920</v>
      </c>
      <c r="BT39" t="str">
        <f>HYPERLINK("https%3A%2F%2Fwww.webofscience.com%2Fwos%2Fwoscc%2Ffull-record%2FWOS:000490966700057","View Full Record in Web of Science")</f>
        <v>View Full Record in Web of Science</v>
      </c>
    </row>
    <row r="40" spans="1:72" x14ac:dyDescent="0.15">
      <c r="A40" t="s">
        <v>72</v>
      </c>
      <c r="B40" t="s">
        <v>921</v>
      </c>
      <c r="C40" t="s">
        <v>74</v>
      </c>
      <c r="D40" t="s">
        <v>74</v>
      </c>
      <c r="E40" t="s">
        <v>74</v>
      </c>
      <c r="F40" t="s">
        <v>922</v>
      </c>
      <c r="G40" t="s">
        <v>74</v>
      </c>
      <c r="H40" t="s">
        <v>74</v>
      </c>
      <c r="I40" t="s">
        <v>923</v>
      </c>
      <c r="J40" t="s">
        <v>884</v>
      </c>
      <c r="K40" t="s">
        <v>74</v>
      </c>
      <c r="L40" t="s">
        <v>74</v>
      </c>
      <c r="M40" t="s">
        <v>78</v>
      </c>
      <c r="N40" t="s">
        <v>108</v>
      </c>
      <c r="O40" t="s">
        <v>74</v>
      </c>
      <c r="P40" t="s">
        <v>74</v>
      </c>
      <c r="Q40" t="s">
        <v>74</v>
      </c>
      <c r="R40" t="s">
        <v>74</v>
      </c>
      <c r="S40" t="s">
        <v>74</v>
      </c>
      <c r="T40" t="s">
        <v>74</v>
      </c>
      <c r="U40" t="s">
        <v>924</v>
      </c>
      <c r="V40" t="s">
        <v>925</v>
      </c>
      <c r="W40" t="s">
        <v>926</v>
      </c>
      <c r="X40" t="s">
        <v>927</v>
      </c>
      <c r="Y40" t="s">
        <v>928</v>
      </c>
      <c r="Z40" t="s">
        <v>929</v>
      </c>
      <c r="AA40" t="s">
        <v>930</v>
      </c>
      <c r="AB40" t="s">
        <v>931</v>
      </c>
      <c r="AC40" t="s">
        <v>932</v>
      </c>
      <c r="AD40" t="s">
        <v>933</v>
      </c>
      <c r="AE40" t="s">
        <v>934</v>
      </c>
      <c r="AF40" t="s">
        <v>74</v>
      </c>
      <c r="AG40">
        <v>38</v>
      </c>
      <c r="AH40">
        <v>23</v>
      </c>
      <c r="AI40">
        <v>27</v>
      </c>
      <c r="AJ40">
        <v>0</v>
      </c>
      <c r="AK40">
        <v>27</v>
      </c>
      <c r="AL40" t="s">
        <v>182</v>
      </c>
      <c r="AM40" t="s">
        <v>183</v>
      </c>
      <c r="AN40" t="s">
        <v>184</v>
      </c>
      <c r="AO40" t="s">
        <v>896</v>
      </c>
      <c r="AP40" t="s">
        <v>897</v>
      </c>
      <c r="AQ40" t="s">
        <v>74</v>
      </c>
      <c r="AR40" t="s">
        <v>898</v>
      </c>
      <c r="AS40" t="s">
        <v>899</v>
      </c>
      <c r="AT40" t="s">
        <v>900</v>
      </c>
      <c r="AU40">
        <v>2019</v>
      </c>
      <c r="AV40">
        <v>46</v>
      </c>
      <c r="AW40">
        <v>16</v>
      </c>
      <c r="AX40" t="s">
        <v>74</v>
      </c>
      <c r="AY40" t="s">
        <v>74</v>
      </c>
      <c r="AZ40" t="s">
        <v>74</v>
      </c>
      <c r="BA40" t="s">
        <v>74</v>
      </c>
      <c r="BB40">
        <v>9861</v>
      </c>
      <c r="BC40">
        <v>9869</v>
      </c>
      <c r="BD40" t="s">
        <v>74</v>
      </c>
      <c r="BE40" t="s">
        <v>935</v>
      </c>
      <c r="BF40" t="str">
        <f>HYPERLINK("http://dx.doi.org/10.1029/2019GL083653","http://dx.doi.org/10.1029/2019GL083653")</f>
        <v>http://dx.doi.org/10.1029/2019GL083653</v>
      </c>
      <c r="BG40" t="s">
        <v>74</v>
      </c>
      <c r="BH40" t="s">
        <v>74</v>
      </c>
      <c r="BI40">
        <v>9</v>
      </c>
      <c r="BJ40" t="s">
        <v>471</v>
      </c>
      <c r="BK40" t="s">
        <v>101</v>
      </c>
      <c r="BL40" t="s">
        <v>472</v>
      </c>
      <c r="BM40" t="s">
        <v>902</v>
      </c>
      <c r="BN40" t="s">
        <v>74</v>
      </c>
      <c r="BO40" t="s">
        <v>164</v>
      </c>
      <c r="BP40" t="s">
        <v>74</v>
      </c>
      <c r="BQ40" t="s">
        <v>74</v>
      </c>
      <c r="BR40" t="s">
        <v>103</v>
      </c>
      <c r="BS40" t="s">
        <v>936</v>
      </c>
      <c r="BT40" t="str">
        <f>HYPERLINK("https%3A%2F%2Fwww.webofscience.com%2Fwos%2Fwoscc%2Ffull-record%2FWOS:000490966700061","View Full Record in Web of Science")</f>
        <v>View Full Record in Web of Science</v>
      </c>
    </row>
    <row r="41" spans="1:72" x14ac:dyDescent="0.15">
      <c r="A41" t="s">
        <v>72</v>
      </c>
      <c r="B41" t="s">
        <v>937</v>
      </c>
      <c r="C41" t="s">
        <v>74</v>
      </c>
      <c r="D41" t="s">
        <v>74</v>
      </c>
      <c r="E41" t="s">
        <v>74</v>
      </c>
      <c r="F41" t="s">
        <v>938</v>
      </c>
      <c r="G41" t="s">
        <v>74</v>
      </c>
      <c r="H41" t="s">
        <v>74</v>
      </c>
      <c r="I41" t="s">
        <v>939</v>
      </c>
      <c r="J41" t="s">
        <v>884</v>
      </c>
      <c r="K41" t="s">
        <v>74</v>
      </c>
      <c r="L41" t="s">
        <v>74</v>
      </c>
      <c r="M41" t="s">
        <v>78</v>
      </c>
      <c r="N41" t="s">
        <v>108</v>
      </c>
      <c r="O41" t="s">
        <v>74</v>
      </c>
      <c r="P41" t="s">
        <v>74</v>
      </c>
      <c r="Q41" t="s">
        <v>74</v>
      </c>
      <c r="R41" t="s">
        <v>74</v>
      </c>
      <c r="S41" t="s">
        <v>74</v>
      </c>
      <c r="T41" t="s">
        <v>74</v>
      </c>
      <c r="U41" t="s">
        <v>940</v>
      </c>
      <c r="V41" t="s">
        <v>941</v>
      </c>
      <c r="W41" t="s">
        <v>942</v>
      </c>
      <c r="X41" t="s">
        <v>943</v>
      </c>
      <c r="Y41" t="s">
        <v>944</v>
      </c>
      <c r="Z41" t="s">
        <v>945</v>
      </c>
      <c r="AA41" t="s">
        <v>946</v>
      </c>
      <c r="AB41" t="s">
        <v>947</v>
      </c>
      <c r="AC41" t="s">
        <v>948</v>
      </c>
      <c r="AD41" t="s">
        <v>949</v>
      </c>
      <c r="AE41" t="s">
        <v>950</v>
      </c>
      <c r="AF41" t="s">
        <v>74</v>
      </c>
      <c r="AG41">
        <v>35</v>
      </c>
      <c r="AH41">
        <v>10</v>
      </c>
      <c r="AI41">
        <v>10</v>
      </c>
      <c r="AJ41">
        <v>2</v>
      </c>
      <c r="AK41">
        <v>8</v>
      </c>
      <c r="AL41" t="s">
        <v>182</v>
      </c>
      <c r="AM41" t="s">
        <v>183</v>
      </c>
      <c r="AN41" t="s">
        <v>184</v>
      </c>
      <c r="AO41" t="s">
        <v>896</v>
      </c>
      <c r="AP41" t="s">
        <v>897</v>
      </c>
      <c r="AQ41" t="s">
        <v>74</v>
      </c>
      <c r="AR41" t="s">
        <v>898</v>
      </c>
      <c r="AS41" t="s">
        <v>899</v>
      </c>
      <c r="AT41" t="s">
        <v>900</v>
      </c>
      <c r="AU41">
        <v>2019</v>
      </c>
      <c r="AV41">
        <v>46</v>
      </c>
      <c r="AW41">
        <v>16</v>
      </c>
      <c r="AX41" t="s">
        <v>74</v>
      </c>
      <c r="AY41" t="s">
        <v>74</v>
      </c>
      <c r="AZ41" t="s">
        <v>74</v>
      </c>
      <c r="BA41" t="s">
        <v>74</v>
      </c>
      <c r="BB41">
        <v>9930</v>
      </c>
      <c r="BC41">
        <v>9939</v>
      </c>
      <c r="BD41" t="s">
        <v>74</v>
      </c>
      <c r="BE41" t="s">
        <v>951</v>
      </c>
      <c r="BF41" t="str">
        <f>HYPERLINK("http://dx.doi.org/10.1029/2019GL084249","http://dx.doi.org/10.1029/2019GL084249")</f>
        <v>http://dx.doi.org/10.1029/2019GL084249</v>
      </c>
      <c r="BG41" t="s">
        <v>74</v>
      </c>
      <c r="BH41" t="s">
        <v>74</v>
      </c>
      <c r="BI41">
        <v>10</v>
      </c>
      <c r="BJ41" t="s">
        <v>471</v>
      </c>
      <c r="BK41" t="s">
        <v>101</v>
      </c>
      <c r="BL41" t="s">
        <v>472</v>
      </c>
      <c r="BM41" t="s">
        <v>902</v>
      </c>
      <c r="BN41">
        <v>31762520</v>
      </c>
      <c r="BO41" t="s">
        <v>952</v>
      </c>
      <c r="BP41" t="s">
        <v>74</v>
      </c>
      <c r="BQ41" t="s">
        <v>74</v>
      </c>
      <c r="BR41" t="s">
        <v>103</v>
      </c>
      <c r="BS41" t="s">
        <v>953</v>
      </c>
      <c r="BT41" t="str">
        <f>HYPERLINK("https%3A%2F%2Fwww.webofscience.com%2Fwos%2Fwoscc%2Ffull-record%2FWOS:000490966700068","View Full Record in Web of Science")</f>
        <v>View Full Record in Web of Science</v>
      </c>
    </row>
    <row r="42" spans="1:72" x14ac:dyDescent="0.15">
      <c r="A42" t="s">
        <v>72</v>
      </c>
      <c r="B42" t="s">
        <v>954</v>
      </c>
      <c r="C42" t="s">
        <v>74</v>
      </c>
      <c r="D42" t="s">
        <v>74</v>
      </c>
      <c r="E42" t="s">
        <v>74</v>
      </c>
      <c r="F42" t="s">
        <v>955</v>
      </c>
      <c r="G42" t="s">
        <v>74</v>
      </c>
      <c r="H42" t="s">
        <v>74</v>
      </c>
      <c r="I42" t="s">
        <v>956</v>
      </c>
      <c r="J42" t="s">
        <v>884</v>
      </c>
      <c r="K42" t="s">
        <v>74</v>
      </c>
      <c r="L42" t="s">
        <v>74</v>
      </c>
      <c r="M42" t="s">
        <v>78</v>
      </c>
      <c r="N42" t="s">
        <v>108</v>
      </c>
      <c r="O42" t="s">
        <v>74</v>
      </c>
      <c r="P42" t="s">
        <v>74</v>
      </c>
      <c r="Q42" t="s">
        <v>74</v>
      </c>
      <c r="R42" t="s">
        <v>74</v>
      </c>
      <c r="S42" t="s">
        <v>74</v>
      </c>
      <c r="T42" t="s">
        <v>74</v>
      </c>
      <c r="U42" t="s">
        <v>957</v>
      </c>
      <c r="V42" t="s">
        <v>958</v>
      </c>
      <c r="W42" t="s">
        <v>959</v>
      </c>
      <c r="X42" t="s">
        <v>960</v>
      </c>
      <c r="Y42" t="s">
        <v>961</v>
      </c>
      <c r="Z42" t="s">
        <v>962</v>
      </c>
      <c r="AA42" t="s">
        <v>963</v>
      </c>
      <c r="AB42" t="s">
        <v>964</v>
      </c>
      <c r="AC42" t="s">
        <v>965</v>
      </c>
      <c r="AD42" t="s">
        <v>965</v>
      </c>
      <c r="AE42" t="s">
        <v>966</v>
      </c>
      <c r="AF42" t="s">
        <v>74</v>
      </c>
      <c r="AG42">
        <v>80</v>
      </c>
      <c r="AH42">
        <v>18</v>
      </c>
      <c r="AI42">
        <v>19</v>
      </c>
      <c r="AJ42">
        <v>0</v>
      </c>
      <c r="AK42">
        <v>13</v>
      </c>
      <c r="AL42" t="s">
        <v>182</v>
      </c>
      <c r="AM42" t="s">
        <v>183</v>
      </c>
      <c r="AN42" t="s">
        <v>184</v>
      </c>
      <c r="AO42" t="s">
        <v>896</v>
      </c>
      <c r="AP42" t="s">
        <v>897</v>
      </c>
      <c r="AQ42" t="s">
        <v>74</v>
      </c>
      <c r="AR42" t="s">
        <v>898</v>
      </c>
      <c r="AS42" t="s">
        <v>899</v>
      </c>
      <c r="AT42" t="s">
        <v>900</v>
      </c>
      <c r="AU42">
        <v>2019</v>
      </c>
      <c r="AV42">
        <v>46</v>
      </c>
      <c r="AW42">
        <v>16</v>
      </c>
      <c r="AX42" t="s">
        <v>74</v>
      </c>
      <c r="AY42" t="s">
        <v>74</v>
      </c>
      <c r="AZ42" t="s">
        <v>74</v>
      </c>
      <c r="BA42" t="s">
        <v>74</v>
      </c>
      <c r="BB42">
        <v>9968</v>
      </c>
      <c r="BC42">
        <v>9979</v>
      </c>
      <c r="BD42" t="s">
        <v>74</v>
      </c>
      <c r="BE42" t="s">
        <v>967</v>
      </c>
      <c r="BF42" t="str">
        <f>HYPERLINK("http://dx.doi.org/10.1029/2019GL083402","http://dx.doi.org/10.1029/2019GL083402")</f>
        <v>http://dx.doi.org/10.1029/2019GL083402</v>
      </c>
      <c r="BG42" t="s">
        <v>74</v>
      </c>
      <c r="BH42" t="s">
        <v>74</v>
      </c>
      <c r="BI42">
        <v>12</v>
      </c>
      <c r="BJ42" t="s">
        <v>471</v>
      </c>
      <c r="BK42" t="s">
        <v>101</v>
      </c>
      <c r="BL42" t="s">
        <v>472</v>
      </c>
      <c r="BM42" t="s">
        <v>902</v>
      </c>
      <c r="BN42" t="s">
        <v>74</v>
      </c>
      <c r="BO42" t="s">
        <v>74</v>
      </c>
      <c r="BP42" t="s">
        <v>74</v>
      </c>
      <c r="BQ42" t="s">
        <v>74</v>
      </c>
      <c r="BR42" t="s">
        <v>103</v>
      </c>
      <c r="BS42" t="s">
        <v>968</v>
      </c>
      <c r="BT42" t="str">
        <f>HYPERLINK("https%3A%2F%2Fwww.webofscience.com%2Fwos%2Fwoscc%2Ffull-record%2FWOS:000490966700072","View Full Record in Web of Science")</f>
        <v>View Full Record in Web of Science</v>
      </c>
    </row>
    <row r="43" spans="1:72" x14ac:dyDescent="0.15">
      <c r="A43" t="s">
        <v>72</v>
      </c>
      <c r="B43" t="s">
        <v>969</v>
      </c>
      <c r="C43" t="s">
        <v>74</v>
      </c>
      <c r="D43" t="s">
        <v>74</v>
      </c>
      <c r="E43" t="s">
        <v>74</v>
      </c>
      <c r="F43" t="s">
        <v>970</v>
      </c>
      <c r="G43" t="s">
        <v>74</v>
      </c>
      <c r="H43" t="s">
        <v>74</v>
      </c>
      <c r="I43" t="s">
        <v>971</v>
      </c>
      <c r="J43" t="s">
        <v>884</v>
      </c>
      <c r="K43" t="s">
        <v>74</v>
      </c>
      <c r="L43" t="s">
        <v>74</v>
      </c>
      <c r="M43" t="s">
        <v>78</v>
      </c>
      <c r="N43" t="s">
        <v>108</v>
      </c>
      <c r="O43" t="s">
        <v>74</v>
      </c>
      <c r="P43" t="s">
        <v>74</v>
      </c>
      <c r="Q43" t="s">
        <v>74</v>
      </c>
      <c r="R43" t="s">
        <v>74</v>
      </c>
      <c r="S43" t="s">
        <v>74</v>
      </c>
      <c r="T43" t="s">
        <v>74</v>
      </c>
      <c r="U43" t="s">
        <v>972</v>
      </c>
      <c r="V43" t="s">
        <v>973</v>
      </c>
      <c r="W43" t="s">
        <v>974</v>
      </c>
      <c r="X43" t="s">
        <v>975</v>
      </c>
      <c r="Y43" t="s">
        <v>976</v>
      </c>
      <c r="Z43" t="s">
        <v>977</v>
      </c>
      <c r="AA43" t="s">
        <v>978</v>
      </c>
      <c r="AB43" t="s">
        <v>979</v>
      </c>
      <c r="AC43" t="s">
        <v>980</v>
      </c>
      <c r="AD43" t="s">
        <v>981</v>
      </c>
      <c r="AE43" t="s">
        <v>982</v>
      </c>
      <c r="AF43" t="s">
        <v>74</v>
      </c>
      <c r="AG43">
        <v>39</v>
      </c>
      <c r="AH43">
        <v>5</v>
      </c>
      <c r="AI43">
        <v>5</v>
      </c>
      <c r="AJ43">
        <v>0</v>
      </c>
      <c r="AK43">
        <v>5</v>
      </c>
      <c r="AL43" t="s">
        <v>182</v>
      </c>
      <c r="AM43" t="s">
        <v>183</v>
      </c>
      <c r="AN43" t="s">
        <v>184</v>
      </c>
      <c r="AO43" t="s">
        <v>896</v>
      </c>
      <c r="AP43" t="s">
        <v>897</v>
      </c>
      <c r="AQ43" t="s">
        <v>74</v>
      </c>
      <c r="AR43" t="s">
        <v>898</v>
      </c>
      <c r="AS43" t="s">
        <v>899</v>
      </c>
      <c r="AT43" t="s">
        <v>900</v>
      </c>
      <c r="AU43">
        <v>2019</v>
      </c>
      <c r="AV43">
        <v>46</v>
      </c>
      <c r="AW43">
        <v>16</v>
      </c>
      <c r="AX43" t="s">
        <v>74</v>
      </c>
      <c r="AY43" t="s">
        <v>74</v>
      </c>
      <c r="AZ43" t="s">
        <v>74</v>
      </c>
      <c r="BA43" t="s">
        <v>74</v>
      </c>
      <c r="BB43">
        <v>10168</v>
      </c>
      <c r="BC43">
        <v>10176</v>
      </c>
      <c r="BD43" t="s">
        <v>74</v>
      </c>
      <c r="BE43" t="s">
        <v>983</v>
      </c>
      <c r="BF43" t="str">
        <f>HYPERLINK("http://dx.doi.org/10.1029/2019GL083825","http://dx.doi.org/10.1029/2019GL083825")</f>
        <v>http://dx.doi.org/10.1029/2019GL083825</v>
      </c>
      <c r="BG43" t="s">
        <v>74</v>
      </c>
      <c r="BH43" t="s">
        <v>74</v>
      </c>
      <c r="BI43">
        <v>9</v>
      </c>
      <c r="BJ43" t="s">
        <v>471</v>
      </c>
      <c r="BK43" t="s">
        <v>101</v>
      </c>
      <c r="BL43" t="s">
        <v>472</v>
      </c>
      <c r="BM43" t="s">
        <v>902</v>
      </c>
      <c r="BN43" t="s">
        <v>74</v>
      </c>
      <c r="BO43" t="s">
        <v>984</v>
      </c>
      <c r="BP43" t="s">
        <v>74</v>
      </c>
      <c r="BQ43" t="s">
        <v>74</v>
      </c>
      <c r="BR43" t="s">
        <v>103</v>
      </c>
      <c r="BS43" t="s">
        <v>985</v>
      </c>
      <c r="BT43" t="str">
        <f>HYPERLINK("https%3A%2F%2Fwww.webofscience.com%2Fwos%2Fwoscc%2Ffull-record%2FWOS:000490966700093","View Full Record in Web of Science")</f>
        <v>View Full Record in Web of Science</v>
      </c>
    </row>
    <row r="44" spans="1:72" x14ac:dyDescent="0.15">
      <c r="A44" t="s">
        <v>72</v>
      </c>
      <c r="B44" t="s">
        <v>986</v>
      </c>
      <c r="C44" t="s">
        <v>74</v>
      </c>
      <c r="D44" t="s">
        <v>74</v>
      </c>
      <c r="E44" t="s">
        <v>74</v>
      </c>
      <c r="F44" t="s">
        <v>987</v>
      </c>
      <c r="G44" t="s">
        <v>74</v>
      </c>
      <c r="H44" t="s">
        <v>74</v>
      </c>
      <c r="I44" t="s">
        <v>988</v>
      </c>
      <c r="J44" t="s">
        <v>989</v>
      </c>
      <c r="K44" t="s">
        <v>74</v>
      </c>
      <c r="L44" t="s">
        <v>74</v>
      </c>
      <c r="M44" t="s">
        <v>78</v>
      </c>
      <c r="N44" t="s">
        <v>108</v>
      </c>
      <c r="O44" t="s">
        <v>74</v>
      </c>
      <c r="P44" t="s">
        <v>74</v>
      </c>
      <c r="Q44" t="s">
        <v>74</v>
      </c>
      <c r="R44" t="s">
        <v>74</v>
      </c>
      <c r="S44" t="s">
        <v>74</v>
      </c>
      <c r="T44" t="s">
        <v>74</v>
      </c>
      <c r="U44" t="s">
        <v>990</v>
      </c>
      <c r="V44" t="s">
        <v>991</v>
      </c>
      <c r="W44" t="s">
        <v>992</v>
      </c>
      <c r="X44" t="s">
        <v>993</v>
      </c>
      <c r="Y44" t="s">
        <v>994</v>
      </c>
      <c r="Z44" t="s">
        <v>995</v>
      </c>
      <c r="AA44" t="s">
        <v>74</v>
      </c>
      <c r="AB44" t="s">
        <v>996</v>
      </c>
      <c r="AC44" t="s">
        <v>570</v>
      </c>
      <c r="AD44" t="s">
        <v>571</v>
      </c>
      <c r="AE44" t="s">
        <v>997</v>
      </c>
      <c r="AF44" t="s">
        <v>74</v>
      </c>
      <c r="AG44">
        <v>16</v>
      </c>
      <c r="AH44">
        <v>11</v>
      </c>
      <c r="AI44">
        <v>11</v>
      </c>
      <c r="AJ44">
        <v>1</v>
      </c>
      <c r="AK44">
        <v>9</v>
      </c>
      <c r="AL44" t="s">
        <v>998</v>
      </c>
      <c r="AM44" t="s">
        <v>657</v>
      </c>
      <c r="AN44" t="s">
        <v>999</v>
      </c>
      <c r="AO44" t="s">
        <v>1000</v>
      </c>
      <c r="AP44" t="s">
        <v>74</v>
      </c>
      <c r="AQ44" t="s">
        <v>74</v>
      </c>
      <c r="AR44" t="s">
        <v>1001</v>
      </c>
      <c r="AS44" t="s">
        <v>1002</v>
      </c>
      <c r="AT44" t="s">
        <v>900</v>
      </c>
      <c r="AU44">
        <v>2019</v>
      </c>
      <c r="AV44">
        <v>9</v>
      </c>
      <c r="AW44" t="s">
        <v>74</v>
      </c>
      <c r="AX44" t="s">
        <v>74</v>
      </c>
      <c r="AY44" t="s">
        <v>74</v>
      </c>
      <c r="AZ44" t="s">
        <v>74</v>
      </c>
      <c r="BA44" t="s">
        <v>74</v>
      </c>
      <c r="BB44" t="s">
        <v>74</v>
      </c>
      <c r="BC44" t="s">
        <v>74</v>
      </c>
      <c r="BD44">
        <v>12447</v>
      </c>
      <c r="BE44" t="s">
        <v>1003</v>
      </c>
      <c r="BF44" t="str">
        <f>HYPERLINK("http://dx.doi.org/10.1038/s41598-019-48328-5","http://dx.doi.org/10.1038/s41598-019-48328-5")</f>
        <v>http://dx.doi.org/10.1038/s41598-019-48328-5</v>
      </c>
      <c r="BG44" t="s">
        <v>74</v>
      </c>
      <c r="BH44" t="s">
        <v>74</v>
      </c>
      <c r="BI44">
        <v>12</v>
      </c>
      <c r="BJ44" t="s">
        <v>1004</v>
      </c>
      <c r="BK44" t="s">
        <v>101</v>
      </c>
      <c r="BL44" t="s">
        <v>1005</v>
      </c>
      <c r="BM44" t="s">
        <v>1006</v>
      </c>
      <c r="BN44">
        <v>31462644</v>
      </c>
      <c r="BO44" t="s">
        <v>420</v>
      </c>
      <c r="BP44" t="s">
        <v>74</v>
      </c>
      <c r="BQ44" t="s">
        <v>74</v>
      </c>
      <c r="BR44" t="s">
        <v>103</v>
      </c>
      <c r="BS44" t="s">
        <v>1007</v>
      </c>
      <c r="BT44" t="str">
        <f>HYPERLINK("https%3A%2F%2Fwww.webofscience.com%2Fwos%2Fwoscc%2Ffull-record%2FWOS:000482886700001","View Full Record in Web of Science")</f>
        <v>View Full Record in Web of Science</v>
      </c>
    </row>
    <row r="45" spans="1:72" x14ac:dyDescent="0.15">
      <c r="A45" t="s">
        <v>72</v>
      </c>
      <c r="B45" t="s">
        <v>1008</v>
      </c>
      <c r="C45" t="s">
        <v>74</v>
      </c>
      <c r="D45" t="s">
        <v>74</v>
      </c>
      <c r="E45" t="s">
        <v>74</v>
      </c>
      <c r="F45" t="s">
        <v>1009</v>
      </c>
      <c r="G45" t="s">
        <v>74</v>
      </c>
      <c r="H45" t="s">
        <v>74</v>
      </c>
      <c r="I45" t="s">
        <v>1010</v>
      </c>
      <c r="J45" t="s">
        <v>989</v>
      </c>
      <c r="K45" t="s">
        <v>74</v>
      </c>
      <c r="L45" t="s">
        <v>74</v>
      </c>
      <c r="M45" t="s">
        <v>78</v>
      </c>
      <c r="N45" t="s">
        <v>108</v>
      </c>
      <c r="O45" t="s">
        <v>74</v>
      </c>
      <c r="P45" t="s">
        <v>74</v>
      </c>
      <c r="Q45" t="s">
        <v>74</v>
      </c>
      <c r="R45" t="s">
        <v>74</v>
      </c>
      <c r="S45" t="s">
        <v>74</v>
      </c>
      <c r="T45" t="s">
        <v>74</v>
      </c>
      <c r="U45" t="s">
        <v>1011</v>
      </c>
      <c r="V45" t="s">
        <v>1012</v>
      </c>
      <c r="W45" t="s">
        <v>1013</v>
      </c>
      <c r="X45" t="s">
        <v>1014</v>
      </c>
      <c r="Y45" t="s">
        <v>1015</v>
      </c>
      <c r="Z45" t="s">
        <v>1016</v>
      </c>
      <c r="AA45" t="s">
        <v>1017</v>
      </c>
      <c r="AB45" t="s">
        <v>1018</v>
      </c>
      <c r="AC45" t="s">
        <v>74</v>
      </c>
      <c r="AD45" t="s">
        <v>74</v>
      </c>
      <c r="AE45" t="s">
        <v>74</v>
      </c>
      <c r="AF45" t="s">
        <v>74</v>
      </c>
      <c r="AG45">
        <v>81</v>
      </c>
      <c r="AH45">
        <v>30</v>
      </c>
      <c r="AI45">
        <v>30</v>
      </c>
      <c r="AJ45">
        <v>2</v>
      </c>
      <c r="AK45">
        <v>14</v>
      </c>
      <c r="AL45" t="s">
        <v>1019</v>
      </c>
      <c r="AM45" t="s">
        <v>1020</v>
      </c>
      <c r="AN45" t="s">
        <v>1021</v>
      </c>
      <c r="AO45" t="s">
        <v>1000</v>
      </c>
      <c r="AP45" t="s">
        <v>74</v>
      </c>
      <c r="AQ45" t="s">
        <v>74</v>
      </c>
      <c r="AR45" t="s">
        <v>1001</v>
      </c>
      <c r="AS45" t="s">
        <v>1002</v>
      </c>
      <c r="AT45" t="s">
        <v>900</v>
      </c>
      <c r="AU45">
        <v>2019</v>
      </c>
      <c r="AV45">
        <v>9</v>
      </c>
      <c r="AW45" t="s">
        <v>74</v>
      </c>
      <c r="AX45" t="s">
        <v>74</v>
      </c>
      <c r="AY45" t="s">
        <v>74</v>
      </c>
      <c r="AZ45" t="s">
        <v>74</v>
      </c>
      <c r="BA45" t="s">
        <v>74</v>
      </c>
      <c r="BB45" t="s">
        <v>74</v>
      </c>
      <c r="BC45" t="s">
        <v>74</v>
      </c>
      <c r="BD45">
        <v>12454</v>
      </c>
      <c r="BE45" t="s">
        <v>1022</v>
      </c>
      <c r="BF45" t="str">
        <f>HYPERLINK("http://dx.doi.org/10.1038/s41598-019-48245-7","http://dx.doi.org/10.1038/s41598-019-48245-7")</f>
        <v>http://dx.doi.org/10.1038/s41598-019-48245-7</v>
      </c>
      <c r="BG45" t="s">
        <v>74</v>
      </c>
      <c r="BH45" t="s">
        <v>74</v>
      </c>
      <c r="BI45">
        <v>13</v>
      </c>
      <c r="BJ45" t="s">
        <v>1004</v>
      </c>
      <c r="BK45" t="s">
        <v>101</v>
      </c>
      <c r="BL45" t="s">
        <v>1005</v>
      </c>
      <c r="BM45" t="s">
        <v>1006</v>
      </c>
      <c r="BN45">
        <v>31462668</v>
      </c>
      <c r="BO45" t="s">
        <v>313</v>
      </c>
      <c r="BP45" t="s">
        <v>74</v>
      </c>
      <c r="BQ45" t="s">
        <v>74</v>
      </c>
      <c r="BR45" t="s">
        <v>103</v>
      </c>
      <c r="BS45" t="s">
        <v>1023</v>
      </c>
      <c r="BT45" t="str">
        <f>HYPERLINK("https%3A%2F%2Fwww.webofscience.com%2Fwos%2Fwoscc%2Ffull-record%2FWOS:000482886700008","View Full Record in Web of Science")</f>
        <v>View Full Record in Web of Science</v>
      </c>
    </row>
    <row r="46" spans="1:72" x14ac:dyDescent="0.15">
      <c r="A46" t="s">
        <v>72</v>
      </c>
      <c r="B46" t="s">
        <v>1024</v>
      </c>
      <c r="C46" t="s">
        <v>74</v>
      </c>
      <c r="D46" t="s">
        <v>74</v>
      </c>
      <c r="E46" t="s">
        <v>74</v>
      </c>
      <c r="F46" t="s">
        <v>1025</v>
      </c>
      <c r="G46" t="s">
        <v>74</v>
      </c>
      <c r="H46" t="s">
        <v>74</v>
      </c>
      <c r="I46" t="s">
        <v>1026</v>
      </c>
      <c r="J46" t="s">
        <v>855</v>
      </c>
      <c r="K46" t="s">
        <v>74</v>
      </c>
      <c r="L46" t="s">
        <v>74</v>
      </c>
      <c r="M46" t="s">
        <v>78</v>
      </c>
      <c r="N46" t="s">
        <v>79</v>
      </c>
      <c r="O46" t="s">
        <v>74</v>
      </c>
      <c r="P46" t="s">
        <v>74</v>
      </c>
      <c r="Q46" t="s">
        <v>74</v>
      </c>
      <c r="R46" t="s">
        <v>74</v>
      </c>
      <c r="S46" t="s">
        <v>74</v>
      </c>
      <c r="T46" t="s">
        <v>1027</v>
      </c>
      <c r="U46" t="s">
        <v>1028</v>
      </c>
      <c r="V46" t="s">
        <v>1029</v>
      </c>
      <c r="W46" t="s">
        <v>1030</v>
      </c>
      <c r="X46" t="s">
        <v>1031</v>
      </c>
      <c r="Y46" t="s">
        <v>1032</v>
      </c>
      <c r="Z46" t="s">
        <v>1033</v>
      </c>
      <c r="AA46" t="s">
        <v>1034</v>
      </c>
      <c r="AB46" t="s">
        <v>1035</v>
      </c>
      <c r="AC46" t="s">
        <v>1036</v>
      </c>
      <c r="AD46" t="s">
        <v>1037</v>
      </c>
      <c r="AE46" t="s">
        <v>1038</v>
      </c>
      <c r="AF46" t="s">
        <v>74</v>
      </c>
      <c r="AG46">
        <v>56</v>
      </c>
      <c r="AH46">
        <v>32</v>
      </c>
      <c r="AI46">
        <v>35</v>
      </c>
      <c r="AJ46">
        <v>1</v>
      </c>
      <c r="AK46">
        <v>32</v>
      </c>
      <c r="AL46" t="s">
        <v>868</v>
      </c>
      <c r="AM46" t="s">
        <v>869</v>
      </c>
      <c r="AN46" t="s">
        <v>870</v>
      </c>
      <c r="AO46" t="s">
        <v>74</v>
      </c>
      <c r="AP46" t="s">
        <v>871</v>
      </c>
      <c r="AQ46" t="s">
        <v>74</v>
      </c>
      <c r="AR46" t="s">
        <v>872</v>
      </c>
      <c r="AS46" t="s">
        <v>873</v>
      </c>
      <c r="AT46" t="s">
        <v>900</v>
      </c>
      <c r="AU46">
        <v>2019</v>
      </c>
      <c r="AV46">
        <v>6</v>
      </c>
      <c r="AW46" t="s">
        <v>74</v>
      </c>
      <c r="AX46" t="s">
        <v>74</v>
      </c>
      <c r="AY46" t="s">
        <v>74</v>
      </c>
      <c r="AZ46" t="s">
        <v>74</v>
      </c>
      <c r="BA46" t="s">
        <v>74</v>
      </c>
      <c r="BB46" t="s">
        <v>74</v>
      </c>
      <c r="BC46" t="s">
        <v>74</v>
      </c>
      <c r="BD46">
        <v>527</v>
      </c>
      <c r="BE46" t="s">
        <v>1039</v>
      </c>
      <c r="BF46" t="str">
        <f>HYPERLINK("http://dx.doi.org/10.3389/fmars.2019.00527","http://dx.doi.org/10.3389/fmars.2019.00527")</f>
        <v>http://dx.doi.org/10.3389/fmars.2019.00527</v>
      </c>
      <c r="BG46" t="s">
        <v>74</v>
      </c>
      <c r="BH46" t="s">
        <v>74</v>
      </c>
      <c r="BI46">
        <v>14</v>
      </c>
      <c r="BJ46" t="s">
        <v>876</v>
      </c>
      <c r="BK46" t="s">
        <v>101</v>
      </c>
      <c r="BL46" t="s">
        <v>877</v>
      </c>
      <c r="BM46" t="s">
        <v>1040</v>
      </c>
      <c r="BN46" t="s">
        <v>74</v>
      </c>
      <c r="BO46" t="s">
        <v>1041</v>
      </c>
      <c r="BP46" t="s">
        <v>74</v>
      </c>
      <c r="BQ46" t="s">
        <v>74</v>
      </c>
      <c r="BR46" t="s">
        <v>103</v>
      </c>
      <c r="BS46" t="s">
        <v>1042</v>
      </c>
      <c r="BT46" t="str">
        <f>HYPERLINK("https%3A%2F%2Fwww.webofscience.com%2Fwos%2Fwoscc%2Ffull-record%2FWOS:000482977400001","View Full Record in Web of Science")</f>
        <v>View Full Record in Web of Science</v>
      </c>
    </row>
    <row r="47" spans="1:72" x14ac:dyDescent="0.15">
      <c r="A47" t="s">
        <v>72</v>
      </c>
      <c r="B47" t="s">
        <v>1043</v>
      </c>
      <c r="C47" t="s">
        <v>74</v>
      </c>
      <c r="D47" t="s">
        <v>74</v>
      </c>
      <c r="E47" t="s">
        <v>74</v>
      </c>
      <c r="F47" t="s">
        <v>1044</v>
      </c>
      <c r="G47" t="s">
        <v>74</v>
      </c>
      <c r="H47" t="s">
        <v>74</v>
      </c>
      <c r="I47" t="s">
        <v>1045</v>
      </c>
      <c r="J47" t="s">
        <v>855</v>
      </c>
      <c r="K47" t="s">
        <v>74</v>
      </c>
      <c r="L47" t="s">
        <v>74</v>
      </c>
      <c r="M47" t="s">
        <v>78</v>
      </c>
      <c r="N47" t="s">
        <v>108</v>
      </c>
      <c r="O47" t="s">
        <v>74</v>
      </c>
      <c r="P47" t="s">
        <v>74</v>
      </c>
      <c r="Q47" t="s">
        <v>74</v>
      </c>
      <c r="R47" t="s">
        <v>74</v>
      </c>
      <c r="S47" t="s">
        <v>74</v>
      </c>
      <c r="T47" t="s">
        <v>1046</v>
      </c>
      <c r="U47" t="s">
        <v>1047</v>
      </c>
      <c r="V47" t="s">
        <v>1048</v>
      </c>
      <c r="W47" t="s">
        <v>1049</v>
      </c>
      <c r="X47" t="s">
        <v>1050</v>
      </c>
      <c r="Y47" t="s">
        <v>1051</v>
      </c>
      <c r="Z47" t="s">
        <v>1052</v>
      </c>
      <c r="AA47" t="s">
        <v>74</v>
      </c>
      <c r="AB47" t="s">
        <v>1053</v>
      </c>
      <c r="AC47" t="s">
        <v>74</v>
      </c>
      <c r="AD47" t="s">
        <v>74</v>
      </c>
      <c r="AE47" t="s">
        <v>74</v>
      </c>
      <c r="AF47" t="s">
        <v>74</v>
      </c>
      <c r="AG47">
        <v>78</v>
      </c>
      <c r="AH47">
        <v>12</v>
      </c>
      <c r="AI47">
        <v>12</v>
      </c>
      <c r="AJ47">
        <v>3</v>
      </c>
      <c r="AK47">
        <v>20</v>
      </c>
      <c r="AL47" t="s">
        <v>868</v>
      </c>
      <c r="AM47" t="s">
        <v>869</v>
      </c>
      <c r="AN47" t="s">
        <v>870</v>
      </c>
      <c r="AO47" t="s">
        <v>74</v>
      </c>
      <c r="AP47" t="s">
        <v>871</v>
      </c>
      <c r="AQ47" t="s">
        <v>74</v>
      </c>
      <c r="AR47" t="s">
        <v>872</v>
      </c>
      <c r="AS47" t="s">
        <v>873</v>
      </c>
      <c r="AT47" t="s">
        <v>900</v>
      </c>
      <c r="AU47">
        <v>2019</v>
      </c>
      <c r="AV47">
        <v>6</v>
      </c>
      <c r="AW47" t="s">
        <v>74</v>
      </c>
      <c r="AX47" t="s">
        <v>74</v>
      </c>
      <c r="AY47" t="s">
        <v>74</v>
      </c>
      <c r="AZ47" t="s">
        <v>74</v>
      </c>
      <c r="BA47" t="s">
        <v>74</v>
      </c>
      <c r="BB47" t="s">
        <v>74</v>
      </c>
      <c r="BC47" t="s">
        <v>74</v>
      </c>
      <c r="BD47">
        <v>525</v>
      </c>
      <c r="BE47" t="s">
        <v>1054</v>
      </c>
      <c r="BF47" t="str">
        <f>HYPERLINK("http://dx.doi.org/10.3389/fmars.2019.00525","http://dx.doi.org/10.3389/fmars.2019.00525")</f>
        <v>http://dx.doi.org/10.3389/fmars.2019.00525</v>
      </c>
      <c r="BG47" t="s">
        <v>74</v>
      </c>
      <c r="BH47" t="s">
        <v>74</v>
      </c>
      <c r="BI47">
        <v>17</v>
      </c>
      <c r="BJ47" t="s">
        <v>876</v>
      </c>
      <c r="BK47" t="s">
        <v>101</v>
      </c>
      <c r="BL47" t="s">
        <v>877</v>
      </c>
      <c r="BM47" t="s">
        <v>1055</v>
      </c>
      <c r="BN47" t="s">
        <v>74</v>
      </c>
      <c r="BO47" t="s">
        <v>366</v>
      </c>
      <c r="BP47" t="s">
        <v>74</v>
      </c>
      <c r="BQ47" t="s">
        <v>74</v>
      </c>
      <c r="BR47" t="s">
        <v>103</v>
      </c>
      <c r="BS47" t="s">
        <v>1056</v>
      </c>
      <c r="BT47" t="str">
        <f>HYPERLINK("https%3A%2F%2Fwww.webofscience.com%2Fwos%2Fwoscc%2Ffull-record%2FWOS:000482977100001","View Full Record in Web of Science")</f>
        <v>View Full Record in Web of Science</v>
      </c>
    </row>
    <row r="48" spans="1:72" x14ac:dyDescent="0.15">
      <c r="A48" t="s">
        <v>72</v>
      </c>
      <c r="B48" t="s">
        <v>1057</v>
      </c>
      <c r="C48" t="s">
        <v>74</v>
      </c>
      <c r="D48" t="s">
        <v>74</v>
      </c>
      <c r="E48" t="s">
        <v>74</v>
      </c>
      <c r="F48" t="s">
        <v>1058</v>
      </c>
      <c r="G48" t="s">
        <v>74</v>
      </c>
      <c r="H48" t="s">
        <v>74</v>
      </c>
      <c r="I48" t="s">
        <v>1059</v>
      </c>
      <c r="J48" t="s">
        <v>1060</v>
      </c>
      <c r="K48" t="s">
        <v>74</v>
      </c>
      <c r="L48" t="s">
        <v>74</v>
      </c>
      <c r="M48" t="s">
        <v>78</v>
      </c>
      <c r="N48" t="s">
        <v>108</v>
      </c>
      <c r="O48" t="s">
        <v>74</v>
      </c>
      <c r="P48" t="s">
        <v>74</v>
      </c>
      <c r="Q48" t="s">
        <v>74</v>
      </c>
      <c r="R48" t="s">
        <v>74</v>
      </c>
      <c r="S48" t="s">
        <v>74</v>
      </c>
      <c r="T48" t="s">
        <v>74</v>
      </c>
      <c r="U48" t="s">
        <v>1061</v>
      </c>
      <c r="V48" t="s">
        <v>1062</v>
      </c>
      <c r="W48" t="s">
        <v>1063</v>
      </c>
      <c r="X48" t="s">
        <v>1064</v>
      </c>
      <c r="Y48" t="s">
        <v>1065</v>
      </c>
      <c r="Z48" t="s">
        <v>1066</v>
      </c>
      <c r="AA48" t="s">
        <v>1067</v>
      </c>
      <c r="AB48" t="s">
        <v>1068</v>
      </c>
      <c r="AC48" t="s">
        <v>1069</v>
      </c>
      <c r="AD48" t="s">
        <v>1070</v>
      </c>
      <c r="AE48" t="s">
        <v>1071</v>
      </c>
      <c r="AF48" t="s">
        <v>74</v>
      </c>
      <c r="AG48">
        <v>134</v>
      </c>
      <c r="AH48">
        <v>37</v>
      </c>
      <c r="AI48">
        <v>37</v>
      </c>
      <c r="AJ48">
        <v>7</v>
      </c>
      <c r="AK48">
        <v>50</v>
      </c>
      <c r="AL48" t="s">
        <v>839</v>
      </c>
      <c r="AM48" t="s">
        <v>840</v>
      </c>
      <c r="AN48" t="s">
        <v>841</v>
      </c>
      <c r="AO48" t="s">
        <v>1072</v>
      </c>
      <c r="AP48" t="s">
        <v>1073</v>
      </c>
      <c r="AQ48" t="s">
        <v>74</v>
      </c>
      <c r="AR48" t="s">
        <v>1074</v>
      </c>
      <c r="AS48" t="s">
        <v>1075</v>
      </c>
      <c r="AT48" t="s">
        <v>900</v>
      </c>
      <c r="AU48">
        <v>2019</v>
      </c>
      <c r="AV48">
        <v>15</v>
      </c>
      <c r="AW48">
        <v>4</v>
      </c>
      <c r="AX48" t="s">
        <v>74</v>
      </c>
      <c r="AY48" t="s">
        <v>74</v>
      </c>
      <c r="AZ48" t="s">
        <v>74</v>
      </c>
      <c r="BA48" t="s">
        <v>74</v>
      </c>
      <c r="BB48">
        <v>1159</v>
      </c>
      <c r="BC48">
        <v>1175</v>
      </c>
      <c r="BD48" t="s">
        <v>74</v>
      </c>
      <c r="BE48" t="s">
        <v>1076</v>
      </c>
      <c r="BF48" t="str">
        <f>HYPERLINK("http://dx.doi.org/10.5194/os-15-1159-2019","http://dx.doi.org/10.5194/os-15-1159-2019")</f>
        <v>http://dx.doi.org/10.5194/os-15-1159-2019</v>
      </c>
      <c r="BG48" t="s">
        <v>74</v>
      </c>
      <c r="BH48" t="s">
        <v>74</v>
      </c>
      <c r="BI48">
        <v>17</v>
      </c>
      <c r="BJ48" t="s">
        <v>1077</v>
      </c>
      <c r="BK48" t="s">
        <v>101</v>
      </c>
      <c r="BL48" t="s">
        <v>1077</v>
      </c>
      <c r="BM48" t="s">
        <v>1078</v>
      </c>
      <c r="BN48" t="s">
        <v>74</v>
      </c>
      <c r="BO48" t="s">
        <v>850</v>
      </c>
      <c r="BP48" t="s">
        <v>74</v>
      </c>
      <c r="BQ48" t="s">
        <v>74</v>
      </c>
      <c r="BR48" t="s">
        <v>103</v>
      </c>
      <c r="BS48" t="s">
        <v>1079</v>
      </c>
      <c r="BT48" t="str">
        <f>HYPERLINK("https%3A%2F%2Fwww.webofscience.com%2Fwos%2Fwoscc%2Ffull-record%2FWOS:000483070600001","View Full Record in Web of Science")</f>
        <v>View Full Record in Web of Science</v>
      </c>
    </row>
    <row r="49" spans="1:72" x14ac:dyDescent="0.15">
      <c r="A49" t="s">
        <v>72</v>
      </c>
      <c r="B49" t="s">
        <v>1080</v>
      </c>
      <c r="C49" t="s">
        <v>74</v>
      </c>
      <c r="D49" t="s">
        <v>74</v>
      </c>
      <c r="E49" t="s">
        <v>74</v>
      </c>
      <c r="F49" t="s">
        <v>1081</v>
      </c>
      <c r="G49" t="s">
        <v>74</v>
      </c>
      <c r="H49" t="s">
        <v>74</v>
      </c>
      <c r="I49" t="s">
        <v>1082</v>
      </c>
      <c r="J49" t="s">
        <v>989</v>
      </c>
      <c r="K49" t="s">
        <v>74</v>
      </c>
      <c r="L49" t="s">
        <v>74</v>
      </c>
      <c r="M49" t="s">
        <v>78</v>
      </c>
      <c r="N49" t="s">
        <v>1083</v>
      </c>
      <c r="O49" t="s">
        <v>74</v>
      </c>
      <c r="P49" t="s">
        <v>74</v>
      </c>
      <c r="Q49" t="s">
        <v>74</v>
      </c>
      <c r="R49" t="s">
        <v>74</v>
      </c>
      <c r="S49" t="s">
        <v>74</v>
      </c>
      <c r="T49" t="s">
        <v>74</v>
      </c>
      <c r="U49" t="s">
        <v>74</v>
      </c>
      <c r="V49" t="s">
        <v>74</v>
      </c>
      <c r="W49" t="s">
        <v>1084</v>
      </c>
      <c r="X49" t="s">
        <v>1085</v>
      </c>
      <c r="Y49" t="s">
        <v>1086</v>
      </c>
      <c r="Z49" t="s">
        <v>1087</v>
      </c>
      <c r="AA49" t="s">
        <v>1088</v>
      </c>
      <c r="AB49" t="s">
        <v>1089</v>
      </c>
      <c r="AC49" t="s">
        <v>74</v>
      </c>
      <c r="AD49" t="s">
        <v>74</v>
      </c>
      <c r="AE49" t="s">
        <v>74</v>
      </c>
      <c r="AF49" t="s">
        <v>74</v>
      </c>
      <c r="AG49">
        <v>1</v>
      </c>
      <c r="AH49">
        <v>0</v>
      </c>
      <c r="AI49">
        <v>0</v>
      </c>
      <c r="AJ49">
        <v>0</v>
      </c>
      <c r="AK49">
        <v>7</v>
      </c>
      <c r="AL49" t="s">
        <v>998</v>
      </c>
      <c r="AM49" t="s">
        <v>657</v>
      </c>
      <c r="AN49" t="s">
        <v>999</v>
      </c>
      <c r="AO49" t="s">
        <v>1000</v>
      </c>
      <c r="AP49" t="s">
        <v>74</v>
      </c>
      <c r="AQ49" t="s">
        <v>74</v>
      </c>
      <c r="AR49" t="s">
        <v>1001</v>
      </c>
      <c r="AS49" t="s">
        <v>1002</v>
      </c>
      <c r="AT49" t="s">
        <v>900</v>
      </c>
      <c r="AU49">
        <v>2019</v>
      </c>
      <c r="AV49">
        <v>9</v>
      </c>
      <c r="AW49" t="s">
        <v>74</v>
      </c>
      <c r="AX49" t="s">
        <v>74</v>
      </c>
      <c r="AY49" t="s">
        <v>74</v>
      </c>
      <c r="AZ49" t="s">
        <v>74</v>
      </c>
      <c r="BA49" t="s">
        <v>74</v>
      </c>
      <c r="BB49" t="s">
        <v>74</v>
      </c>
      <c r="BC49" t="s">
        <v>74</v>
      </c>
      <c r="BD49">
        <v>12660</v>
      </c>
      <c r="BE49" t="s">
        <v>1090</v>
      </c>
      <c r="BF49" t="str">
        <f>HYPERLINK("http://dx.doi.org/10.1038/s41598-019-48629-9","http://dx.doi.org/10.1038/s41598-019-48629-9")</f>
        <v>http://dx.doi.org/10.1038/s41598-019-48629-9</v>
      </c>
      <c r="BG49" t="s">
        <v>74</v>
      </c>
      <c r="BH49" t="s">
        <v>74</v>
      </c>
      <c r="BI49">
        <v>3</v>
      </c>
      <c r="BJ49" t="s">
        <v>1004</v>
      </c>
      <c r="BK49" t="s">
        <v>101</v>
      </c>
      <c r="BL49" t="s">
        <v>1005</v>
      </c>
      <c r="BM49" t="s">
        <v>1091</v>
      </c>
      <c r="BN49">
        <v>31455809</v>
      </c>
      <c r="BO49" t="s">
        <v>313</v>
      </c>
      <c r="BP49" t="s">
        <v>74</v>
      </c>
      <c r="BQ49" t="s">
        <v>74</v>
      </c>
      <c r="BR49" t="s">
        <v>103</v>
      </c>
      <c r="BS49" t="s">
        <v>1092</v>
      </c>
      <c r="BT49" t="str">
        <f>HYPERLINK("https%3A%2F%2Fwww.webofscience.com%2Fwos%2Fwoscc%2Ffull-record%2FWOS:000482887000001","View Full Record in Web of Science")</f>
        <v>View Full Record in Web of Science</v>
      </c>
    </row>
    <row r="50" spans="1:72" x14ac:dyDescent="0.15">
      <c r="A50" t="s">
        <v>72</v>
      </c>
      <c r="B50" t="s">
        <v>1093</v>
      </c>
      <c r="C50" t="s">
        <v>74</v>
      </c>
      <c r="D50" t="s">
        <v>74</v>
      </c>
      <c r="E50" t="s">
        <v>74</v>
      </c>
      <c r="F50" t="s">
        <v>1094</v>
      </c>
      <c r="G50" t="s">
        <v>74</v>
      </c>
      <c r="H50" t="s">
        <v>74</v>
      </c>
      <c r="I50" t="s">
        <v>1095</v>
      </c>
      <c r="J50" t="s">
        <v>855</v>
      </c>
      <c r="K50" t="s">
        <v>74</v>
      </c>
      <c r="L50" t="s">
        <v>74</v>
      </c>
      <c r="M50" t="s">
        <v>78</v>
      </c>
      <c r="N50" t="s">
        <v>108</v>
      </c>
      <c r="O50" t="s">
        <v>74</v>
      </c>
      <c r="P50" t="s">
        <v>74</v>
      </c>
      <c r="Q50" t="s">
        <v>74</v>
      </c>
      <c r="R50" t="s">
        <v>74</v>
      </c>
      <c r="S50" t="s">
        <v>74</v>
      </c>
      <c r="T50" t="s">
        <v>1096</v>
      </c>
      <c r="U50" t="s">
        <v>1097</v>
      </c>
      <c r="V50" t="s">
        <v>1098</v>
      </c>
      <c r="W50" t="s">
        <v>1099</v>
      </c>
      <c r="X50" t="s">
        <v>1100</v>
      </c>
      <c r="Y50" t="s">
        <v>1101</v>
      </c>
      <c r="Z50" t="s">
        <v>1102</v>
      </c>
      <c r="AA50" t="s">
        <v>74</v>
      </c>
      <c r="AB50" t="s">
        <v>1103</v>
      </c>
      <c r="AC50" t="s">
        <v>1104</v>
      </c>
      <c r="AD50" t="s">
        <v>1105</v>
      </c>
      <c r="AE50" t="s">
        <v>1106</v>
      </c>
      <c r="AF50" t="s">
        <v>74</v>
      </c>
      <c r="AG50">
        <v>103</v>
      </c>
      <c r="AH50">
        <v>21</v>
      </c>
      <c r="AI50">
        <v>21</v>
      </c>
      <c r="AJ50">
        <v>1</v>
      </c>
      <c r="AK50">
        <v>17</v>
      </c>
      <c r="AL50" t="s">
        <v>868</v>
      </c>
      <c r="AM50" t="s">
        <v>869</v>
      </c>
      <c r="AN50" t="s">
        <v>870</v>
      </c>
      <c r="AO50" t="s">
        <v>74</v>
      </c>
      <c r="AP50" t="s">
        <v>871</v>
      </c>
      <c r="AQ50" t="s">
        <v>74</v>
      </c>
      <c r="AR50" t="s">
        <v>872</v>
      </c>
      <c r="AS50" t="s">
        <v>873</v>
      </c>
      <c r="AT50" t="s">
        <v>900</v>
      </c>
      <c r="AU50">
        <v>2019</v>
      </c>
      <c r="AV50">
        <v>6</v>
      </c>
      <c r="AW50" t="s">
        <v>74</v>
      </c>
      <c r="AX50" t="s">
        <v>74</v>
      </c>
      <c r="AY50" t="s">
        <v>74</v>
      </c>
      <c r="AZ50" t="s">
        <v>74</v>
      </c>
      <c r="BA50" t="s">
        <v>74</v>
      </c>
      <c r="BB50" t="s">
        <v>74</v>
      </c>
      <c r="BC50" t="s">
        <v>74</v>
      </c>
      <c r="BD50">
        <v>509</v>
      </c>
      <c r="BE50" t="s">
        <v>1107</v>
      </c>
      <c r="BF50" t="str">
        <f>HYPERLINK("http://dx.doi.org/10.3389/fmars.2019.00509","http://dx.doi.org/10.3389/fmars.2019.00509")</f>
        <v>http://dx.doi.org/10.3389/fmars.2019.00509</v>
      </c>
      <c r="BG50" t="s">
        <v>74</v>
      </c>
      <c r="BH50" t="s">
        <v>74</v>
      </c>
      <c r="BI50">
        <v>13</v>
      </c>
      <c r="BJ50" t="s">
        <v>876</v>
      </c>
      <c r="BK50" t="s">
        <v>101</v>
      </c>
      <c r="BL50" t="s">
        <v>877</v>
      </c>
      <c r="BM50" t="s">
        <v>1108</v>
      </c>
      <c r="BN50" t="s">
        <v>74</v>
      </c>
      <c r="BO50" t="s">
        <v>313</v>
      </c>
      <c r="BP50" t="s">
        <v>74</v>
      </c>
      <c r="BQ50" t="s">
        <v>74</v>
      </c>
      <c r="BR50" t="s">
        <v>103</v>
      </c>
      <c r="BS50" t="s">
        <v>1109</v>
      </c>
      <c r="BT50" t="str">
        <f>HYPERLINK("https%3A%2F%2Fwww.webofscience.com%2Fwos%2Fwoscc%2Ffull-record%2FWOS:000482976300001","View Full Record in Web of Science")</f>
        <v>View Full Record in Web of Science</v>
      </c>
    </row>
    <row r="51" spans="1:72" x14ac:dyDescent="0.15">
      <c r="A51" t="s">
        <v>72</v>
      </c>
      <c r="B51" t="s">
        <v>1110</v>
      </c>
      <c r="C51" t="s">
        <v>74</v>
      </c>
      <c r="D51" t="s">
        <v>74</v>
      </c>
      <c r="E51" t="s">
        <v>74</v>
      </c>
      <c r="F51" t="s">
        <v>1111</v>
      </c>
      <c r="G51" t="s">
        <v>74</v>
      </c>
      <c r="H51" t="s">
        <v>74</v>
      </c>
      <c r="I51" t="s">
        <v>1112</v>
      </c>
      <c r="J51" t="s">
        <v>884</v>
      </c>
      <c r="K51" t="s">
        <v>74</v>
      </c>
      <c r="L51" t="s">
        <v>74</v>
      </c>
      <c r="M51" t="s">
        <v>78</v>
      </c>
      <c r="N51" t="s">
        <v>108</v>
      </c>
      <c r="O51" t="s">
        <v>74</v>
      </c>
      <c r="P51" t="s">
        <v>74</v>
      </c>
      <c r="Q51" t="s">
        <v>74</v>
      </c>
      <c r="R51" t="s">
        <v>74</v>
      </c>
      <c r="S51" t="s">
        <v>74</v>
      </c>
      <c r="T51" t="s">
        <v>74</v>
      </c>
      <c r="U51" t="s">
        <v>1113</v>
      </c>
      <c r="V51" t="s">
        <v>1114</v>
      </c>
      <c r="W51" t="s">
        <v>1115</v>
      </c>
      <c r="X51" t="s">
        <v>1116</v>
      </c>
      <c r="Y51" t="s">
        <v>1117</v>
      </c>
      <c r="Z51" t="s">
        <v>1118</v>
      </c>
      <c r="AA51" t="s">
        <v>1119</v>
      </c>
      <c r="AB51" t="s">
        <v>1120</v>
      </c>
      <c r="AC51" t="s">
        <v>1121</v>
      </c>
      <c r="AD51" t="s">
        <v>1122</v>
      </c>
      <c r="AE51" t="s">
        <v>1123</v>
      </c>
      <c r="AF51" t="s">
        <v>74</v>
      </c>
      <c r="AG51">
        <v>40</v>
      </c>
      <c r="AH51">
        <v>102</v>
      </c>
      <c r="AI51">
        <v>110</v>
      </c>
      <c r="AJ51">
        <v>0</v>
      </c>
      <c r="AK51">
        <v>24</v>
      </c>
      <c r="AL51" t="s">
        <v>182</v>
      </c>
      <c r="AM51" t="s">
        <v>183</v>
      </c>
      <c r="AN51" t="s">
        <v>184</v>
      </c>
      <c r="AO51" t="s">
        <v>896</v>
      </c>
      <c r="AP51" t="s">
        <v>897</v>
      </c>
      <c r="AQ51" t="s">
        <v>74</v>
      </c>
      <c r="AR51" t="s">
        <v>898</v>
      </c>
      <c r="AS51" t="s">
        <v>899</v>
      </c>
      <c r="AT51" t="s">
        <v>900</v>
      </c>
      <c r="AU51">
        <v>2019</v>
      </c>
      <c r="AV51">
        <v>46</v>
      </c>
      <c r="AW51">
        <v>16</v>
      </c>
      <c r="AX51" t="s">
        <v>74</v>
      </c>
      <c r="AY51" t="s">
        <v>74</v>
      </c>
      <c r="AZ51" t="s">
        <v>74</v>
      </c>
      <c r="BA51" t="s">
        <v>74</v>
      </c>
      <c r="BB51">
        <v>9710</v>
      </c>
      <c r="BC51">
        <v>9718</v>
      </c>
      <c r="BD51" t="s">
        <v>74</v>
      </c>
      <c r="BE51" t="s">
        <v>1124</v>
      </c>
      <c r="BF51" t="str">
        <f>HYPERLINK("http://dx.doi.org/10.1029/2019GL083826","http://dx.doi.org/10.1029/2019GL083826")</f>
        <v>http://dx.doi.org/10.1029/2019GL083826</v>
      </c>
      <c r="BG51" t="s">
        <v>74</v>
      </c>
      <c r="BH51" t="s">
        <v>74</v>
      </c>
      <c r="BI51">
        <v>9</v>
      </c>
      <c r="BJ51" t="s">
        <v>471</v>
      </c>
      <c r="BK51" t="s">
        <v>101</v>
      </c>
      <c r="BL51" t="s">
        <v>472</v>
      </c>
      <c r="BM51" t="s">
        <v>902</v>
      </c>
      <c r="BN51" t="s">
        <v>74</v>
      </c>
      <c r="BO51" t="s">
        <v>1125</v>
      </c>
      <c r="BP51" t="s">
        <v>74</v>
      </c>
      <c r="BQ51" t="s">
        <v>74</v>
      </c>
      <c r="BR51" t="s">
        <v>103</v>
      </c>
      <c r="BS51" t="s">
        <v>1126</v>
      </c>
      <c r="BT51" t="str">
        <f>HYPERLINK("https%3A%2F%2Fwww.webofscience.com%2Fwos%2Fwoscc%2Ffull-record%2FWOS:000490966700045","View Full Record in Web of Science")</f>
        <v>View Full Record in Web of Science</v>
      </c>
    </row>
    <row r="52" spans="1:72" x14ac:dyDescent="0.15">
      <c r="A52" t="s">
        <v>72</v>
      </c>
      <c r="B52" t="s">
        <v>1127</v>
      </c>
      <c r="C52" t="s">
        <v>74</v>
      </c>
      <c r="D52" t="s">
        <v>74</v>
      </c>
      <c r="E52" t="s">
        <v>74</v>
      </c>
      <c r="F52" t="s">
        <v>1128</v>
      </c>
      <c r="G52" t="s">
        <v>74</v>
      </c>
      <c r="H52" t="s">
        <v>74</v>
      </c>
      <c r="I52" t="s">
        <v>1129</v>
      </c>
      <c r="J52" t="s">
        <v>1130</v>
      </c>
      <c r="K52" t="s">
        <v>74</v>
      </c>
      <c r="L52" t="s">
        <v>74</v>
      </c>
      <c r="M52" t="s">
        <v>78</v>
      </c>
      <c r="N52" t="s">
        <v>108</v>
      </c>
      <c r="O52" t="s">
        <v>74</v>
      </c>
      <c r="P52" t="s">
        <v>74</v>
      </c>
      <c r="Q52" t="s">
        <v>74</v>
      </c>
      <c r="R52" t="s">
        <v>74</v>
      </c>
      <c r="S52" t="s">
        <v>74</v>
      </c>
      <c r="T52" t="s">
        <v>1131</v>
      </c>
      <c r="U52" t="s">
        <v>1132</v>
      </c>
      <c r="V52" t="s">
        <v>1133</v>
      </c>
      <c r="W52" t="s">
        <v>1134</v>
      </c>
      <c r="X52" t="s">
        <v>1135</v>
      </c>
      <c r="Y52" t="s">
        <v>1136</v>
      </c>
      <c r="Z52" t="s">
        <v>1137</v>
      </c>
      <c r="AA52" t="s">
        <v>1138</v>
      </c>
      <c r="AB52" t="s">
        <v>1139</v>
      </c>
      <c r="AC52" t="s">
        <v>74</v>
      </c>
      <c r="AD52" t="s">
        <v>74</v>
      </c>
      <c r="AE52" t="s">
        <v>74</v>
      </c>
      <c r="AF52" t="s">
        <v>74</v>
      </c>
      <c r="AG52">
        <v>57</v>
      </c>
      <c r="AH52">
        <v>16</v>
      </c>
      <c r="AI52">
        <v>17</v>
      </c>
      <c r="AJ52">
        <v>4</v>
      </c>
      <c r="AK52">
        <v>36</v>
      </c>
      <c r="AL52" t="s">
        <v>1140</v>
      </c>
      <c r="AM52" t="s">
        <v>1141</v>
      </c>
      <c r="AN52" t="s">
        <v>1142</v>
      </c>
      <c r="AO52" t="s">
        <v>1143</v>
      </c>
      <c r="AP52" t="s">
        <v>1144</v>
      </c>
      <c r="AQ52" t="s">
        <v>74</v>
      </c>
      <c r="AR52" t="s">
        <v>1145</v>
      </c>
      <c r="AS52" t="s">
        <v>1146</v>
      </c>
      <c r="AT52" t="s">
        <v>1147</v>
      </c>
      <c r="AU52">
        <v>2019</v>
      </c>
      <c r="AV52">
        <v>27</v>
      </c>
      <c r="AW52">
        <v>6</v>
      </c>
      <c r="AX52" t="s">
        <v>74</v>
      </c>
      <c r="AY52" t="s">
        <v>74</v>
      </c>
      <c r="AZ52" t="s">
        <v>74</v>
      </c>
      <c r="BA52" t="s">
        <v>74</v>
      </c>
      <c r="BB52">
        <v>1442</v>
      </c>
      <c r="BC52">
        <v>1451</v>
      </c>
      <c r="BD52" t="s">
        <v>74</v>
      </c>
      <c r="BE52" t="s">
        <v>1148</v>
      </c>
      <c r="BF52" t="str">
        <f>HYPERLINK("http://dx.doi.org/10.1111/rec.13019","http://dx.doi.org/10.1111/rec.13019")</f>
        <v>http://dx.doi.org/10.1111/rec.13019</v>
      </c>
      <c r="BG52" t="s">
        <v>74</v>
      </c>
      <c r="BH52" t="s">
        <v>1149</v>
      </c>
      <c r="BI52">
        <v>10</v>
      </c>
      <c r="BJ52" t="s">
        <v>1150</v>
      </c>
      <c r="BK52" t="s">
        <v>101</v>
      </c>
      <c r="BL52" t="s">
        <v>799</v>
      </c>
      <c r="BM52" t="s">
        <v>1151</v>
      </c>
      <c r="BN52" t="s">
        <v>74</v>
      </c>
      <c r="BO52" t="s">
        <v>74</v>
      </c>
      <c r="BP52" t="s">
        <v>74</v>
      </c>
      <c r="BQ52" t="s">
        <v>74</v>
      </c>
      <c r="BR52" t="s">
        <v>103</v>
      </c>
      <c r="BS52" t="s">
        <v>1152</v>
      </c>
      <c r="BT52" t="str">
        <f>HYPERLINK("https%3A%2F%2Fwww.webofscience.com%2Fwos%2Fwoscc%2Ffull-record%2FWOS:000483971200001","View Full Record in Web of Science")</f>
        <v>View Full Record in Web of Science</v>
      </c>
    </row>
    <row r="53" spans="1:72" x14ac:dyDescent="0.15">
      <c r="A53" t="s">
        <v>72</v>
      </c>
      <c r="B53" t="s">
        <v>1153</v>
      </c>
      <c r="C53" t="s">
        <v>74</v>
      </c>
      <c r="D53" t="s">
        <v>74</v>
      </c>
      <c r="E53" t="s">
        <v>74</v>
      </c>
      <c r="F53" t="s">
        <v>1154</v>
      </c>
      <c r="G53" t="s">
        <v>74</v>
      </c>
      <c r="H53" t="s">
        <v>74</v>
      </c>
      <c r="I53" t="s">
        <v>1155</v>
      </c>
      <c r="J53" t="s">
        <v>1156</v>
      </c>
      <c r="K53" t="s">
        <v>74</v>
      </c>
      <c r="L53" t="s">
        <v>74</v>
      </c>
      <c r="M53" t="s">
        <v>78</v>
      </c>
      <c r="N53" t="s">
        <v>108</v>
      </c>
      <c r="O53" t="s">
        <v>74</v>
      </c>
      <c r="P53" t="s">
        <v>74</v>
      </c>
      <c r="Q53" t="s">
        <v>74</v>
      </c>
      <c r="R53" t="s">
        <v>74</v>
      </c>
      <c r="S53" t="s">
        <v>74</v>
      </c>
      <c r="T53" t="s">
        <v>1157</v>
      </c>
      <c r="U53" t="s">
        <v>1158</v>
      </c>
      <c r="V53" t="s">
        <v>1159</v>
      </c>
      <c r="W53" t="s">
        <v>1160</v>
      </c>
      <c r="X53" t="s">
        <v>1161</v>
      </c>
      <c r="Y53" t="s">
        <v>1162</v>
      </c>
      <c r="Z53" t="s">
        <v>1163</v>
      </c>
      <c r="AA53" t="s">
        <v>1164</v>
      </c>
      <c r="AB53" t="s">
        <v>74</v>
      </c>
      <c r="AC53" t="s">
        <v>1165</v>
      </c>
      <c r="AD53" t="s">
        <v>1166</v>
      </c>
      <c r="AE53" t="s">
        <v>1167</v>
      </c>
      <c r="AF53" t="s">
        <v>74</v>
      </c>
      <c r="AG53">
        <v>102</v>
      </c>
      <c r="AH53">
        <v>9</v>
      </c>
      <c r="AI53">
        <v>9</v>
      </c>
      <c r="AJ53">
        <v>3</v>
      </c>
      <c r="AK53">
        <v>21</v>
      </c>
      <c r="AL53" t="s">
        <v>868</v>
      </c>
      <c r="AM53" t="s">
        <v>869</v>
      </c>
      <c r="AN53" t="s">
        <v>870</v>
      </c>
      <c r="AO53" t="s">
        <v>74</v>
      </c>
      <c r="AP53" t="s">
        <v>1168</v>
      </c>
      <c r="AQ53" t="s">
        <v>74</v>
      </c>
      <c r="AR53" t="s">
        <v>1169</v>
      </c>
      <c r="AS53" t="s">
        <v>1170</v>
      </c>
      <c r="AT53" t="s">
        <v>1171</v>
      </c>
      <c r="AU53">
        <v>2019</v>
      </c>
      <c r="AV53">
        <v>10</v>
      </c>
      <c r="AW53" t="s">
        <v>74</v>
      </c>
      <c r="AX53" t="s">
        <v>74</v>
      </c>
      <c r="AY53" t="s">
        <v>74</v>
      </c>
      <c r="AZ53" t="s">
        <v>74</v>
      </c>
      <c r="BA53" t="s">
        <v>74</v>
      </c>
      <c r="BB53" t="s">
        <v>74</v>
      </c>
      <c r="BC53" t="s">
        <v>74</v>
      </c>
      <c r="BD53">
        <v>1053</v>
      </c>
      <c r="BE53" t="s">
        <v>1172</v>
      </c>
      <c r="BF53" t="str">
        <f>HYPERLINK("http://dx.doi.org/10.3389/fphys.2019.01053","http://dx.doi.org/10.3389/fphys.2019.01053")</f>
        <v>http://dx.doi.org/10.3389/fphys.2019.01053</v>
      </c>
      <c r="BG53" t="s">
        <v>74</v>
      </c>
      <c r="BH53" t="s">
        <v>74</v>
      </c>
      <c r="BI53">
        <v>14</v>
      </c>
      <c r="BJ53" t="s">
        <v>1173</v>
      </c>
      <c r="BK53" t="s">
        <v>101</v>
      </c>
      <c r="BL53" t="s">
        <v>1173</v>
      </c>
      <c r="BM53" t="s">
        <v>1174</v>
      </c>
      <c r="BN53">
        <v>31507435</v>
      </c>
      <c r="BO53" t="s">
        <v>331</v>
      </c>
      <c r="BP53" t="s">
        <v>74</v>
      </c>
      <c r="BQ53" t="s">
        <v>74</v>
      </c>
      <c r="BR53" t="s">
        <v>103</v>
      </c>
      <c r="BS53" t="s">
        <v>1175</v>
      </c>
      <c r="BT53" t="str">
        <f>HYPERLINK("https%3A%2F%2Fwww.webofscience.com%2Fwos%2Fwoscc%2Ffull-record%2FWOS:000482835300001","View Full Record in Web of Science")</f>
        <v>View Full Record in Web of Science</v>
      </c>
    </row>
    <row r="54" spans="1:72" x14ac:dyDescent="0.15">
      <c r="A54" t="s">
        <v>72</v>
      </c>
      <c r="B54" t="s">
        <v>1176</v>
      </c>
      <c r="C54" t="s">
        <v>74</v>
      </c>
      <c r="D54" t="s">
        <v>74</v>
      </c>
      <c r="E54" t="s">
        <v>74</v>
      </c>
      <c r="F54" t="s">
        <v>1177</v>
      </c>
      <c r="G54" t="s">
        <v>74</v>
      </c>
      <c r="H54" t="s">
        <v>74</v>
      </c>
      <c r="I54" t="s">
        <v>1178</v>
      </c>
      <c r="J54" t="s">
        <v>1179</v>
      </c>
      <c r="K54" t="s">
        <v>74</v>
      </c>
      <c r="L54" t="s">
        <v>74</v>
      </c>
      <c r="M54" t="s">
        <v>78</v>
      </c>
      <c r="N54" t="s">
        <v>108</v>
      </c>
      <c r="O54" t="s">
        <v>74</v>
      </c>
      <c r="P54" t="s">
        <v>74</v>
      </c>
      <c r="Q54" t="s">
        <v>74</v>
      </c>
      <c r="R54" t="s">
        <v>74</v>
      </c>
      <c r="S54" t="s">
        <v>74</v>
      </c>
      <c r="T54" t="s">
        <v>74</v>
      </c>
      <c r="U54" t="s">
        <v>1180</v>
      </c>
      <c r="V54" t="s">
        <v>1181</v>
      </c>
      <c r="W54" t="s">
        <v>1182</v>
      </c>
      <c r="X54" t="s">
        <v>1183</v>
      </c>
      <c r="Y54" t="s">
        <v>1184</v>
      </c>
      <c r="Z54" t="s">
        <v>1185</v>
      </c>
      <c r="AA54" t="s">
        <v>1186</v>
      </c>
      <c r="AB54" t="s">
        <v>1187</v>
      </c>
      <c r="AC54" t="s">
        <v>1188</v>
      </c>
      <c r="AD54" t="s">
        <v>1189</v>
      </c>
      <c r="AE54" t="s">
        <v>1190</v>
      </c>
      <c r="AF54" t="s">
        <v>74</v>
      </c>
      <c r="AG54">
        <v>44</v>
      </c>
      <c r="AH54">
        <v>13</v>
      </c>
      <c r="AI54">
        <v>13</v>
      </c>
      <c r="AJ54">
        <v>0</v>
      </c>
      <c r="AK54">
        <v>2</v>
      </c>
      <c r="AL54" t="s">
        <v>839</v>
      </c>
      <c r="AM54" t="s">
        <v>840</v>
      </c>
      <c r="AN54" t="s">
        <v>841</v>
      </c>
      <c r="AO54" t="s">
        <v>1191</v>
      </c>
      <c r="AP54" t="s">
        <v>1192</v>
      </c>
      <c r="AQ54" t="s">
        <v>74</v>
      </c>
      <c r="AR54" t="s">
        <v>1193</v>
      </c>
      <c r="AS54" t="s">
        <v>1194</v>
      </c>
      <c r="AT54" t="s">
        <v>1171</v>
      </c>
      <c r="AU54">
        <v>2019</v>
      </c>
      <c r="AV54">
        <v>12</v>
      </c>
      <c r="AW54">
        <v>8</v>
      </c>
      <c r="AX54" t="s">
        <v>74</v>
      </c>
      <c r="AY54" t="s">
        <v>74</v>
      </c>
      <c r="AZ54" t="s">
        <v>74</v>
      </c>
      <c r="BA54" t="s">
        <v>74</v>
      </c>
      <c r="BB54">
        <v>3745</v>
      </c>
      <c r="BC54">
        <v>3758</v>
      </c>
      <c r="BD54" t="s">
        <v>74</v>
      </c>
      <c r="BE54" t="s">
        <v>1195</v>
      </c>
      <c r="BF54" t="str">
        <f>HYPERLINK("http://dx.doi.org/10.5194/gmd-12-3745-2019","http://dx.doi.org/10.5194/gmd-12-3745-2019")</f>
        <v>http://dx.doi.org/10.5194/gmd-12-3745-2019</v>
      </c>
      <c r="BG54" t="s">
        <v>74</v>
      </c>
      <c r="BH54" t="s">
        <v>74</v>
      </c>
      <c r="BI54">
        <v>14</v>
      </c>
      <c r="BJ54" t="s">
        <v>471</v>
      </c>
      <c r="BK54" t="s">
        <v>101</v>
      </c>
      <c r="BL54" t="s">
        <v>472</v>
      </c>
      <c r="BM54" t="s">
        <v>1196</v>
      </c>
      <c r="BN54" t="s">
        <v>74</v>
      </c>
      <c r="BO54" t="s">
        <v>1197</v>
      </c>
      <c r="BP54" t="s">
        <v>74</v>
      </c>
      <c r="BQ54" t="s">
        <v>74</v>
      </c>
      <c r="BR54" t="s">
        <v>103</v>
      </c>
      <c r="BS54" t="s">
        <v>1198</v>
      </c>
      <c r="BT54" t="str">
        <f>HYPERLINK("https%3A%2F%2Fwww.webofscience.com%2Fwos%2Fwoscc%2Ffull-record%2FWOS:000483043100001","View Full Record in Web of Science")</f>
        <v>View Full Record in Web of Science</v>
      </c>
    </row>
    <row r="55" spans="1:72" x14ac:dyDescent="0.15">
      <c r="A55" t="s">
        <v>72</v>
      </c>
      <c r="B55" t="s">
        <v>1199</v>
      </c>
      <c r="C55" t="s">
        <v>74</v>
      </c>
      <c r="D55" t="s">
        <v>74</v>
      </c>
      <c r="E55" t="s">
        <v>74</v>
      </c>
      <c r="F55" t="s">
        <v>1200</v>
      </c>
      <c r="G55" t="s">
        <v>74</v>
      </c>
      <c r="H55" t="s">
        <v>74</v>
      </c>
      <c r="I55" t="s">
        <v>1201</v>
      </c>
      <c r="J55" t="s">
        <v>989</v>
      </c>
      <c r="K55" t="s">
        <v>74</v>
      </c>
      <c r="L55" t="s">
        <v>74</v>
      </c>
      <c r="M55" t="s">
        <v>78</v>
      </c>
      <c r="N55" t="s">
        <v>108</v>
      </c>
      <c r="O55" t="s">
        <v>74</v>
      </c>
      <c r="P55" t="s">
        <v>74</v>
      </c>
      <c r="Q55" t="s">
        <v>74</v>
      </c>
      <c r="R55" t="s">
        <v>74</v>
      </c>
      <c r="S55" t="s">
        <v>74</v>
      </c>
      <c r="T55" t="s">
        <v>74</v>
      </c>
      <c r="U55" t="s">
        <v>1202</v>
      </c>
      <c r="V55" t="s">
        <v>1203</v>
      </c>
      <c r="W55" t="s">
        <v>1204</v>
      </c>
      <c r="X55" t="s">
        <v>1205</v>
      </c>
      <c r="Y55" t="s">
        <v>1206</v>
      </c>
      <c r="Z55" t="s">
        <v>1207</v>
      </c>
      <c r="AA55" t="s">
        <v>1208</v>
      </c>
      <c r="AB55" t="s">
        <v>1209</v>
      </c>
      <c r="AC55" t="s">
        <v>1210</v>
      </c>
      <c r="AD55" t="s">
        <v>1211</v>
      </c>
      <c r="AE55" t="s">
        <v>1212</v>
      </c>
      <c r="AF55" t="s">
        <v>74</v>
      </c>
      <c r="AG55">
        <v>40</v>
      </c>
      <c r="AH55">
        <v>11</v>
      </c>
      <c r="AI55">
        <v>12</v>
      </c>
      <c r="AJ55">
        <v>2</v>
      </c>
      <c r="AK55">
        <v>17</v>
      </c>
      <c r="AL55" t="s">
        <v>998</v>
      </c>
      <c r="AM55" t="s">
        <v>657</v>
      </c>
      <c r="AN55" t="s">
        <v>999</v>
      </c>
      <c r="AO55" t="s">
        <v>1000</v>
      </c>
      <c r="AP55" t="s">
        <v>74</v>
      </c>
      <c r="AQ55" t="s">
        <v>74</v>
      </c>
      <c r="AR55" t="s">
        <v>1001</v>
      </c>
      <c r="AS55" t="s">
        <v>1002</v>
      </c>
      <c r="AT55" t="s">
        <v>1171</v>
      </c>
      <c r="AU55">
        <v>2019</v>
      </c>
      <c r="AV55">
        <v>9</v>
      </c>
      <c r="AW55" t="s">
        <v>74</v>
      </c>
      <c r="AX55" t="s">
        <v>74</v>
      </c>
      <c r="AY55" t="s">
        <v>74</v>
      </c>
      <c r="AZ55" t="s">
        <v>74</v>
      </c>
      <c r="BA55" t="s">
        <v>74</v>
      </c>
      <c r="BB55" t="s">
        <v>74</v>
      </c>
      <c r="BC55" t="s">
        <v>74</v>
      </c>
      <c r="BD55">
        <v>12378</v>
      </c>
      <c r="BE55" t="s">
        <v>1213</v>
      </c>
      <c r="BF55" t="str">
        <f>HYPERLINK("http://dx.doi.org/10.1038/s41598-019-48801-1","http://dx.doi.org/10.1038/s41598-019-48801-1")</f>
        <v>http://dx.doi.org/10.1038/s41598-019-48801-1</v>
      </c>
      <c r="BG55" t="s">
        <v>74</v>
      </c>
      <c r="BH55" t="s">
        <v>74</v>
      </c>
      <c r="BI55">
        <v>8</v>
      </c>
      <c r="BJ55" t="s">
        <v>1004</v>
      </c>
      <c r="BK55" t="s">
        <v>101</v>
      </c>
      <c r="BL55" t="s">
        <v>1005</v>
      </c>
      <c r="BM55" t="s">
        <v>1214</v>
      </c>
      <c r="BN55">
        <v>31455786</v>
      </c>
      <c r="BO55" t="s">
        <v>313</v>
      </c>
      <c r="BP55" t="s">
        <v>74</v>
      </c>
      <c r="BQ55" t="s">
        <v>74</v>
      </c>
      <c r="BR55" t="s">
        <v>103</v>
      </c>
      <c r="BS55" t="s">
        <v>1215</v>
      </c>
      <c r="BT55" t="str">
        <f>HYPERLINK("https%3A%2F%2Fwww.webofscience.com%2Fwos%2Fwoscc%2Ffull-record%2FWOS:000482708500001","View Full Record in Web of Science")</f>
        <v>View Full Record in Web of Science</v>
      </c>
    </row>
    <row r="56" spans="1:72" x14ac:dyDescent="0.15">
      <c r="A56" t="s">
        <v>72</v>
      </c>
      <c r="B56" t="s">
        <v>1216</v>
      </c>
      <c r="C56" t="s">
        <v>74</v>
      </c>
      <c r="D56" t="s">
        <v>74</v>
      </c>
      <c r="E56" t="s">
        <v>74</v>
      </c>
      <c r="F56" t="s">
        <v>1217</v>
      </c>
      <c r="G56" t="s">
        <v>74</v>
      </c>
      <c r="H56" t="s">
        <v>74</v>
      </c>
      <c r="I56" t="s">
        <v>1218</v>
      </c>
      <c r="J56" t="s">
        <v>989</v>
      </c>
      <c r="K56" t="s">
        <v>74</v>
      </c>
      <c r="L56" t="s">
        <v>74</v>
      </c>
      <c r="M56" t="s">
        <v>78</v>
      </c>
      <c r="N56" t="s">
        <v>108</v>
      </c>
      <c r="O56" t="s">
        <v>74</v>
      </c>
      <c r="P56" t="s">
        <v>74</v>
      </c>
      <c r="Q56" t="s">
        <v>74</v>
      </c>
      <c r="R56" t="s">
        <v>74</v>
      </c>
      <c r="S56" t="s">
        <v>74</v>
      </c>
      <c r="T56" t="s">
        <v>74</v>
      </c>
      <c r="U56" t="s">
        <v>1219</v>
      </c>
      <c r="V56" t="s">
        <v>1220</v>
      </c>
      <c r="W56" t="s">
        <v>1221</v>
      </c>
      <c r="X56" t="s">
        <v>1222</v>
      </c>
      <c r="Y56" t="s">
        <v>1223</v>
      </c>
      <c r="Z56" t="s">
        <v>1224</v>
      </c>
      <c r="AA56" t="s">
        <v>1225</v>
      </c>
      <c r="AB56" t="s">
        <v>1226</v>
      </c>
      <c r="AC56" t="s">
        <v>1227</v>
      </c>
      <c r="AD56" t="s">
        <v>90</v>
      </c>
      <c r="AE56" t="s">
        <v>1228</v>
      </c>
      <c r="AF56" t="s">
        <v>74</v>
      </c>
      <c r="AG56">
        <v>63</v>
      </c>
      <c r="AH56">
        <v>12</v>
      </c>
      <c r="AI56">
        <v>12</v>
      </c>
      <c r="AJ56">
        <v>1</v>
      </c>
      <c r="AK56">
        <v>10</v>
      </c>
      <c r="AL56" t="s">
        <v>1019</v>
      </c>
      <c r="AM56" t="s">
        <v>1020</v>
      </c>
      <c r="AN56" t="s">
        <v>1021</v>
      </c>
      <c r="AO56" t="s">
        <v>1000</v>
      </c>
      <c r="AP56" t="s">
        <v>74</v>
      </c>
      <c r="AQ56" t="s">
        <v>74</v>
      </c>
      <c r="AR56" t="s">
        <v>1001</v>
      </c>
      <c r="AS56" t="s">
        <v>1002</v>
      </c>
      <c r="AT56" t="s">
        <v>1229</v>
      </c>
      <c r="AU56">
        <v>2019</v>
      </c>
      <c r="AV56">
        <v>9</v>
      </c>
      <c r="AW56" t="s">
        <v>74</v>
      </c>
      <c r="AX56" t="s">
        <v>74</v>
      </c>
      <c r="AY56" t="s">
        <v>74</v>
      </c>
      <c r="AZ56" t="s">
        <v>74</v>
      </c>
      <c r="BA56" t="s">
        <v>74</v>
      </c>
      <c r="BB56" t="s">
        <v>74</v>
      </c>
      <c r="BC56" t="s">
        <v>74</v>
      </c>
      <c r="BD56">
        <v>12375</v>
      </c>
      <c r="BE56" t="s">
        <v>1230</v>
      </c>
      <c r="BF56" t="str">
        <f>HYPERLINK("http://dx.doi.org/10.1038/s41598-019-48665-5","http://dx.doi.org/10.1038/s41598-019-48665-5")</f>
        <v>http://dx.doi.org/10.1038/s41598-019-48665-5</v>
      </c>
      <c r="BG56" t="s">
        <v>74</v>
      </c>
      <c r="BH56" t="s">
        <v>74</v>
      </c>
      <c r="BI56">
        <v>10</v>
      </c>
      <c r="BJ56" t="s">
        <v>1004</v>
      </c>
      <c r="BK56" t="s">
        <v>101</v>
      </c>
      <c r="BL56" t="s">
        <v>1005</v>
      </c>
      <c r="BM56" t="s">
        <v>1231</v>
      </c>
      <c r="BN56">
        <v>31451724</v>
      </c>
      <c r="BO56" t="s">
        <v>402</v>
      </c>
      <c r="BP56" t="s">
        <v>74</v>
      </c>
      <c r="BQ56" t="s">
        <v>74</v>
      </c>
      <c r="BR56" t="s">
        <v>103</v>
      </c>
      <c r="BS56" t="s">
        <v>1232</v>
      </c>
      <c r="BT56" t="str">
        <f>HYPERLINK("https%3A%2F%2Fwww.webofscience.com%2Fwos%2Fwoscc%2Ffull-record%2FWOS:000482564800031","View Full Record in Web of Science")</f>
        <v>View Full Record in Web of Science</v>
      </c>
    </row>
    <row r="57" spans="1:72" x14ac:dyDescent="0.15">
      <c r="A57" t="s">
        <v>72</v>
      </c>
      <c r="B57" t="s">
        <v>1233</v>
      </c>
      <c r="C57" t="s">
        <v>74</v>
      </c>
      <c r="D57" t="s">
        <v>74</v>
      </c>
      <c r="E57" t="s">
        <v>74</v>
      </c>
      <c r="F57" t="s">
        <v>1234</v>
      </c>
      <c r="G57" t="s">
        <v>74</v>
      </c>
      <c r="H57" t="s">
        <v>74</v>
      </c>
      <c r="I57" t="s">
        <v>1235</v>
      </c>
      <c r="J57" t="s">
        <v>1236</v>
      </c>
      <c r="K57" t="s">
        <v>74</v>
      </c>
      <c r="L57" t="s">
        <v>74</v>
      </c>
      <c r="M57" t="s">
        <v>78</v>
      </c>
      <c r="N57" t="s">
        <v>108</v>
      </c>
      <c r="O57" t="s">
        <v>74</v>
      </c>
      <c r="P57" t="s">
        <v>74</v>
      </c>
      <c r="Q57" t="s">
        <v>74</v>
      </c>
      <c r="R57" t="s">
        <v>74</v>
      </c>
      <c r="S57" t="s">
        <v>74</v>
      </c>
      <c r="T57" t="s">
        <v>74</v>
      </c>
      <c r="U57" t="s">
        <v>1237</v>
      </c>
      <c r="V57" t="s">
        <v>1238</v>
      </c>
      <c r="W57" t="s">
        <v>1239</v>
      </c>
      <c r="X57" t="s">
        <v>1240</v>
      </c>
      <c r="Y57" t="s">
        <v>1241</v>
      </c>
      <c r="Z57" t="s">
        <v>1242</v>
      </c>
      <c r="AA57" t="s">
        <v>1243</v>
      </c>
      <c r="AB57" t="s">
        <v>1244</v>
      </c>
      <c r="AC57" t="s">
        <v>1245</v>
      </c>
      <c r="AD57" t="s">
        <v>1246</v>
      </c>
      <c r="AE57" t="s">
        <v>1247</v>
      </c>
      <c r="AF57" t="s">
        <v>74</v>
      </c>
      <c r="AG57">
        <v>57</v>
      </c>
      <c r="AH57">
        <v>22</v>
      </c>
      <c r="AI57">
        <v>25</v>
      </c>
      <c r="AJ57">
        <v>0</v>
      </c>
      <c r="AK57">
        <v>29</v>
      </c>
      <c r="AL57" t="s">
        <v>1140</v>
      </c>
      <c r="AM57" t="s">
        <v>1141</v>
      </c>
      <c r="AN57" t="s">
        <v>1142</v>
      </c>
      <c r="AO57" t="s">
        <v>1248</v>
      </c>
      <c r="AP57" t="s">
        <v>74</v>
      </c>
      <c r="AQ57" t="s">
        <v>74</v>
      </c>
      <c r="AR57" t="s">
        <v>1249</v>
      </c>
      <c r="AS57" t="s">
        <v>1250</v>
      </c>
      <c r="AT57" t="s">
        <v>1251</v>
      </c>
      <c r="AU57">
        <v>2019</v>
      </c>
      <c r="AV57">
        <v>11</v>
      </c>
      <c r="AW57">
        <v>5</v>
      </c>
      <c r="AX57" t="s">
        <v>74</v>
      </c>
      <c r="AY57" t="s">
        <v>74</v>
      </c>
      <c r="AZ57" t="s">
        <v>74</v>
      </c>
      <c r="BA57" t="s">
        <v>74</v>
      </c>
      <c r="BB57">
        <v>718</v>
      </c>
      <c r="BC57">
        <v>726</v>
      </c>
      <c r="BD57" t="s">
        <v>74</v>
      </c>
      <c r="BE57" t="s">
        <v>1252</v>
      </c>
      <c r="BF57" t="str">
        <f>HYPERLINK("http://dx.doi.org/10.1111/1758-2229.12788","http://dx.doi.org/10.1111/1758-2229.12788")</f>
        <v>http://dx.doi.org/10.1111/1758-2229.12788</v>
      </c>
      <c r="BG57" t="s">
        <v>74</v>
      </c>
      <c r="BH57" t="s">
        <v>1149</v>
      </c>
      <c r="BI57">
        <v>9</v>
      </c>
      <c r="BJ57" t="s">
        <v>1253</v>
      </c>
      <c r="BK57" t="s">
        <v>101</v>
      </c>
      <c r="BL57" t="s">
        <v>1254</v>
      </c>
      <c r="BM57" t="s">
        <v>1255</v>
      </c>
      <c r="BN57">
        <v>31393667</v>
      </c>
      <c r="BO57" t="s">
        <v>1256</v>
      </c>
      <c r="BP57" t="s">
        <v>74</v>
      </c>
      <c r="BQ57" t="s">
        <v>74</v>
      </c>
      <c r="BR57" t="s">
        <v>103</v>
      </c>
      <c r="BS57" t="s">
        <v>1257</v>
      </c>
      <c r="BT57" t="str">
        <f>HYPERLINK("https%3A%2F%2Fwww.webofscience.com%2Fwos%2Fwoscc%2Ffull-record%2FWOS:000482694700001","View Full Record in Web of Science")</f>
        <v>View Full Record in Web of Science</v>
      </c>
    </row>
    <row r="58" spans="1:72" x14ac:dyDescent="0.15">
      <c r="A58" t="s">
        <v>72</v>
      </c>
      <c r="B58" t="s">
        <v>1258</v>
      </c>
      <c r="C58" t="s">
        <v>74</v>
      </c>
      <c r="D58" t="s">
        <v>74</v>
      </c>
      <c r="E58" t="s">
        <v>74</v>
      </c>
      <c r="F58" t="s">
        <v>1259</v>
      </c>
      <c r="G58" t="s">
        <v>74</v>
      </c>
      <c r="H58" t="s">
        <v>74</v>
      </c>
      <c r="I58" t="s">
        <v>1260</v>
      </c>
      <c r="J58" t="s">
        <v>1261</v>
      </c>
      <c r="K58" t="s">
        <v>74</v>
      </c>
      <c r="L58" t="s">
        <v>74</v>
      </c>
      <c r="M58" t="s">
        <v>78</v>
      </c>
      <c r="N58" t="s">
        <v>108</v>
      </c>
      <c r="O58" t="s">
        <v>74</v>
      </c>
      <c r="P58" t="s">
        <v>74</v>
      </c>
      <c r="Q58" t="s">
        <v>74</v>
      </c>
      <c r="R58" t="s">
        <v>74</v>
      </c>
      <c r="S58" t="s">
        <v>74</v>
      </c>
      <c r="T58" t="s">
        <v>1262</v>
      </c>
      <c r="U58" t="s">
        <v>1263</v>
      </c>
      <c r="V58" t="s">
        <v>1264</v>
      </c>
      <c r="W58" t="s">
        <v>1265</v>
      </c>
      <c r="X58" t="s">
        <v>1266</v>
      </c>
      <c r="Y58" t="s">
        <v>1267</v>
      </c>
      <c r="Z58" t="s">
        <v>1268</v>
      </c>
      <c r="AA58" t="s">
        <v>1269</v>
      </c>
      <c r="AB58" t="s">
        <v>1270</v>
      </c>
      <c r="AC58" t="s">
        <v>1271</v>
      </c>
      <c r="AD58" t="s">
        <v>1272</v>
      </c>
      <c r="AE58" t="s">
        <v>1273</v>
      </c>
      <c r="AF58" t="s">
        <v>74</v>
      </c>
      <c r="AG58">
        <v>63</v>
      </c>
      <c r="AH58">
        <v>6</v>
      </c>
      <c r="AI58">
        <v>7</v>
      </c>
      <c r="AJ58">
        <v>2</v>
      </c>
      <c r="AK58">
        <v>21</v>
      </c>
      <c r="AL58" t="s">
        <v>1274</v>
      </c>
      <c r="AM58" t="s">
        <v>1275</v>
      </c>
      <c r="AN58" t="s">
        <v>1276</v>
      </c>
      <c r="AO58" t="s">
        <v>1277</v>
      </c>
      <c r="AP58" t="s">
        <v>1278</v>
      </c>
      <c r="AQ58" t="s">
        <v>74</v>
      </c>
      <c r="AR58" t="s">
        <v>1279</v>
      </c>
      <c r="AS58" t="s">
        <v>1280</v>
      </c>
      <c r="AT58" t="s">
        <v>1281</v>
      </c>
      <c r="AU58">
        <v>2020</v>
      </c>
      <c r="AV58">
        <v>55</v>
      </c>
      <c r="AW58">
        <v>1</v>
      </c>
      <c r="AX58" t="s">
        <v>74</v>
      </c>
      <c r="AY58" t="s">
        <v>74</v>
      </c>
      <c r="AZ58" t="s">
        <v>74</v>
      </c>
      <c r="BA58" t="s">
        <v>74</v>
      </c>
      <c r="BB58">
        <v>49</v>
      </c>
      <c r="BC58">
        <v>63</v>
      </c>
      <c r="BD58" t="s">
        <v>74</v>
      </c>
      <c r="BE58" t="s">
        <v>1282</v>
      </c>
      <c r="BF58" t="str">
        <f>HYPERLINK("http://dx.doi.org/10.1080/09670262.2019.1638524","http://dx.doi.org/10.1080/09670262.2019.1638524")</f>
        <v>http://dx.doi.org/10.1080/09670262.2019.1638524</v>
      </c>
      <c r="BG58" t="s">
        <v>74</v>
      </c>
      <c r="BH58" t="s">
        <v>1149</v>
      </c>
      <c r="BI58">
        <v>15</v>
      </c>
      <c r="BJ58" t="s">
        <v>1283</v>
      </c>
      <c r="BK58" t="s">
        <v>101</v>
      </c>
      <c r="BL58" t="s">
        <v>1283</v>
      </c>
      <c r="BM58" t="s">
        <v>1284</v>
      </c>
      <c r="BN58" t="s">
        <v>74</v>
      </c>
      <c r="BO58" t="s">
        <v>74</v>
      </c>
      <c r="BP58" t="s">
        <v>74</v>
      </c>
      <c r="BQ58" t="s">
        <v>74</v>
      </c>
      <c r="BR58" t="s">
        <v>103</v>
      </c>
      <c r="BS58" t="s">
        <v>1285</v>
      </c>
      <c r="BT58" t="str">
        <f>HYPERLINK("https%3A%2F%2Fwww.webofscience.com%2Fwos%2Fwoscc%2Ffull-record%2FWOS:000483822700001","View Full Record in Web of Science")</f>
        <v>View Full Record in Web of Science</v>
      </c>
    </row>
    <row r="59" spans="1:72" x14ac:dyDescent="0.15">
      <c r="A59" t="s">
        <v>72</v>
      </c>
      <c r="B59" t="s">
        <v>1286</v>
      </c>
      <c r="C59" t="s">
        <v>74</v>
      </c>
      <c r="D59" t="s">
        <v>74</v>
      </c>
      <c r="E59" t="s">
        <v>74</v>
      </c>
      <c r="F59" t="s">
        <v>1287</v>
      </c>
      <c r="G59" t="s">
        <v>74</v>
      </c>
      <c r="H59" t="s">
        <v>74</v>
      </c>
      <c r="I59" t="s">
        <v>1288</v>
      </c>
      <c r="J59" t="s">
        <v>1289</v>
      </c>
      <c r="K59" t="s">
        <v>74</v>
      </c>
      <c r="L59" t="s">
        <v>74</v>
      </c>
      <c r="M59" t="s">
        <v>78</v>
      </c>
      <c r="N59" t="s">
        <v>108</v>
      </c>
      <c r="O59" t="s">
        <v>74</v>
      </c>
      <c r="P59" t="s">
        <v>74</v>
      </c>
      <c r="Q59" t="s">
        <v>74</v>
      </c>
      <c r="R59" t="s">
        <v>74</v>
      </c>
      <c r="S59" t="s">
        <v>74</v>
      </c>
      <c r="T59" t="s">
        <v>1290</v>
      </c>
      <c r="U59" t="s">
        <v>1291</v>
      </c>
      <c r="V59" t="s">
        <v>1292</v>
      </c>
      <c r="W59" t="s">
        <v>1293</v>
      </c>
      <c r="X59" t="s">
        <v>1294</v>
      </c>
      <c r="Y59" t="s">
        <v>1295</v>
      </c>
      <c r="Z59" t="s">
        <v>1296</v>
      </c>
      <c r="AA59" t="s">
        <v>1297</v>
      </c>
      <c r="AB59" t="s">
        <v>1298</v>
      </c>
      <c r="AC59" t="s">
        <v>1299</v>
      </c>
      <c r="AD59" t="s">
        <v>1299</v>
      </c>
      <c r="AE59" t="s">
        <v>1300</v>
      </c>
      <c r="AF59" t="s">
        <v>74</v>
      </c>
      <c r="AG59">
        <v>71</v>
      </c>
      <c r="AH59">
        <v>7</v>
      </c>
      <c r="AI59">
        <v>10</v>
      </c>
      <c r="AJ59">
        <v>2</v>
      </c>
      <c r="AK59">
        <v>30</v>
      </c>
      <c r="AL59" t="s">
        <v>1140</v>
      </c>
      <c r="AM59" t="s">
        <v>1141</v>
      </c>
      <c r="AN59" t="s">
        <v>1142</v>
      </c>
      <c r="AO59" t="s">
        <v>1301</v>
      </c>
      <c r="AP59" t="s">
        <v>1302</v>
      </c>
      <c r="AQ59" t="s">
        <v>74</v>
      </c>
      <c r="AR59" t="s">
        <v>1303</v>
      </c>
      <c r="AS59" t="s">
        <v>1304</v>
      </c>
      <c r="AT59" t="s">
        <v>1305</v>
      </c>
      <c r="AU59">
        <v>2019</v>
      </c>
      <c r="AV59">
        <v>44</v>
      </c>
      <c r="AW59">
        <v>8</v>
      </c>
      <c r="AX59" t="s">
        <v>74</v>
      </c>
      <c r="AY59" t="s">
        <v>74</v>
      </c>
      <c r="AZ59" t="s">
        <v>74</v>
      </c>
      <c r="BA59" t="s">
        <v>74</v>
      </c>
      <c r="BB59">
        <v>1384</v>
      </c>
      <c r="BC59">
        <v>1397</v>
      </c>
      <c r="BD59" t="s">
        <v>74</v>
      </c>
      <c r="BE59" t="s">
        <v>1306</v>
      </c>
      <c r="BF59" t="str">
        <f>HYPERLINK("http://dx.doi.org/10.1111/aec.12812","http://dx.doi.org/10.1111/aec.12812")</f>
        <v>http://dx.doi.org/10.1111/aec.12812</v>
      </c>
      <c r="BG59" t="s">
        <v>74</v>
      </c>
      <c r="BH59" t="s">
        <v>1149</v>
      </c>
      <c r="BI59">
        <v>14</v>
      </c>
      <c r="BJ59" t="s">
        <v>1150</v>
      </c>
      <c r="BK59" t="s">
        <v>101</v>
      </c>
      <c r="BL59" t="s">
        <v>799</v>
      </c>
      <c r="BM59" t="s">
        <v>1307</v>
      </c>
      <c r="BN59" t="s">
        <v>74</v>
      </c>
      <c r="BO59" t="s">
        <v>1308</v>
      </c>
      <c r="BP59" t="s">
        <v>74</v>
      </c>
      <c r="BQ59" t="s">
        <v>74</v>
      </c>
      <c r="BR59" t="s">
        <v>103</v>
      </c>
      <c r="BS59" t="s">
        <v>1309</v>
      </c>
      <c r="BT59" t="str">
        <f>HYPERLINK("https%3A%2F%2Fwww.webofscience.com%2Fwos%2Fwoscc%2Ffull-record%2FWOS:000483259400001","View Full Record in Web of Science")</f>
        <v>View Full Record in Web of Science</v>
      </c>
    </row>
    <row r="60" spans="1:72" x14ac:dyDescent="0.15">
      <c r="A60" t="s">
        <v>72</v>
      </c>
      <c r="B60" t="s">
        <v>1310</v>
      </c>
      <c r="C60" t="s">
        <v>74</v>
      </c>
      <c r="D60" t="s">
        <v>74</v>
      </c>
      <c r="E60" t="s">
        <v>74</v>
      </c>
      <c r="F60" t="s">
        <v>1311</v>
      </c>
      <c r="G60" t="s">
        <v>74</v>
      </c>
      <c r="H60" t="s">
        <v>74</v>
      </c>
      <c r="I60" t="s">
        <v>1312</v>
      </c>
      <c r="J60" t="s">
        <v>1313</v>
      </c>
      <c r="K60" t="s">
        <v>74</v>
      </c>
      <c r="L60" t="s">
        <v>74</v>
      </c>
      <c r="M60" t="s">
        <v>78</v>
      </c>
      <c r="N60" t="s">
        <v>1314</v>
      </c>
      <c r="O60" t="s">
        <v>74</v>
      </c>
      <c r="P60" t="s">
        <v>74</v>
      </c>
      <c r="Q60" t="s">
        <v>74</v>
      </c>
      <c r="R60" t="s">
        <v>74</v>
      </c>
      <c r="S60" t="s">
        <v>74</v>
      </c>
      <c r="T60" t="s">
        <v>74</v>
      </c>
      <c r="U60" t="s">
        <v>74</v>
      </c>
      <c r="V60" t="s">
        <v>74</v>
      </c>
      <c r="W60" t="s">
        <v>74</v>
      </c>
      <c r="X60" t="s">
        <v>74</v>
      </c>
      <c r="Y60" t="s">
        <v>74</v>
      </c>
      <c r="Z60" t="s">
        <v>74</v>
      </c>
      <c r="AA60" t="s">
        <v>74</v>
      </c>
      <c r="AB60" t="s">
        <v>74</v>
      </c>
      <c r="AC60" t="s">
        <v>74</v>
      </c>
      <c r="AD60" t="s">
        <v>74</v>
      </c>
      <c r="AE60" t="s">
        <v>74</v>
      </c>
      <c r="AF60" t="s">
        <v>74</v>
      </c>
      <c r="AG60">
        <v>0</v>
      </c>
      <c r="AH60">
        <v>0</v>
      </c>
      <c r="AI60">
        <v>0</v>
      </c>
      <c r="AJ60">
        <v>0</v>
      </c>
      <c r="AK60">
        <v>1</v>
      </c>
      <c r="AL60" t="s">
        <v>1315</v>
      </c>
      <c r="AM60" t="s">
        <v>1316</v>
      </c>
      <c r="AN60" t="s">
        <v>1317</v>
      </c>
      <c r="AO60" t="s">
        <v>1318</v>
      </c>
      <c r="AP60" t="s">
        <v>74</v>
      </c>
      <c r="AQ60" t="s">
        <v>74</v>
      </c>
      <c r="AR60" t="s">
        <v>1319</v>
      </c>
      <c r="AS60" t="s">
        <v>1320</v>
      </c>
      <c r="AT60" t="s">
        <v>1321</v>
      </c>
      <c r="AU60">
        <v>2019</v>
      </c>
      <c r="AV60">
        <v>243</v>
      </c>
      <c r="AW60">
        <v>3244</v>
      </c>
      <c r="AX60" t="s">
        <v>74</v>
      </c>
      <c r="AY60" t="s">
        <v>74</v>
      </c>
      <c r="AZ60" t="s">
        <v>74</v>
      </c>
      <c r="BA60" t="s">
        <v>74</v>
      </c>
      <c r="BB60">
        <v>14</v>
      </c>
      <c r="BC60">
        <v>14</v>
      </c>
      <c r="BD60" t="s">
        <v>74</v>
      </c>
      <c r="BE60" t="s">
        <v>1322</v>
      </c>
      <c r="BF60" t="str">
        <f>HYPERLINK("http://dx.doi.org/10.1016/S0262-4079(19)31562-3","http://dx.doi.org/10.1016/S0262-4079(19)31562-3")</f>
        <v>http://dx.doi.org/10.1016/S0262-4079(19)31562-3</v>
      </c>
      <c r="BG60" t="s">
        <v>74</v>
      </c>
      <c r="BH60" t="s">
        <v>74</v>
      </c>
      <c r="BI60">
        <v>1</v>
      </c>
      <c r="BJ60" t="s">
        <v>1004</v>
      </c>
      <c r="BK60" t="s">
        <v>101</v>
      </c>
      <c r="BL60" t="s">
        <v>1005</v>
      </c>
      <c r="BM60" t="s">
        <v>1323</v>
      </c>
      <c r="BN60" t="s">
        <v>74</v>
      </c>
      <c r="BO60" t="s">
        <v>74</v>
      </c>
      <c r="BP60" t="s">
        <v>74</v>
      </c>
      <c r="BQ60" t="s">
        <v>74</v>
      </c>
      <c r="BR60" t="s">
        <v>103</v>
      </c>
      <c r="BS60" t="s">
        <v>1324</v>
      </c>
      <c r="BT60" t="str">
        <f>HYPERLINK("https%3A%2F%2Fwww.webofscience.com%2Fwos%2Fwoscc%2Ffull-record%2FWOS:000482545200015","View Full Record in Web of Science")</f>
        <v>View Full Record in Web of Science</v>
      </c>
    </row>
    <row r="61" spans="1:72" x14ac:dyDescent="0.15">
      <c r="A61" t="s">
        <v>72</v>
      </c>
      <c r="B61" t="s">
        <v>1325</v>
      </c>
      <c r="C61" t="s">
        <v>74</v>
      </c>
      <c r="D61" t="s">
        <v>74</v>
      </c>
      <c r="E61" t="s">
        <v>74</v>
      </c>
      <c r="F61" t="s">
        <v>1326</v>
      </c>
      <c r="G61" t="s">
        <v>74</v>
      </c>
      <c r="H61" t="s">
        <v>74</v>
      </c>
      <c r="I61" t="s">
        <v>1327</v>
      </c>
      <c r="J61" t="s">
        <v>1328</v>
      </c>
      <c r="K61" t="s">
        <v>74</v>
      </c>
      <c r="L61" t="s">
        <v>74</v>
      </c>
      <c r="M61" t="s">
        <v>78</v>
      </c>
      <c r="N61" t="s">
        <v>108</v>
      </c>
      <c r="O61" t="s">
        <v>74</v>
      </c>
      <c r="P61" t="s">
        <v>74</v>
      </c>
      <c r="Q61" t="s">
        <v>74</v>
      </c>
      <c r="R61" t="s">
        <v>74</v>
      </c>
      <c r="S61" t="s">
        <v>74</v>
      </c>
      <c r="T61" t="s">
        <v>1329</v>
      </c>
      <c r="U61" t="s">
        <v>1330</v>
      </c>
      <c r="V61" t="s">
        <v>1331</v>
      </c>
      <c r="W61" t="s">
        <v>1332</v>
      </c>
      <c r="X61" t="s">
        <v>1333</v>
      </c>
      <c r="Y61" t="s">
        <v>1334</v>
      </c>
      <c r="Z61" t="s">
        <v>1335</v>
      </c>
      <c r="AA61" t="s">
        <v>1336</v>
      </c>
      <c r="AB61" t="s">
        <v>74</v>
      </c>
      <c r="AC61" t="s">
        <v>1337</v>
      </c>
      <c r="AD61" t="s">
        <v>1338</v>
      </c>
      <c r="AE61" t="s">
        <v>1339</v>
      </c>
      <c r="AF61" t="s">
        <v>74</v>
      </c>
      <c r="AG61">
        <v>76</v>
      </c>
      <c r="AH61">
        <v>8</v>
      </c>
      <c r="AI61">
        <v>8</v>
      </c>
      <c r="AJ61">
        <v>0</v>
      </c>
      <c r="AK61">
        <v>7</v>
      </c>
      <c r="AL61" t="s">
        <v>1340</v>
      </c>
      <c r="AM61" t="s">
        <v>1341</v>
      </c>
      <c r="AN61" t="s">
        <v>1342</v>
      </c>
      <c r="AO61" t="s">
        <v>1343</v>
      </c>
      <c r="AP61" t="s">
        <v>1344</v>
      </c>
      <c r="AQ61" t="s">
        <v>74</v>
      </c>
      <c r="AR61" t="s">
        <v>1328</v>
      </c>
      <c r="AS61" t="s">
        <v>1345</v>
      </c>
      <c r="AT61" t="s">
        <v>1346</v>
      </c>
      <c r="AU61">
        <v>2019</v>
      </c>
      <c r="AV61">
        <v>4658</v>
      </c>
      <c r="AW61">
        <v>3</v>
      </c>
      <c r="AX61" t="s">
        <v>74</v>
      </c>
      <c r="AY61" t="s">
        <v>74</v>
      </c>
      <c r="AZ61" t="s">
        <v>74</v>
      </c>
      <c r="BA61" t="s">
        <v>74</v>
      </c>
      <c r="BB61">
        <v>461</v>
      </c>
      <c r="BC61">
        <v>508</v>
      </c>
      <c r="BD61" t="s">
        <v>74</v>
      </c>
      <c r="BE61" t="s">
        <v>1347</v>
      </c>
      <c r="BF61" t="str">
        <f>HYPERLINK("http://dx.doi.org/10.11646/zootaxa.4658.3.3","http://dx.doi.org/10.11646/zootaxa.4658.3.3")</f>
        <v>http://dx.doi.org/10.11646/zootaxa.4658.3.3</v>
      </c>
      <c r="BG61" t="s">
        <v>74</v>
      </c>
      <c r="BH61" t="s">
        <v>74</v>
      </c>
      <c r="BI61">
        <v>48</v>
      </c>
      <c r="BJ61" t="s">
        <v>1348</v>
      </c>
      <c r="BK61" t="s">
        <v>101</v>
      </c>
      <c r="BL61" t="s">
        <v>1348</v>
      </c>
      <c r="BM61" t="s">
        <v>1349</v>
      </c>
      <c r="BN61">
        <v>31716731</v>
      </c>
      <c r="BO61" t="s">
        <v>74</v>
      </c>
      <c r="BP61" t="s">
        <v>74</v>
      </c>
      <c r="BQ61" t="s">
        <v>74</v>
      </c>
      <c r="BR61" t="s">
        <v>103</v>
      </c>
      <c r="BS61" t="s">
        <v>1350</v>
      </c>
      <c r="BT61" t="str">
        <f>HYPERLINK("https%3A%2F%2Fwww.webofscience.com%2Fwos%2Fwoscc%2Ffull-record%2FWOS:000482550800003","View Full Record in Web of Science")</f>
        <v>View Full Record in Web of Science</v>
      </c>
    </row>
    <row r="62" spans="1:72" x14ac:dyDescent="0.15">
      <c r="A62" t="s">
        <v>72</v>
      </c>
      <c r="B62" t="s">
        <v>1351</v>
      </c>
      <c r="C62" t="s">
        <v>74</v>
      </c>
      <c r="D62" t="s">
        <v>74</v>
      </c>
      <c r="E62" t="s">
        <v>74</v>
      </c>
      <c r="F62" t="s">
        <v>1352</v>
      </c>
      <c r="G62" t="s">
        <v>74</v>
      </c>
      <c r="H62" t="s">
        <v>74</v>
      </c>
      <c r="I62" t="s">
        <v>1353</v>
      </c>
      <c r="J62" t="s">
        <v>1179</v>
      </c>
      <c r="K62" t="s">
        <v>74</v>
      </c>
      <c r="L62" t="s">
        <v>74</v>
      </c>
      <c r="M62" t="s">
        <v>78</v>
      </c>
      <c r="N62" t="s">
        <v>108</v>
      </c>
      <c r="O62" t="s">
        <v>74</v>
      </c>
      <c r="P62" t="s">
        <v>74</v>
      </c>
      <c r="Q62" t="s">
        <v>74</v>
      </c>
      <c r="R62" t="s">
        <v>74</v>
      </c>
      <c r="S62" t="s">
        <v>74</v>
      </c>
      <c r="T62" t="s">
        <v>74</v>
      </c>
      <c r="U62" t="s">
        <v>1354</v>
      </c>
      <c r="V62" t="s">
        <v>1355</v>
      </c>
      <c r="W62" t="s">
        <v>1356</v>
      </c>
      <c r="X62" t="s">
        <v>1357</v>
      </c>
      <c r="Y62" t="s">
        <v>1358</v>
      </c>
      <c r="Z62" t="s">
        <v>1359</v>
      </c>
      <c r="AA62" t="s">
        <v>1360</v>
      </c>
      <c r="AB62" t="s">
        <v>1361</v>
      </c>
      <c r="AC62" t="s">
        <v>1362</v>
      </c>
      <c r="AD62" t="s">
        <v>1363</v>
      </c>
      <c r="AE62" t="s">
        <v>1364</v>
      </c>
      <c r="AF62" t="s">
        <v>74</v>
      </c>
      <c r="AG62">
        <v>238</v>
      </c>
      <c r="AH62">
        <v>26</v>
      </c>
      <c r="AI62">
        <v>26</v>
      </c>
      <c r="AJ62">
        <v>0</v>
      </c>
      <c r="AK62">
        <v>32</v>
      </c>
      <c r="AL62" t="s">
        <v>839</v>
      </c>
      <c r="AM62" t="s">
        <v>840</v>
      </c>
      <c r="AN62" t="s">
        <v>841</v>
      </c>
      <c r="AO62" t="s">
        <v>1191</v>
      </c>
      <c r="AP62" t="s">
        <v>1192</v>
      </c>
      <c r="AQ62" t="s">
        <v>74</v>
      </c>
      <c r="AR62" t="s">
        <v>1193</v>
      </c>
      <c r="AS62" t="s">
        <v>1194</v>
      </c>
      <c r="AT62" t="s">
        <v>1365</v>
      </c>
      <c r="AU62">
        <v>2019</v>
      </c>
      <c r="AV62">
        <v>12</v>
      </c>
      <c r="AW62">
        <v>8</v>
      </c>
      <c r="AX62" t="s">
        <v>74</v>
      </c>
      <c r="AY62" t="s">
        <v>74</v>
      </c>
      <c r="AZ62" t="s">
        <v>74</v>
      </c>
      <c r="BA62" t="s">
        <v>74</v>
      </c>
      <c r="BB62">
        <v>3649</v>
      </c>
      <c r="BC62">
        <v>3685</v>
      </c>
      <c r="BD62" t="s">
        <v>74</v>
      </c>
      <c r="BE62" t="s">
        <v>1366</v>
      </c>
      <c r="BF62" t="str">
        <f>HYPERLINK("http://dx.doi.org/10.5194/gmd-12-3649-2019","http://dx.doi.org/10.5194/gmd-12-3649-2019")</f>
        <v>http://dx.doi.org/10.5194/gmd-12-3649-2019</v>
      </c>
      <c r="BG62" t="s">
        <v>74</v>
      </c>
      <c r="BH62" t="s">
        <v>74</v>
      </c>
      <c r="BI62">
        <v>37</v>
      </c>
      <c r="BJ62" t="s">
        <v>471</v>
      </c>
      <c r="BK62" t="s">
        <v>101</v>
      </c>
      <c r="BL62" t="s">
        <v>472</v>
      </c>
      <c r="BM62" t="s">
        <v>1367</v>
      </c>
      <c r="BN62" t="s">
        <v>74</v>
      </c>
      <c r="BO62" t="s">
        <v>1368</v>
      </c>
      <c r="BP62" t="s">
        <v>74</v>
      </c>
      <c r="BQ62" t="s">
        <v>74</v>
      </c>
      <c r="BR62" t="s">
        <v>103</v>
      </c>
      <c r="BS62" t="s">
        <v>1369</v>
      </c>
      <c r="BT62" t="str">
        <f>HYPERLINK("https%3A%2F%2Fwww.webofscience.com%2Fwos%2Fwoscc%2Ffull-record%2FWOS:000482520600002","View Full Record in Web of Science")</f>
        <v>View Full Record in Web of Science</v>
      </c>
    </row>
    <row r="63" spans="1:72" x14ac:dyDescent="0.15">
      <c r="A63" t="s">
        <v>72</v>
      </c>
      <c r="B63" t="s">
        <v>1370</v>
      </c>
      <c r="C63" t="s">
        <v>74</v>
      </c>
      <c r="D63" t="s">
        <v>74</v>
      </c>
      <c r="E63" t="s">
        <v>74</v>
      </c>
      <c r="F63" t="s">
        <v>1371</v>
      </c>
      <c r="G63" t="s">
        <v>74</v>
      </c>
      <c r="H63" t="s">
        <v>74</v>
      </c>
      <c r="I63" t="s">
        <v>1372</v>
      </c>
      <c r="J63" t="s">
        <v>1373</v>
      </c>
      <c r="K63" t="s">
        <v>74</v>
      </c>
      <c r="L63" t="s">
        <v>74</v>
      </c>
      <c r="M63" t="s">
        <v>78</v>
      </c>
      <c r="N63" t="s">
        <v>108</v>
      </c>
      <c r="O63" t="s">
        <v>74</v>
      </c>
      <c r="P63" t="s">
        <v>74</v>
      </c>
      <c r="Q63" t="s">
        <v>74</v>
      </c>
      <c r="R63" t="s">
        <v>74</v>
      </c>
      <c r="S63" t="s">
        <v>74</v>
      </c>
      <c r="T63" t="s">
        <v>74</v>
      </c>
      <c r="U63" t="s">
        <v>1374</v>
      </c>
      <c r="V63" t="s">
        <v>1375</v>
      </c>
      <c r="W63" t="s">
        <v>1376</v>
      </c>
      <c r="X63" t="s">
        <v>1377</v>
      </c>
      <c r="Y63" t="s">
        <v>1378</v>
      </c>
      <c r="Z63" t="s">
        <v>1379</v>
      </c>
      <c r="AA63" t="s">
        <v>1380</v>
      </c>
      <c r="AB63" t="s">
        <v>1381</v>
      </c>
      <c r="AC63" t="s">
        <v>1382</v>
      </c>
      <c r="AD63" t="s">
        <v>1383</v>
      </c>
      <c r="AE63" t="s">
        <v>1384</v>
      </c>
      <c r="AF63" t="s">
        <v>74</v>
      </c>
      <c r="AG63">
        <v>61</v>
      </c>
      <c r="AH63">
        <v>46</v>
      </c>
      <c r="AI63">
        <v>47</v>
      </c>
      <c r="AJ63">
        <v>2</v>
      </c>
      <c r="AK63">
        <v>22</v>
      </c>
      <c r="AL63" t="s">
        <v>1019</v>
      </c>
      <c r="AM63" t="s">
        <v>1020</v>
      </c>
      <c r="AN63" t="s">
        <v>1021</v>
      </c>
      <c r="AO63" t="s">
        <v>74</v>
      </c>
      <c r="AP63" t="s">
        <v>1385</v>
      </c>
      <c r="AQ63" t="s">
        <v>74</v>
      </c>
      <c r="AR63" t="s">
        <v>1386</v>
      </c>
      <c r="AS63" t="s">
        <v>1387</v>
      </c>
      <c r="AT63" t="s">
        <v>1365</v>
      </c>
      <c r="AU63">
        <v>2019</v>
      </c>
      <c r="AV63">
        <v>10</v>
      </c>
      <c r="AW63" t="s">
        <v>74</v>
      </c>
      <c r="AX63" t="s">
        <v>74</v>
      </c>
      <c r="AY63" t="s">
        <v>74</v>
      </c>
      <c r="AZ63" t="s">
        <v>74</v>
      </c>
      <c r="BA63" t="s">
        <v>74</v>
      </c>
      <c r="BB63" t="s">
        <v>74</v>
      </c>
      <c r="BC63" t="s">
        <v>74</v>
      </c>
      <c r="BD63">
        <v>3797</v>
      </c>
      <c r="BE63" t="s">
        <v>1388</v>
      </c>
      <c r="BF63" t="str">
        <f>HYPERLINK("http://dx.doi.org/10.1038/s41467-019-11828-z","http://dx.doi.org/10.1038/s41467-019-11828-z")</f>
        <v>http://dx.doi.org/10.1038/s41467-019-11828-z</v>
      </c>
      <c r="BG63" t="s">
        <v>74</v>
      </c>
      <c r="BH63" t="s">
        <v>74</v>
      </c>
      <c r="BI63">
        <v>9</v>
      </c>
      <c r="BJ63" t="s">
        <v>1004</v>
      </c>
      <c r="BK63" t="s">
        <v>101</v>
      </c>
      <c r="BL63" t="s">
        <v>1005</v>
      </c>
      <c r="BM63" t="s">
        <v>1389</v>
      </c>
      <c r="BN63">
        <v>31439843</v>
      </c>
      <c r="BO63" t="s">
        <v>313</v>
      </c>
      <c r="BP63" t="s">
        <v>74</v>
      </c>
      <c r="BQ63" t="s">
        <v>74</v>
      </c>
      <c r="BR63" t="s">
        <v>103</v>
      </c>
      <c r="BS63" t="s">
        <v>1390</v>
      </c>
      <c r="BT63" t="str">
        <f>HYPERLINK("https%3A%2F%2Fwww.webofscience.com%2Fwos%2Fwoscc%2Ffull-record%2FWOS:000482183400006","View Full Record in Web of Science")</f>
        <v>View Full Record in Web of Science</v>
      </c>
    </row>
    <row r="64" spans="1:72" x14ac:dyDescent="0.15">
      <c r="A64" t="s">
        <v>72</v>
      </c>
      <c r="B64" t="s">
        <v>1391</v>
      </c>
      <c r="C64" t="s">
        <v>74</v>
      </c>
      <c r="D64" t="s">
        <v>74</v>
      </c>
      <c r="E64" t="s">
        <v>74</v>
      </c>
      <c r="F64" t="s">
        <v>1392</v>
      </c>
      <c r="G64" t="s">
        <v>74</v>
      </c>
      <c r="H64" t="s">
        <v>74</v>
      </c>
      <c r="I64" t="s">
        <v>1393</v>
      </c>
      <c r="J64" t="s">
        <v>1394</v>
      </c>
      <c r="K64" t="s">
        <v>74</v>
      </c>
      <c r="L64" t="s">
        <v>74</v>
      </c>
      <c r="M64" t="s">
        <v>78</v>
      </c>
      <c r="N64" t="s">
        <v>108</v>
      </c>
      <c r="O64" t="s">
        <v>74</v>
      </c>
      <c r="P64" t="s">
        <v>74</v>
      </c>
      <c r="Q64" t="s">
        <v>74</v>
      </c>
      <c r="R64" t="s">
        <v>74</v>
      </c>
      <c r="S64" t="s">
        <v>74</v>
      </c>
      <c r="T64" t="s">
        <v>1395</v>
      </c>
      <c r="U64" t="s">
        <v>1396</v>
      </c>
      <c r="V64" t="s">
        <v>1397</v>
      </c>
      <c r="W64" t="s">
        <v>1398</v>
      </c>
      <c r="X64" t="s">
        <v>1399</v>
      </c>
      <c r="Y64" t="s">
        <v>1400</v>
      </c>
      <c r="Z64" t="s">
        <v>1401</v>
      </c>
      <c r="AA64" t="s">
        <v>1402</v>
      </c>
      <c r="AB64" t="s">
        <v>1403</v>
      </c>
      <c r="AC64" t="s">
        <v>1404</v>
      </c>
      <c r="AD64" t="s">
        <v>1405</v>
      </c>
      <c r="AE64" t="s">
        <v>1406</v>
      </c>
      <c r="AF64" t="s">
        <v>74</v>
      </c>
      <c r="AG64">
        <v>66</v>
      </c>
      <c r="AH64">
        <v>17</v>
      </c>
      <c r="AI64">
        <v>18</v>
      </c>
      <c r="AJ64">
        <v>0</v>
      </c>
      <c r="AK64">
        <v>4</v>
      </c>
      <c r="AL64" t="s">
        <v>1407</v>
      </c>
      <c r="AM64" t="s">
        <v>1408</v>
      </c>
      <c r="AN64" t="s">
        <v>1409</v>
      </c>
      <c r="AO64" t="s">
        <v>1410</v>
      </c>
      <c r="AP64" t="s">
        <v>1411</v>
      </c>
      <c r="AQ64" t="s">
        <v>74</v>
      </c>
      <c r="AR64" t="s">
        <v>1412</v>
      </c>
      <c r="AS64" t="s">
        <v>1413</v>
      </c>
      <c r="AT64" t="s">
        <v>1414</v>
      </c>
      <c r="AU64">
        <v>2020</v>
      </c>
      <c r="AV64">
        <v>62</v>
      </c>
      <c r="AW64">
        <v>11</v>
      </c>
      <c r="AX64" t="s">
        <v>74</v>
      </c>
      <c r="AY64" t="s">
        <v>74</v>
      </c>
      <c r="AZ64" t="s">
        <v>74</v>
      </c>
      <c r="BA64" t="s">
        <v>74</v>
      </c>
      <c r="BB64">
        <v>1467</v>
      </c>
      <c r="BC64">
        <v>1484</v>
      </c>
      <c r="BD64" t="s">
        <v>74</v>
      </c>
      <c r="BE64" t="s">
        <v>1415</v>
      </c>
      <c r="BF64" t="str">
        <f>HYPERLINK("http://dx.doi.org/10.1080/00206814.2019.1655669","http://dx.doi.org/10.1080/00206814.2019.1655669")</f>
        <v>http://dx.doi.org/10.1080/00206814.2019.1655669</v>
      </c>
      <c r="BG64" t="s">
        <v>74</v>
      </c>
      <c r="BH64" t="s">
        <v>1149</v>
      </c>
      <c r="BI64">
        <v>18</v>
      </c>
      <c r="BJ64" t="s">
        <v>472</v>
      </c>
      <c r="BK64" t="s">
        <v>101</v>
      </c>
      <c r="BL64" t="s">
        <v>472</v>
      </c>
      <c r="BM64" t="s">
        <v>1416</v>
      </c>
      <c r="BN64" t="s">
        <v>74</v>
      </c>
      <c r="BO64" t="s">
        <v>1417</v>
      </c>
      <c r="BP64" t="s">
        <v>74</v>
      </c>
      <c r="BQ64" t="s">
        <v>74</v>
      </c>
      <c r="BR64" t="s">
        <v>103</v>
      </c>
      <c r="BS64" t="s">
        <v>1418</v>
      </c>
      <c r="BT64" t="str">
        <f>HYPERLINK("https%3A%2F%2Fwww.webofscience.com%2Fwos%2Fwoscc%2Ffull-record%2FWOS:000482734800001","View Full Record in Web of Science")</f>
        <v>View Full Record in Web of Science</v>
      </c>
    </row>
    <row r="65" spans="1:72" x14ac:dyDescent="0.15">
      <c r="A65" t="s">
        <v>72</v>
      </c>
      <c r="B65" t="s">
        <v>1419</v>
      </c>
      <c r="C65" t="s">
        <v>74</v>
      </c>
      <c r="D65" t="s">
        <v>74</v>
      </c>
      <c r="E65" t="s">
        <v>74</v>
      </c>
      <c r="F65" t="s">
        <v>1420</v>
      </c>
      <c r="G65" t="s">
        <v>74</v>
      </c>
      <c r="H65" t="s">
        <v>74</v>
      </c>
      <c r="I65" t="s">
        <v>1421</v>
      </c>
      <c r="J65" t="s">
        <v>1422</v>
      </c>
      <c r="K65" t="s">
        <v>74</v>
      </c>
      <c r="L65" t="s">
        <v>74</v>
      </c>
      <c r="M65" t="s">
        <v>78</v>
      </c>
      <c r="N65" t="s">
        <v>108</v>
      </c>
      <c r="O65" t="s">
        <v>74</v>
      </c>
      <c r="P65" t="s">
        <v>74</v>
      </c>
      <c r="Q65" t="s">
        <v>74</v>
      </c>
      <c r="R65" t="s">
        <v>74</v>
      </c>
      <c r="S65" t="s">
        <v>74</v>
      </c>
      <c r="T65" t="s">
        <v>1423</v>
      </c>
      <c r="U65" t="s">
        <v>1424</v>
      </c>
      <c r="V65" t="s">
        <v>1425</v>
      </c>
      <c r="W65" t="s">
        <v>1426</v>
      </c>
      <c r="X65" t="s">
        <v>1427</v>
      </c>
      <c r="Y65" t="s">
        <v>1428</v>
      </c>
      <c r="Z65" t="s">
        <v>1429</v>
      </c>
      <c r="AA65" t="s">
        <v>1430</v>
      </c>
      <c r="AB65" t="s">
        <v>1431</v>
      </c>
      <c r="AC65" t="s">
        <v>1432</v>
      </c>
      <c r="AD65" t="s">
        <v>1433</v>
      </c>
      <c r="AE65" t="s">
        <v>1434</v>
      </c>
      <c r="AF65" t="s">
        <v>74</v>
      </c>
      <c r="AG65">
        <v>96</v>
      </c>
      <c r="AH65">
        <v>16</v>
      </c>
      <c r="AI65">
        <v>16</v>
      </c>
      <c r="AJ65">
        <v>2</v>
      </c>
      <c r="AK65">
        <v>16</v>
      </c>
      <c r="AL65" t="s">
        <v>1140</v>
      </c>
      <c r="AM65" t="s">
        <v>1141</v>
      </c>
      <c r="AN65" t="s">
        <v>1142</v>
      </c>
      <c r="AO65" t="s">
        <v>1435</v>
      </c>
      <c r="AP65" t="s">
        <v>1436</v>
      </c>
      <c r="AQ65" t="s">
        <v>74</v>
      </c>
      <c r="AR65" t="s">
        <v>1437</v>
      </c>
      <c r="AS65" t="s">
        <v>1438</v>
      </c>
      <c r="AT65" t="s">
        <v>1439</v>
      </c>
      <c r="AU65">
        <v>2020</v>
      </c>
      <c r="AV65">
        <v>31</v>
      </c>
      <c r="AW65">
        <v>1</v>
      </c>
      <c r="AX65" t="s">
        <v>74</v>
      </c>
      <c r="AY65" t="s">
        <v>74</v>
      </c>
      <c r="AZ65" t="s">
        <v>74</v>
      </c>
      <c r="BA65" t="s">
        <v>74</v>
      </c>
      <c r="BB65">
        <v>141</v>
      </c>
      <c r="BC65">
        <v>155</v>
      </c>
      <c r="BD65" t="s">
        <v>74</v>
      </c>
      <c r="BE65" t="s">
        <v>1440</v>
      </c>
      <c r="BF65" t="str">
        <f>HYPERLINK("http://dx.doi.org/10.1002/ppp.2018","http://dx.doi.org/10.1002/ppp.2018")</f>
        <v>http://dx.doi.org/10.1002/ppp.2018</v>
      </c>
      <c r="BG65" t="s">
        <v>74</v>
      </c>
      <c r="BH65" t="s">
        <v>1149</v>
      </c>
      <c r="BI65">
        <v>15</v>
      </c>
      <c r="BJ65" t="s">
        <v>1441</v>
      </c>
      <c r="BK65" t="s">
        <v>101</v>
      </c>
      <c r="BL65" t="s">
        <v>311</v>
      </c>
      <c r="BM65" t="s">
        <v>1442</v>
      </c>
      <c r="BN65" t="s">
        <v>74</v>
      </c>
      <c r="BO65" t="s">
        <v>1308</v>
      </c>
      <c r="BP65" t="s">
        <v>74</v>
      </c>
      <c r="BQ65" t="s">
        <v>74</v>
      </c>
      <c r="BR65" t="s">
        <v>103</v>
      </c>
      <c r="BS65" t="s">
        <v>1443</v>
      </c>
      <c r="BT65" t="str">
        <f>HYPERLINK("https%3A%2F%2Fwww.webofscience.com%2Fwos%2Fwoscc%2Ffull-record%2FWOS:000482869100001","View Full Record in Web of Science")</f>
        <v>View Full Record in Web of Science</v>
      </c>
    </row>
    <row r="66" spans="1:72" x14ac:dyDescent="0.15">
      <c r="A66" t="s">
        <v>72</v>
      </c>
      <c r="B66" t="s">
        <v>1444</v>
      </c>
      <c r="C66" t="s">
        <v>74</v>
      </c>
      <c r="D66" t="s">
        <v>74</v>
      </c>
      <c r="E66" t="s">
        <v>74</v>
      </c>
      <c r="F66" t="s">
        <v>1445</v>
      </c>
      <c r="G66" t="s">
        <v>74</v>
      </c>
      <c r="H66" t="s">
        <v>74</v>
      </c>
      <c r="I66" t="s">
        <v>1446</v>
      </c>
      <c r="J66" t="s">
        <v>1447</v>
      </c>
      <c r="K66" t="s">
        <v>74</v>
      </c>
      <c r="L66" t="s">
        <v>74</v>
      </c>
      <c r="M66" t="s">
        <v>78</v>
      </c>
      <c r="N66" t="s">
        <v>108</v>
      </c>
      <c r="O66" t="s">
        <v>74</v>
      </c>
      <c r="P66" t="s">
        <v>74</v>
      </c>
      <c r="Q66" t="s">
        <v>74</v>
      </c>
      <c r="R66" t="s">
        <v>74</v>
      </c>
      <c r="S66" t="s">
        <v>74</v>
      </c>
      <c r="T66" t="s">
        <v>1448</v>
      </c>
      <c r="U66" t="s">
        <v>74</v>
      </c>
      <c r="V66" t="s">
        <v>1449</v>
      </c>
      <c r="W66" t="s">
        <v>1450</v>
      </c>
      <c r="X66" t="s">
        <v>1451</v>
      </c>
      <c r="Y66" t="s">
        <v>1452</v>
      </c>
      <c r="Z66" t="s">
        <v>1453</v>
      </c>
      <c r="AA66" t="s">
        <v>1454</v>
      </c>
      <c r="AB66" t="s">
        <v>1455</v>
      </c>
      <c r="AC66" t="s">
        <v>1456</v>
      </c>
      <c r="AD66" t="s">
        <v>1457</v>
      </c>
      <c r="AE66" t="s">
        <v>1458</v>
      </c>
      <c r="AF66" t="s">
        <v>74</v>
      </c>
      <c r="AG66">
        <v>13</v>
      </c>
      <c r="AH66">
        <v>50</v>
      </c>
      <c r="AI66">
        <v>54</v>
      </c>
      <c r="AJ66">
        <v>2</v>
      </c>
      <c r="AK66">
        <v>21</v>
      </c>
      <c r="AL66" t="s">
        <v>1140</v>
      </c>
      <c r="AM66" t="s">
        <v>1141</v>
      </c>
      <c r="AN66" t="s">
        <v>1142</v>
      </c>
      <c r="AO66" t="s">
        <v>1459</v>
      </c>
      <c r="AP66" t="s">
        <v>1460</v>
      </c>
      <c r="AQ66" t="s">
        <v>74</v>
      </c>
      <c r="AR66" t="s">
        <v>1461</v>
      </c>
      <c r="AS66" t="s">
        <v>1462</v>
      </c>
      <c r="AT66" t="s">
        <v>1251</v>
      </c>
      <c r="AU66">
        <v>2019</v>
      </c>
      <c r="AV66">
        <v>10</v>
      </c>
      <c r="AW66">
        <v>10</v>
      </c>
      <c r="AX66" t="s">
        <v>74</v>
      </c>
      <c r="AY66" t="s">
        <v>74</v>
      </c>
      <c r="AZ66" t="s">
        <v>74</v>
      </c>
      <c r="BA66" t="s">
        <v>74</v>
      </c>
      <c r="BB66">
        <v>1814</v>
      </c>
      <c r="BC66">
        <v>1819</v>
      </c>
      <c r="BD66" t="s">
        <v>74</v>
      </c>
      <c r="BE66" t="s">
        <v>1463</v>
      </c>
      <c r="BF66" t="str">
        <f>HYPERLINK("http://dx.doi.org/10.1111/2041-210X.13272","http://dx.doi.org/10.1111/2041-210X.13272")</f>
        <v>http://dx.doi.org/10.1111/2041-210X.13272</v>
      </c>
      <c r="BG66" t="s">
        <v>74</v>
      </c>
      <c r="BH66" t="s">
        <v>1149</v>
      </c>
      <c r="BI66">
        <v>6</v>
      </c>
      <c r="BJ66" t="s">
        <v>1150</v>
      </c>
      <c r="BK66" t="s">
        <v>101</v>
      </c>
      <c r="BL66" t="s">
        <v>799</v>
      </c>
      <c r="BM66" t="s">
        <v>1464</v>
      </c>
      <c r="BN66" t="s">
        <v>74</v>
      </c>
      <c r="BO66" t="s">
        <v>1465</v>
      </c>
      <c r="BP66" t="s">
        <v>74</v>
      </c>
      <c r="BQ66" t="s">
        <v>74</v>
      </c>
      <c r="BR66" t="s">
        <v>103</v>
      </c>
      <c r="BS66" t="s">
        <v>1466</v>
      </c>
      <c r="BT66" t="str">
        <f>HYPERLINK("https%3A%2F%2Fwww.webofscience.com%2Fwos%2Fwoscc%2Ffull-record%2FWOS:000488346000001","View Full Record in Web of Science")</f>
        <v>View Full Record in Web of Science</v>
      </c>
    </row>
    <row r="67" spans="1:72" x14ac:dyDescent="0.15">
      <c r="A67" t="s">
        <v>72</v>
      </c>
      <c r="B67" t="s">
        <v>1467</v>
      </c>
      <c r="C67" t="s">
        <v>74</v>
      </c>
      <c r="D67" t="s">
        <v>74</v>
      </c>
      <c r="E67" t="s">
        <v>74</v>
      </c>
      <c r="F67" t="s">
        <v>1468</v>
      </c>
      <c r="G67" t="s">
        <v>74</v>
      </c>
      <c r="H67" t="s">
        <v>74</v>
      </c>
      <c r="I67" t="s">
        <v>1469</v>
      </c>
      <c r="J67" t="s">
        <v>1470</v>
      </c>
      <c r="K67" t="s">
        <v>74</v>
      </c>
      <c r="L67" t="s">
        <v>74</v>
      </c>
      <c r="M67" t="s">
        <v>78</v>
      </c>
      <c r="N67" t="s">
        <v>108</v>
      </c>
      <c r="O67" t="s">
        <v>74</v>
      </c>
      <c r="P67" t="s">
        <v>74</v>
      </c>
      <c r="Q67" t="s">
        <v>74</v>
      </c>
      <c r="R67" t="s">
        <v>74</v>
      </c>
      <c r="S67" t="s">
        <v>74</v>
      </c>
      <c r="T67" t="s">
        <v>1471</v>
      </c>
      <c r="U67" t="s">
        <v>1472</v>
      </c>
      <c r="V67" t="s">
        <v>1473</v>
      </c>
      <c r="W67" t="s">
        <v>1474</v>
      </c>
      <c r="X67" t="s">
        <v>1475</v>
      </c>
      <c r="Y67" t="s">
        <v>1476</v>
      </c>
      <c r="Z67" t="s">
        <v>1477</v>
      </c>
      <c r="AA67" t="s">
        <v>74</v>
      </c>
      <c r="AB67" t="s">
        <v>74</v>
      </c>
      <c r="AC67" t="s">
        <v>1478</v>
      </c>
      <c r="AD67" t="s">
        <v>1479</v>
      </c>
      <c r="AE67" t="s">
        <v>1480</v>
      </c>
      <c r="AF67" t="s">
        <v>74</v>
      </c>
      <c r="AG67">
        <v>55</v>
      </c>
      <c r="AH67">
        <v>2</v>
      </c>
      <c r="AI67">
        <v>2</v>
      </c>
      <c r="AJ67">
        <v>1</v>
      </c>
      <c r="AK67">
        <v>17</v>
      </c>
      <c r="AL67" t="s">
        <v>1481</v>
      </c>
      <c r="AM67" t="s">
        <v>1275</v>
      </c>
      <c r="AN67" t="s">
        <v>1482</v>
      </c>
      <c r="AO67" t="s">
        <v>1483</v>
      </c>
      <c r="AP67" t="s">
        <v>1484</v>
      </c>
      <c r="AQ67" t="s">
        <v>74</v>
      </c>
      <c r="AR67" t="s">
        <v>1485</v>
      </c>
      <c r="AS67" t="s">
        <v>1486</v>
      </c>
      <c r="AT67" t="s">
        <v>1487</v>
      </c>
      <c r="AU67">
        <v>2019</v>
      </c>
      <c r="AV67">
        <v>73</v>
      </c>
      <c r="AW67">
        <v>5</v>
      </c>
      <c r="AX67" t="s">
        <v>74</v>
      </c>
      <c r="AY67" t="s">
        <v>74</v>
      </c>
      <c r="AZ67" t="s">
        <v>74</v>
      </c>
      <c r="BA67" t="s">
        <v>74</v>
      </c>
      <c r="BB67">
        <v>466</v>
      </c>
      <c r="BC67">
        <v>484</v>
      </c>
      <c r="BD67" t="s">
        <v>74</v>
      </c>
      <c r="BE67" t="s">
        <v>1488</v>
      </c>
      <c r="BF67" t="str">
        <f>HYPERLINK("http://dx.doi.org/10.1080/10357718.2019.1639135","http://dx.doi.org/10.1080/10357718.2019.1639135")</f>
        <v>http://dx.doi.org/10.1080/10357718.2019.1639135</v>
      </c>
      <c r="BG67" t="s">
        <v>74</v>
      </c>
      <c r="BH67" t="s">
        <v>1149</v>
      </c>
      <c r="BI67">
        <v>19</v>
      </c>
      <c r="BJ67" t="s">
        <v>1489</v>
      </c>
      <c r="BK67" t="s">
        <v>1490</v>
      </c>
      <c r="BL67" t="s">
        <v>1489</v>
      </c>
      <c r="BM67" t="s">
        <v>1491</v>
      </c>
      <c r="BN67" t="s">
        <v>74</v>
      </c>
      <c r="BO67" t="s">
        <v>74</v>
      </c>
      <c r="BP67" t="s">
        <v>74</v>
      </c>
      <c r="BQ67" t="s">
        <v>74</v>
      </c>
      <c r="BR67" t="s">
        <v>103</v>
      </c>
      <c r="BS67" t="s">
        <v>1492</v>
      </c>
      <c r="BT67" t="str">
        <f>HYPERLINK("https%3A%2F%2Fwww.webofscience.com%2Fwos%2Fwoscc%2Ffull-record%2FWOS:000482514700001","View Full Record in Web of Science")</f>
        <v>View Full Record in Web of Science</v>
      </c>
    </row>
    <row r="68" spans="1:72" x14ac:dyDescent="0.15">
      <c r="A68" t="s">
        <v>72</v>
      </c>
      <c r="B68" t="s">
        <v>1493</v>
      </c>
      <c r="C68" t="s">
        <v>74</v>
      </c>
      <c r="D68" t="s">
        <v>74</v>
      </c>
      <c r="E68" t="s">
        <v>74</v>
      </c>
      <c r="F68" t="s">
        <v>1494</v>
      </c>
      <c r="G68" t="s">
        <v>74</v>
      </c>
      <c r="H68" t="s">
        <v>74</v>
      </c>
      <c r="I68" t="s">
        <v>1495</v>
      </c>
      <c r="J68" t="s">
        <v>1496</v>
      </c>
      <c r="K68" t="s">
        <v>74</v>
      </c>
      <c r="L68" t="s">
        <v>74</v>
      </c>
      <c r="M68" t="s">
        <v>78</v>
      </c>
      <c r="N68" t="s">
        <v>108</v>
      </c>
      <c r="O68" t="s">
        <v>74</v>
      </c>
      <c r="P68" t="s">
        <v>74</v>
      </c>
      <c r="Q68" t="s">
        <v>74</v>
      </c>
      <c r="R68" t="s">
        <v>74</v>
      </c>
      <c r="S68" t="s">
        <v>74</v>
      </c>
      <c r="T68" t="s">
        <v>1497</v>
      </c>
      <c r="U68" t="s">
        <v>1498</v>
      </c>
      <c r="V68" t="s">
        <v>1499</v>
      </c>
      <c r="W68" t="s">
        <v>1500</v>
      </c>
      <c r="X68" t="s">
        <v>1501</v>
      </c>
      <c r="Y68" t="s">
        <v>1502</v>
      </c>
      <c r="Z68" t="s">
        <v>1503</v>
      </c>
      <c r="AA68" t="s">
        <v>1504</v>
      </c>
      <c r="AB68" t="s">
        <v>1505</v>
      </c>
      <c r="AC68" t="s">
        <v>1506</v>
      </c>
      <c r="AD68" t="s">
        <v>1507</v>
      </c>
      <c r="AE68" t="s">
        <v>1508</v>
      </c>
      <c r="AF68" t="s">
        <v>74</v>
      </c>
      <c r="AG68">
        <v>74</v>
      </c>
      <c r="AH68">
        <v>17</v>
      </c>
      <c r="AI68">
        <v>18</v>
      </c>
      <c r="AJ68">
        <v>4</v>
      </c>
      <c r="AK68">
        <v>24</v>
      </c>
      <c r="AL68" t="s">
        <v>868</v>
      </c>
      <c r="AM68" t="s">
        <v>869</v>
      </c>
      <c r="AN68" t="s">
        <v>870</v>
      </c>
      <c r="AO68" t="s">
        <v>74</v>
      </c>
      <c r="AP68" t="s">
        <v>1509</v>
      </c>
      <c r="AQ68" t="s">
        <v>74</v>
      </c>
      <c r="AR68" t="s">
        <v>1510</v>
      </c>
      <c r="AS68" t="s">
        <v>1511</v>
      </c>
      <c r="AT68" t="s">
        <v>1512</v>
      </c>
      <c r="AU68">
        <v>2019</v>
      </c>
      <c r="AV68">
        <v>10</v>
      </c>
      <c r="AW68" t="s">
        <v>74</v>
      </c>
      <c r="AX68" t="s">
        <v>74</v>
      </c>
      <c r="AY68" t="s">
        <v>74</v>
      </c>
      <c r="AZ68" t="s">
        <v>74</v>
      </c>
      <c r="BA68" t="s">
        <v>74</v>
      </c>
      <c r="BB68" t="s">
        <v>74</v>
      </c>
      <c r="BC68" t="s">
        <v>74</v>
      </c>
      <c r="BD68">
        <v>1801</v>
      </c>
      <c r="BE68" t="s">
        <v>1513</v>
      </c>
      <c r="BF68" t="str">
        <f>HYPERLINK("http://dx.doi.org/10.3389/fmicb.2019.01801","http://dx.doi.org/10.3389/fmicb.2019.01801")</f>
        <v>http://dx.doi.org/10.3389/fmicb.2019.01801</v>
      </c>
      <c r="BG68" t="s">
        <v>74</v>
      </c>
      <c r="BH68" t="s">
        <v>74</v>
      </c>
      <c r="BI68">
        <v>14</v>
      </c>
      <c r="BJ68" t="s">
        <v>1514</v>
      </c>
      <c r="BK68" t="s">
        <v>101</v>
      </c>
      <c r="BL68" t="s">
        <v>1514</v>
      </c>
      <c r="BM68" t="s">
        <v>1515</v>
      </c>
      <c r="BN68">
        <v>31496997</v>
      </c>
      <c r="BO68" t="s">
        <v>331</v>
      </c>
      <c r="BP68" t="s">
        <v>74</v>
      </c>
      <c r="BQ68" t="s">
        <v>74</v>
      </c>
      <c r="BR68" t="s">
        <v>103</v>
      </c>
      <c r="BS68" t="s">
        <v>1516</v>
      </c>
      <c r="BT68" t="str">
        <f>HYPERLINK("https%3A%2F%2Fwww.webofscience.com%2Fwos%2Fwoscc%2Ffull-record%2FWOS:000482018400001","View Full Record in Web of Science")</f>
        <v>View Full Record in Web of Science</v>
      </c>
    </row>
    <row r="69" spans="1:72" x14ac:dyDescent="0.15">
      <c r="A69" t="s">
        <v>72</v>
      </c>
      <c r="B69" t="s">
        <v>1517</v>
      </c>
      <c r="C69" t="s">
        <v>74</v>
      </c>
      <c r="D69" t="s">
        <v>74</v>
      </c>
      <c r="E69" t="s">
        <v>74</v>
      </c>
      <c r="F69" t="s">
        <v>1518</v>
      </c>
      <c r="G69" t="s">
        <v>74</v>
      </c>
      <c r="H69" t="s">
        <v>74</v>
      </c>
      <c r="I69" t="s">
        <v>1519</v>
      </c>
      <c r="J69" t="s">
        <v>989</v>
      </c>
      <c r="K69" t="s">
        <v>74</v>
      </c>
      <c r="L69" t="s">
        <v>74</v>
      </c>
      <c r="M69" t="s">
        <v>78</v>
      </c>
      <c r="N69" t="s">
        <v>108</v>
      </c>
      <c r="O69" t="s">
        <v>74</v>
      </c>
      <c r="P69" t="s">
        <v>74</v>
      </c>
      <c r="Q69" t="s">
        <v>74</v>
      </c>
      <c r="R69" t="s">
        <v>74</v>
      </c>
      <c r="S69" t="s">
        <v>74</v>
      </c>
      <c r="T69" t="s">
        <v>74</v>
      </c>
      <c r="U69" t="s">
        <v>1520</v>
      </c>
      <c r="V69" t="s">
        <v>1521</v>
      </c>
      <c r="W69" t="s">
        <v>1522</v>
      </c>
      <c r="X69" t="s">
        <v>1523</v>
      </c>
      <c r="Y69" t="s">
        <v>1524</v>
      </c>
      <c r="Z69" t="s">
        <v>1525</v>
      </c>
      <c r="AA69" t="s">
        <v>1526</v>
      </c>
      <c r="AB69" t="s">
        <v>1527</v>
      </c>
      <c r="AC69" t="s">
        <v>1528</v>
      </c>
      <c r="AD69" t="s">
        <v>1529</v>
      </c>
      <c r="AE69" t="s">
        <v>1530</v>
      </c>
      <c r="AF69" t="s">
        <v>74</v>
      </c>
      <c r="AG69">
        <v>107</v>
      </c>
      <c r="AH69">
        <v>32</v>
      </c>
      <c r="AI69">
        <v>34</v>
      </c>
      <c r="AJ69">
        <v>1</v>
      </c>
      <c r="AK69">
        <v>27</v>
      </c>
      <c r="AL69" t="s">
        <v>1019</v>
      </c>
      <c r="AM69" t="s">
        <v>1020</v>
      </c>
      <c r="AN69" t="s">
        <v>1021</v>
      </c>
      <c r="AO69" t="s">
        <v>1000</v>
      </c>
      <c r="AP69" t="s">
        <v>74</v>
      </c>
      <c r="AQ69" t="s">
        <v>74</v>
      </c>
      <c r="AR69" t="s">
        <v>1001</v>
      </c>
      <c r="AS69" t="s">
        <v>1002</v>
      </c>
      <c r="AT69" t="s">
        <v>1512</v>
      </c>
      <c r="AU69">
        <v>2019</v>
      </c>
      <c r="AV69">
        <v>9</v>
      </c>
      <c r="AW69" t="s">
        <v>74</v>
      </c>
      <c r="AX69" t="s">
        <v>74</v>
      </c>
      <c r="AY69" t="s">
        <v>74</v>
      </c>
      <c r="AZ69" t="s">
        <v>74</v>
      </c>
      <c r="BA69" t="s">
        <v>74</v>
      </c>
      <c r="BB69" t="s">
        <v>74</v>
      </c>
      <c r="BC69" t="s">
        <v>74</v>
      </c>
      <c r="BD69">
        <v>12158</v>
      </c>
      <c r="BE69" t="s">
        <v>1531</v>
      </c>
      <c r="BF69" t="str">
        <f>HYPERLINK("http://dx.doi.org/10.1038/s41598-019-47994-9","http://dx.doi.org/10.1038/s41598-019-47994-9")</f>
        <v>http://dx.doi.org/10.1038/s41598-019-47994-9</v>
      </c>
      <c r="BG69" t="s">
        <v>74</v>
      </c>
      <c r="BH69" t="s">
        <v>74</v>
      </c>
      <c r="BI69">
        <v>14</v>
      </c>
      <c r="BJ69" t="s">
        <v>1004</v>
      </c>
      <c r="BK69" t="s">
        <v>101</v>
      </c>
      <c r="BL69" t="s">
        <v>1005</v>
      </c>
      <c r="BM69" t="s">
        <v>1532</v>
      </c>
      <c r="BN69">
        <v>31434915</v>
      </c>
      <c r="BO69" t="s">
        <v>313</v>
      </c>
      <c r="BP69" t="s">
        <v>74</v>
      </c>
      <c r="BQ69" t="s">
        <v>74</v>
      </c>
      <c r="BR69" t="s">
        <v>103</v>
      </c>
      <c r="BS69" t="s">
        <v>1533</v>
      </c>
      <c r="BT69" t="str">
        <f>HYPERLINK("https%3A%2F%2Fwww.webofscience.com%2Fwos%2Fwoscc%2Ffull-record%2FWOS:000481999500012","View Full Record in Web of Science")</f>
        <v>View Full Record in Web of Science</v>
      </c>
    </row>
    <row r="70" spans="1:72" x14ac:dyDescent="0.15">
      <c r="A70" t="s">
        <v>72</v>
      </c>
      <c r="B70" t="s">
        <v>1534</v>
      </c>
      <c r="C70" t="s">
        <v>74</v>
      </c>
      <c r="D70" t="s">
        <v>74</v>
      </c>
      <c r="E70" t="s">
        <v>74</v>
      </c>
      <c r="F70" t="s">
        <v>1535</v>
      </c>
      <c r="G70" t="s">
        <v>74</v>
      </c>
      <c r="H70" t="s">
        <v>74</v>
      </c>
      <c r="I70" t="s">
        <v>1536</v>
      </c>
      <c r="J70" t="s">
        <v>1537</v>
      </c>
      <c r="K70" t="s">
        <v>74</v>
      </c>
      <c r="L70" t="s">
        <v>74</v>
      </c>
      <c r="M70" t="s">
        <v>78</v>
      </c>
      <c r="N70" t="s">
        <v>108</v>
      </c>
      <c r="O70" t="s">
        <v>74</v>
      </c>
      <c r="P70" t="s">
        <v>74</v>
      </c>
      <c r="Q70" t="s">
        <v>74</v>
      </c>
      <c r="R70" t="s">
        <v>74</v>
      </c>
      <c r="S70" t="s">
        <v>74</v>
      </c>
      <c r="T70" t="s">
        <v>1538</v>
      </c>
      <c r="U70" t="s">
        <v>1539</v>
      </c>
      <c r="V70" t="s">
        <v>1540</v>
      </c>
      <c r="W70" t="s">
        <v>1541</v>
      </c>
      <c r="X70" t="s">
        <v>1542</v>
      </c>
      <c r="Y70" t="s">
        <v>1543</v>
      </c>
      <c r="Z70" t="s">
        <v>1544</v>
      </c>
      <c r="AA70" t="s">
        <v>1545</v>
      </c>
      <c r="AB70" t="s">
        <v>1546</v>
      </c>
      <c r="AC70" t="s">
        <v>1547</v>
      </c>
      <c r="AD70" t="s">
        <v>1548</v>
      </c>
      <c r="AE70" t="s">
        <v>1549</v>
      </c>
      <c r="AF70" t="s">
        <v>74</v>
      </c>
      <c r="AG70">
        <v>43</v>
      </c>
      <c r="AH70">
        <v>24</v>
      </c>
      <c r="AI70">
        <v>27</v>
      </c>
      <c r="AJ70">
        <v>6</v>
      </c>
      <c r="AK70">
        <v>37</v>
      </c>
      <c r="AL70" t="s">
        <v>1550</v>
      </c>
      <c r="AM70" t="s">
        <v>1551</v>
      </c>
      <c r="AN70" t="s">
        <v>1552</v>
      </c>
      <c r="AO70" t="s">
        <v>1553</v>
      </c>
      <c r="AP70" t="s">
        <v>1554</v>
      </c>
      <c r="AQ70" t="s">
        <v>74</v>
      </c>
      <c r="AR70" t="s">
        <v>1555</v>
      </c>
      <c r="AS70" t="s">
        <v>1556</v>
      </c>
      <c r="AT70" t="s">
        <v>1512</v>
      </c>
      <c r="AU70">
        <v>2019</v>
      </c>
      <c r="AV70">
        <v>52</v>
      </c>
      <c r="AW70">
        <v>1</v>
      </c>
      <c r="AX70" t="s">
        <v>74</v>
      </c>
      <c r="AY70" t="s">
        <v>74</v>
      </c>
      <c r="AZ70" t="s">
        <v>74</v>
      </c>
      <c r="BA70" t="s">
        <v>74</v>
      </c>
      <c r="BB70" t="s">
        <v>74</v>
      </c>
      <c r="BC70" t="s">
        <v>74</v>
      </c>
      <c r="BD70">
        <v>46</v>
      </c>
      <c r="BE70" t="s">
        <v>1557</v>
      </c>
      <c r="BF70" t="str">
        <f>HYPERLINK("http://dx.doi.org/10.1186/s40659-019-0251-6","http://dx.doi.org/10.1186/s40659-019-0251-6")</f>
        <v>http://dx.doi.org/10.1186/s40659-019-0251-6</v>
      </c>
      <c r="BG70" t="s">
        <v>74</v>
      </c>
      <c r="BH70" t="s">
        <v>74</v>
      </c>
      <c r="BI70">
        <v>11</v>
      </c>
      <c r="BJ70" t="s">
        <v>1558</v>
      </c>
      <c r="BK70" t="s">
        <v>101</v>
      </c>
      <c r="BL70" t="s">
        <v>1559</v>
      </c>
      <c r="BM70" t="s">
        <v>1560</v>
      </c>
      <c r="BN70">
        <v>31434576</v>
      </c>
      <c r="BO70" t="s">
        <v>313</v>
      </c>
      <c r="BP70" t="s">
        <v>74</v>
      </c>
      <c r="BQ70" t="s">
        <v>74</v>
      </c>
      <c r="BR70" t="s">
        <v>103</v>
      </c>
      <c r="BS70" t="s">
        <v>1561</v>
      </c>
      <c r="BT70" t="str">
        <f>HYPERLINK("https%3A%2F%2Fwww.webofscience.com%2Fwos%2Fwoscc%2Ffull-record%2FWOS:000483028400001","View Full Record in Web of Science")</f>
        <v>View Full Record in Web of Science</v>
      </c>
    </row>
    <row r="71" spans="1:72" x14ac:dyDescent="0.15">
      <c r="A71" t="s">
        <v>72</v>
      </c>
      <c r="B71" t="s">
        <v>1562</v>
      </c>
      <c r="C71" t="s">
        <v>74</v>
      </c>
      <c r="D71" t="s">
        <v>74</v>
      </c>
      <c r="E71" t="s">
        <v>74</v>
      </c>
      <c r="F71" t="s">
        <v>1563</v>
      </c>
      <c r="G71" t="s">
        <v>74</v>
      </c>
      <c r="H71" t="s">
        <v>74</v>
      </c>
      <c r="I71" t="s">
        <v>1564</v>
      </c>
      <c r="J71" t="s">
        <v>1565</v>
      </c>
      <c r="K71" t="s">
        <v>74</v>
      </c>
      <c r="L71" t="s">
        <v>74</v>
      </c>
      <c r="M71" t="s">
        <v>78</v>
      </c>
      <c r="N71" t="s">
        <v>108</v>
      </c>
      <c r="O71" t="s">
        <v>74</v>
      </c>
      <c r="P71" t="s">
        <v>74</v>
      </c>
      <c r="Q71" t="s">
        <v>74</v>
      </c>
      <c r="R71" t="s">
        <v>74</v>
      </c>
      <c r="S71" t="s">
        <v>74</v>
      </c>
      <c r="T71" t="s">
        <v>74</v>
      </c>
      <c r="U71" t="s">
        <v>1566</v>
      </c>
      <c r="V71" t="s">
        <v>1567</v>
      </c>
      <c r="W71" t="s">
        <v>1568</v>
      </c>
      <c r="X71" t="s">
        <v>1569</v>
      </c>
      <c r="Y71" t="s">
        <v>1570</v>
      </c>
      <c r="Z71" t="s">
        <v>1571</v>
      </c>
      <c r="AA71" t="s">
        <v>1572</v>
      </c>
      <c r="AB71" t="s">
        <v>1573</v>
      </c>
      <c r="AC71" t="s">
        <v>1574</v>
      </c>
      <c r="AD71" t="s">
        <v>1575</v>
      </c>
      <c r="AE71" t="s">
        <v>1576</v>
      </c>
      <c r="AF71" t="s">
        <v>74</v>
      </c>
      <c r="AG71">
        <v>71</v>
      </c>
      <c r="AH71">
        <v>31</v>
      </c>
      <c r="AI71">
        <v>33</v>
      </c>
      <c r="AJ71">
        <v>13</v>
      </c>
      <c r="AK71">
        <v>112</v>
      </c>
      <c r="AL71" t="s">
        <v>1577</v>
      </c>
      <c r="AM71" t="s">
        <v>183</v>
      </c>
      <c r="AN71" t="s">
        <v>1578</v>
      </c>
      <c r="AO71" t="s">
        <v>1579</v>
      </c>
      <c r="AP71" t="s">
        <v>1580</v>
      </c>
      <c r="AQ71" t="s">
        <v>74</v>
      </c>
      <c r="AR71" t="s">
        <v>1581</v>
      </c>
      <c r="AS71" t="s">
        <v>1582</v>
      </c>
      <c r="AT71" t="s">
        <v>1583</v>
      </c>
      <c r="AU71">
        <v>2019</v>
      </c>
      <c r="AV71">
        <v>53</v>
      </c>
      <c r="AW71">
        <v>16</v>
      </c>
      <c r="AX71" t="s">
        <v>74</v>
      </c>
      <c r="AY71" t="s">
        <v>74</v>
      </c>
      <c r="AZ71" t="s">
        <v>74</v>
      </c>
      <c r="BA71" t="s">
        <v>74</v>
      </c>
      <c r="BB71">
        <v>9855</v>
      </c>
      <c r="BC71">
        <v>9865</v>
      </c>
      <c r="BD71" t="s">
        <v>74</v>
      </c>
      <c r="BE71" t="s">
        <v>1584</v>
      </c>
      <c r="BF71" t="str">
        <f>HYPERLINK("http://dx.doi.org/10.1021/acs.est.9b02677","http://dx.doi.org/10.1021/acs.est.9b02677")</f>
        <v>http://dx.doi.org/10.1021/acs.est.9b02677</v>
      </c>
      <c r="BG71" t="s">
        <v>74</v>
      </c>
      <c r="BH71" t="s">
        <v>74</v>
      </c>
      <c r="BI71">
        <v>11</v>
      </c>
      <c r="BJ71" t="s">
        <v>1585</v>
      </c>
      <c r="BK71" t="s">
        <v>101</v>
      </c>
      <c r="BL71" t="s">
        <v>1586</v>
      </c>
      <c r="BM71" t="s">
        <v>1587</v>
      </c>
      <c r="BN71">
        <v>31385515</v>
      </c>
      <c r="BO71" t="s">
        <v>74</v>
      </c>
      <c r="BP71" t="s">
        <v>74</v>
      </c>
      <c r="BQ71" t="s">
        <v>74</v>
      </c>
      <c r="BR71" t="s">
        <v>103</v>
      </c>
      <c r="BS71" t="s">
        <v>1588</v>
      </c>
      <c r="BT71" t="str">
        <f>HYPERLINK("https%3A%2F%2Fwww.webofscience.com%2Fwos%2Fwoscc%2Ffull-record%2FWOS:000482521600054","View Full Record in Web of Science")</f>
        <v>View Full Record in Web of Science</v>
      </c>
    </row>
    <row r="72" spans="1:72" x14ac:dyDescent="0.15">
      <c r="A72" t="s">
        <v>72</v>
      </c>
      <c r="B72" t="s">
        <v>1589</v>
      </c>
      <c r="C72" t="s">
        <v>74</v>
      </c>
      <c r="D72" t="s">
        <v>74</v>
      </c>
      <c r="E72" t="s">
        <v>74</v>
      </c>
      <c r="F72" t="s">
        <v>1590</v>
      </c>
      <c r="G72" t="s">
        <v>74</v>
      </c>
      <c r="H72" t="s">
        <v>74</v>
      </c>
      <c r="I72" t="s">
        <v>1591</v>
      </c>
      <c r="J72" t="s">
        <v>855</v>
      </c>
      <c r="K72" t="s">
        <v>74</v>
      </c>
      <c r="L72" t="s">
        <v>74</v>
      </c>
      <c r="M72" t="s">
        <v>78</v>
      </c>
      <c r="N72" t="s">
        <v>79</v>
      </c>
      <c r="O72" t="s">
        <v>74</v>
      </c>
      <c r="P72" t="s">
        <v>74</v>
      </c>
      <c r="Q72" t="s">
        <v>74</v>
      </c>
      <c r="R72" t="s">
        <v>74</v>
      </c>
      <c r="S72" t="s">
        <v>74</v>
      </c>
      <c r="T72" t="s">
        <v>1592</v>
      </c>
      <c r="U72" t="s">
        <v>1593</v>
      </c>
      <c r="V72" t="s">
        <v>1594</v>
      </c>
      <c r="W72" t="s">
        <v>1595</v>
      </c>
      <c r="X72" t="s">
        <v>1596</v>
      </c>
      <c r="Y72" t="s">
        <v>1597</v>
      </c>
      <c r="Z72" t="s">
        <v>1598</v>
      </c>
      <c r="AA72" t="s">
        <v>1599</v>
      </c>
      <c r="AB72" t="s">
        <v>1600</v>
      </c>
      <c r="AC72" t="s">
        <v>1601</v>
      </c>
      <c r="AD72" t="s">
        <v>1602</v>
      </c>
      <c r="AE72" t="s">
        <v>1603</v>
      </c>
      <c r="AF72" t="s">
        <v>74</v>
      </c>
      <c r="AG72">
        <v>81</v>
      </c>
      <c r="AH72">
        <v>21</v>
      </c>
      <c r="AI72">
        <v>24</v>
      </c>
      <c r="AJ72">
        <v>2</v>
      </c>
      <c r="AK72">
        <v>65</v>
      </c>
      <c r="AL72" t="s">
        <v>868</v>
      </c>
      <c r="AM72" t="s">
        <v>869</v>
      </c>
      <c r="AN72" t="s">
        <v>870</v>
      </c>
      <c r="AO72" t="s">
        <v>74</v>
      </c>
      <c r="AP72" t="s">
        <v>871</v>
      </c>
      <c r="AQ72" t="s">
        <v>74</v>
      </c>
      <c r="AR72" t="s">
        <v>872</v>
      </c>
      <c r="AS72" t="s">
        <v>873</v>
      </c>
      <c r="AT72" t="s">
        <v>1583</v>
      </c>
      <c r="AU72">
        <v>2019</v>
      </c>
      <c r="AV72">
        <v>6</v>
      </c>
      <c r="AW72" t="s">
        <v>74</v>
      </c>
      <c r="AX72" t="s">
        <v>74</v>
      </c>
      <c r="AY72" t="s">
        <v>74</v>
      </c>
      <c r="AZ72" t="s">
        <v>74</v>
      </c>
      <c r="BA72" t="s">
        <v>74</v>
      </c>
      <c r="BB72" t="s">
        <v>74</v>
      </c>
      <c r="BC72" t="s">
        <v>74</v>
      </c>
      <c r="BD72">
        <v>463</v>
      </c>
      <c r="BE72" t="s">
        <v>1604</v>
      </c>
      <c r="BF72" t="str">
        <f>HYPERLINK("http://dx.doi.org/10.3389/fmars.2019.00463","http://dx.doi.org/10.3389/fmars.2019.00463")</f>
        <v>http://dx.doi.org/10.3389/fmars.2019.00463</v>
      </c>
      <c r="BG72" t="s">
        <v>74</v>
      </c>
      <c r="BH72" t="s">
        <v>74</v>
      </c>
      <c r="BI72">
        <v>10</v>
      </c>
      <c r="BJ72" t="s">
        <v>876</v>
      </c>
      <c r="BK72" t="s">
        <v>101</v>
      </c>
      <c r="BL72" t="s">
        <v>877</v>
      </c>
      <c r="BM72" t="s">
        <v>1605</v>
      </c>
      <c r="BN72" t="s">
        <v>74</v>
      </c>
      <c r="BO72" t="s">
        <v>331</v>
      </c>
      <c r="BP72" t="s">
        <v>74</v>
      </c>
      <c r="BQ72" t="s">
        <v>74</v>
      </c>
      <c r="BR72" t="s">
        <v>103</v>
      </c>
      <c r="BS72" t="s">
        <v>1606</v>
      </c>
      <c r="BT72" t="str">
        <f>HYPERLINK("https%3A%2F%2Fwww.webofscience.com%2Fwos%2Fwoscc%2Ffull-record%2FWOS:000482481300001","View Full Record in Web of Science")</f>
        <v>View Full Record in Web of Science</v>
      </c>
    </row>
    <row r="73" spans="1:72" x14ac:dyDescent="0.15">
      <c r="A73" t="s">
        <v>72</v>
      </c>
      <c r="B73" t="s">
        <v>1607</v>
      </c>
      <c r="C73" t="s">
        <v>74</v>
      </c>
      <c r="D73" t="s">
        <v>74</v>
      </c>
      <c r="E73" t="s">
        <v>74</v>
      </c>
      <c r="F73" t="s">
        <v>1608</v>
      </c>
      <c r="G73" t="s">
        <v>74</v>
      </c>
      <c r="H73" t="s">
        <v>74</v>
      </c>
      <c r="I73" t="s">
        <v>1609</v>
      </c>
      <c r="J73" t="s">
        <v>855</v>
      </c>
      <c r="K73" t="s">
        <v>74</v>
      </c>
      <c r="L73" t="s">
        <v>74</v>
      </c>
      <c r="M73" t="s">
        <v>78</v>
      </c>
      <c r="N73" t="s">
        <v>79</v>
      </c>
      <c r="O73" t="s">
        <v>74</v>
      </c>
      <c r="P73" t="s">
        <v>74</v>
      </c>
      <c r="Q73" t="s">
        <v>74</v>
      </c>
      <c r="R73" t="s">
        <v>74</v>
      </c>
      <c r="S73" t="s">
        <v>74</v>
      </c>
      <c r="T73" t="s">
        <v>1610</v>
      </c>
      <c r="U73" t="s">
        <v>74</v>
      </c>
      <c r="V73" t="s">
        <v>1611</v>
      </c>
      <c r="W73" t="s">
        <v>1612</v>
      </c>
      <c r="X73" t="s">
        <v>1613</v>
      </c>
      <c r="Y73" t="s">
        <v>1614</v>
      </c>
      <c r="Z73" t="s">
        <v>1615</v>
      </c>
      <c r="AA73" t="s">
        <v>1616</v>
      </c>
      <c r="AB73" t="s">
        <v>1617</v>
      </c>
      <c r="AC73" t="s">
        <v>1618</v>
      </c>
      <c r="AD73" t="s">
        <v>1619</v>
      </c>
      <c r="AE73" t="s">
        <v>1620</v>
      </c>
      <c r="AF73" t="s">
        <v>74</v>
      </c>
      <c r="AG73">
        <v>15</v>
      </c>
      <c r="AH73">
        <v>43</v>
      </c>
      <c r="AI73">
        <v>45</v>
      </c>
      <c r="AJ73">
        <v>2</v>
      </c>
      <c r="AK73">
        <v>16</v>
      </c>
      <c r="AL73" t="s">
        <v>868</v>
      </c>
      <c r="AM73" t="s">
        <v>869</v>
      </c>
      <c r="AN73" t="s">
        <v>870</v>
      </c>
      <c r="AO73" t="s">
        <v>74</v>
      </c>
      <c r="AP73" t="s">
        <v>871</v>
      </c>
      <c r="AQ73" t="s">
        <v>74</v>
      </c>
      <c r="AR73" t="s">
        <v>872</v>
      </c>
      <c r="AS73" t="s">
        <v>873</v>
      </c>
      <c r="AT73" t="s">
        <v>1583</v>
      </c>
      <c r="AU73">
        <v>2019</v>
      </c>
      <c r="AV73">
        <v>6</v>
      </c>
      <c r="AW73" t="s">
        <v>74</v>
      </c>
      <c r="AX73" t="s">
        <v>74</v>
      </c>
      <c r="AY73" t="s">
        <v>74</v>
      </c>
      <c r="AZ73" t="s">
        <v>74</v>
      </c>
      <c r="BA73" t="s">
        <v>74</v>
      </c>
      <c r="BB73" t="s">
        <v>74</v>
      </c>
      <c r="BC73" t="s">
        <v>74</v>
      </c>
      <c r="BD73">
        <v>471</v>
      </c>
      <c r="BE73" t="s">
        <v>1621</v>
      </c>
      <c r="BF73" t="str">
        <f>HYPERLINK("http://dx.doi.org/10.3389/fmars.2019.00471","http://dx.doi.org/10.3389/fmars.2019.00471")</f>
        <v>http://dx.doi.org/10.3389/fmars.2019.00471</v>
      </c>
      <c r="BG73" t="s">
        <v>74</v>
      </c>
      <c r="BH73" t="s">
        <v>74</v>
      </c>
      <c r="BI73">
        <v>18</v>
      </c>
      <c r="BJ73" t="s">
        <v>876</v>
      </c>
      <c r="BK73" t="s">
        <v>101</v>
      </c>
      <c r="BL73" t="s">
        <v>877</v>
      </c>
      <c r="BM73" t="s">
        <v>1622</v>
      </c>
      <c r="BN73" t="s">
        <v>74</v>
      </c>
      <c r="BO73" t="s">
        <v>402</v>
      </c>
      <c r="BP73" t="s">
        <v>74</v>
      </c>
      <c r="BQ73" t="s">
        <v>74</v>
      </c>
      <c r="BR73" t="s">
        <v>103</v>
      </c>
      <c r="BS73" t="s">
        <v>1623</v>
      </c>
      <c r="BT73" t="str">
        <f>HYPERLINK("https%3A%2F%2Fwww.webofscience.com%2Fwos%2Fwoscc%2Ffull-record%2FWOS:000482482600001","View Full Record in Web of Science")</f>
        <v>View Full Record in Web of Science</v>
      </c>
    </row>
    <row r="74" spans="1:72" x14ac:dyDescent="0.15">
      <c r="A74" t="s">
        <v>72</v>
      </c>
      <c r="B74" t="s">
        <v>1624</v>
      </c>
      <c r="C74" t="s">
        <v>74</v>
      </c>
      <c r="D74" t="s">
        <v>74</v>
      </c>
      <c r="E74" t="s">
        <v>74</v>
      </c>
      <c r="F74" t="s">
        <v>1625</v>
      </c>
      <c r="G74" t="s">
        <v>74</v>
      </c>
      <c r="H74" t="s">
        <v>74</v>
      </c>
      <c r="I74" t="s">
        <v>1626</v>
      </c>
      <c r="J74" t="s">
        <v>1627</v>
      </c>
      <c r="K74" t="s">
        <v>74</v>
      </c>
      <c r="L74" t="s">
        <v>74</v>
      </c>
      <c r="M74" t="s">
        <v>78</v>
      </c>
      <c r="N74" t="s">
        <v>108</v>
      </c>
      <c r="O74" t="s">
        <v>74</v>
      </c>
      <c r="P74" t="s">
        <v>74</v>
      </c>
      <c r="Q74" t="s">
        <v>74</v>
      </c>
      <c r="R74" t="s">
        <v>74</v>
      </c>
      <c r="S74" t="s">
        <v>74</v>
      </c>
      <c r="T74" t="s">
        <v>1628</v>
      </c>
      <c r="U74" t="s">
        <v>1629</v>
      </c>
      <c r="V74" t="s">
        <v>1630</v>
      </c>
      <c r="W74" t="s">
        <v>1631</v>
      </c>
      <c r="X74" t="s">
        <v>1632</v>
      </c>
      <c r="Y74" t="s">
        <v>1633</v>
      </c>
      <c r="Z74" t="s">
        <v>1634</v>
      </c>
      <c r="AA74" t="s">
        <v>1635</v>
      </c>
      <c r="AB74" t="s">
        <v>1636</v>
      </c>
      <c r="AC74" t="s">
        <v>1637</v>
      </c>
      <c r="AD74" t="s">
        <v>1638</v>
      </c>
      <c r="AE74" t="s">
        <v>1639</v>
      </c>
      <c r="AF74" t="s">
        <v>74</v>
      </c>
      <c r="AG74">
        <v>77</v>
      </c>
      <c r="AH74">
        <v>45</v>
      </c>
      <c r="AI74">
        <v>46</v>
      </c>
      <c r="AJ74">
        <v>4</v>
      </c>
      <c r="AK74">
        <v>48</v>
      </c>
      <c r="AL74" t="s">
        <v>1140</v>
      </c>
      <c r="AM74" t="s">
        <v>1141</v>
      </c>
      <c r="AN74" t="s">
        <v>1142</v>
      </c>
      <c r="AO74" t="s">
        <v>1640</v>
      </c>
      <c r="AP74" t="s">
        <v>1641</v>
      </c>
      <c r="AQ74" t="s">
        <v>74</v>
      </c>
      <c r="AR74" t="s">
        <v>1642</v>
      </c>
      <c r="AS74" t="s">
        <v>1643</v>
      </c>
      <c r="AT74" t="s">
        <v>1305</v>
      </c>
      <c r="AU74">
        <v>2019</v>
      </c>
      <c r="AV74">
        <v>25</v>
      </c>
      <c r="AW74">
        <v>12</v>
      </c>
      <c r="AX74" t="s">
        <v>74</v>
      </c>
      <c r="AY74" t="s">
        <v>74</v>
      </c>
      <c r="AZ74" t="s">
        <v>74</v>
      </c>
      <c r="BA74" t="s">
        <v>74</v>
      </c>
      <c r="BB74">
        <v>4179</v>
      </c>
      <c r="BC74">
        <v>4193</v>
      </c>
      <c r="BD74" t="s">
        <v>74</v>
      </c>
      <c r="BE74" t="s">
        <v>1644</v>
      </c>
      <c r="BF74" t="str">
        <f>HYPERLINK("http://dx.doi.org/10.1111/gcb.14758","http://dx.doi.org/10.1111/gcb.14758")</f>
        <v>http://dx.doi.org/10.1111/gcb.14758</v>
      </c>
      <c r="BG74" t="s">
        <v>74</v>
      </c>
      <c r="BH74" t="s">
        <v>1149</v>
      </c>
      <c r="BI74">
        <v>15</v>
      </c>
      <c r="BJ74" t="s">
        <v>1645</v>
      </c>
      <c r="BK74" t="s">
        <v>101</v>
      </c>
      <c r="BL74" t="s">
        <v>1646</v>
      </c>
      <c r="BM74" t="s">
        <v>1647</v>
      </c>
      <c r="BN74">
        <v>31432587</v>
      </c>
      <c r="BO74" t="s">
        <v>1648</v>
      </c>
      <c r="BP74" t="s">
        <v>74</v>
      </c>
      <c r="BQ74" t="s">
        <v>74</v>
      </c>
      <c r="BR74" t="s">
        <v>103</v>
      </c>
      <c r="BS74" t="s">
        <v>1649</v>
      </c>
      <c r="BT74" t="str">
        <f>HYPERLINK("https%3A%2F%2Fwww.webofscience.com%2Fwos%2Fwoscc%2Ffull-record%2FWOS:000482366300001","View Full Record in Web of Science")</f>
        <v>View Full Record in Web of Science</v>
      </c>
    </row>
    <row r="75" spans="1:72" x14ac:dyDescent="0.15">
      <c r="A75" t="s">
        <v>72</v>
      </c>
      <c r="B75" t="s">
        <v>1650</v>
      </c>
      <c r="C75" t="s">
        <v>74</v>
      </c>
      <c r="D75" t="s">
        <v>74</v>
      </c>
      <c r="E75" t="s">
        <v>74</v>
      </c>
      <c r="F75" t="s">
        <v>1651</v>
      </c>
      <c r="G75" t="s">
        <v>74</v>
      </c>
      <c r="H75" t="s">
        <v>74</v>
      </c>
      <c r="I75" t="s">
        <v>1652</v>
      </c>
      <c r="J75" t="s">
        <v>1653</v>
      </c>
      <c r="K75" t="s">
        <v>74</v>
      </c>
      <c r="L75" t="s">
        <v>74</v>
      </c>
      <c r="M75" t="s">
        <v>78</v>
      </c>
      <c r="N75" t="s">
        <v>108</v>
      </c>
      <c r="O75" t="s">
        <v>74</v>
      </c>
      <c r="P75" t="s">
        <v>74</v>
      </c>
      <c r="Q75" t="s">
        <v>74</v>
      </c>
      <c r="R75" t="s">
        <v>74</v>
      </c>
      <c r="S75" t="s">
        <v>74</v>
      </c>
      <c r="T75" t="s">
        <v>1654</v>
      </c>
      <c r="U75" t="s">
        <v>1655</v>
      </c>
      <c r="V75" t="s">
        <v>1656</v>
      </c>
      <c r="W75" t="s">
        <v>1657</v>
      </c>
      <c r="X75" t="s">
        <v>1658</v>
      </c>
      <c r="Y75" t="s">
        <v>1659</v>
      </c>
      <c r="Z75" t="s">
        <v>1660</v>
      </c>
      <c r="AA75" t="s">
        <v>1661</v>
      </c>
      <c r="AB75" t="s">
        <v>1662</v>
      </c>
      <c r="AC75" t="s">
        <v>1663</v>
      </c>
      <c r="AD75" t="s">
        <v>1664</v>
      </c>
      <c r="AE75" t="s">
        <v>1663</v>
      </c>
      <c r="AF75" t="s">
        <v>74</v>
      </c>
      <c r="AG75">
        <v>47</v>
      </c>
      <c r="AH75">
        <v>7</v>
      </c>
      <c r="AI75">
        <v>7</v>
      </c>
      <c r="AJ75">
        <v>1</v>
      </c>
      <c r="AK75">
        <v>12</v>
      </c>
      <c r="AL75" t="s">
        <v>1140</v>
      </c>
      <c r="AM75" t="s">
        <v>1141</v>
      </c>
      <c r="AN75" t="s">
        <v>1142</v>
      </c>
      <c r="AO75" t="s">
        <v>1665</v>
      </c>
      <c r="AP75" t="s">
        <v>1666</v>
      </c>
      <c r="AQ75" t="s">
        <v>74</v>
      </c>
      <c r="AR75" t="s">
        <v>1667</v>
      </c>
      <c r="AS75" t="s">
        <v>1668</v>
      </c>
      <c r="AT75" t="s">
        <v>1147</v>
      </c>
      <c r="AU75">
        <v>2019</v>
      </c>
      <c r="AV75">
        <v>50</v>
      </c>
      <c r="AW75">
        <v>11</v>
      </c>
      <c r="AX75" t="s">
        <v>74</v>
      </c>
      <c r="AY75" t="s">
        <v>74</v>
      </c>
      <c r="AZ75" t="s">
        <v>74</v>
      </c>
      <c r="BA75" t="s">
        <v>74</v>
      </c>
      <c r="BB75">
        <v>3171</v>
      </c>
      <c r="BC75">
        <v>3180</v>
      </c>
      <c r="BD75" t="s">
        <v>74</v>
      </c>
      <c r="BE75" t="s">
        <v>1669</v>
      </c>
      <c r="BF75" t="str">
        <f>HYPERLINK("http://dx.doi.org/10.1111/are.14271","http://dx.doi.org/10.1111/are.14271")</f>
        <v>http://dx.doi.org/10.1111/are.14271</v>
      </c>
      <c r="BG75" t="s">
        <v>74</v>
      </c>
      <c r="BH75" t="s">
        <v>1149</v>
      </c>
      <c r="BI75">
        <v>10</v>
      </c>
      <c r="BJ75" t="s">
        <v>732</v>
      </c>
      <c r="BK75" t="s">
        <v>101</v>
      </c>
      <c r="BL75" t="s">
        <v>732</v>
      </c>
      <c r="BM75" t="s">
        <v>1670</v>
      </c>
      <c r="BN75" t="s">
        <v>74</v>
      </c>
      <c r="BO75" t="s">
        <v>366</v>
      </c>
      <c r="BP75" t="s">
        <v>74</v>
      </c>
      <c r="BQ75" t="s">
        <v>74</v>
      </c>
      <c r="BR75" t="s">
        <v>103</v>
      </c>
      <c r="BS75" t="s">
        <v>1671</v>
      </c>
      <c r="BT75" t="str">
        <f>HYPERLINK("https%3A%2F%2Fwww.webofscience.com%2Fwos%2Fwoscc%2Ffull-record%2FWOS:000481968800001","View Full Record in Web of Science")</f>
        <v>View Full Record in Web of Science</v>
      </c>
    </row>
    <row r="76" spans="1:72" x14ac:dyDescent="0.15">
      <c r="A76" t="s">
        <v>72</v>
      </c>
      <c r="B76" t="s">
        <v>1672</v>
      </c>
      <c r="C76" t="s">
        <v>74</v>
      </c>
      <c r="D76" t="s">
        <v>74</v>
      </c>
      <c r="E76" t="s">
        <v>74</v>
      </c>
      <c r="F76" t="s">
        <v>1673</v>
      </c>
      <c r="G76" t="s">
        <v>74</v>
      </c>
      <c r="H76" t="s">
        <v>74</v>
      </c>
      <c r="I76" t="s">
        <v>1674</v>
      </c>
      <c r="J76" t="s">
        <v>1675</v>
      </c>
      <c r="K76" t="s">
        <v>74</v>
      </c>
      <c r="L76" t="s">
        <v>74</v>
      </c>
      <c r="M76" t="s">
        <v>78</v>
      </c>
      <c r="N76" t="s">
        <v>108</v>
      </c>
      <c r="O76" t="s">
        <v>74</v>
      </c>
      <c r="P76" t="s">
        <v>74</v>
      </c>
      <c r="Q76" t="s">
        <v>74</v>
      </c>
      <c r="R76" t="s">
        <v>74</v>
      </c>
      <c r="S76" t="s">
        <v>74</v>
      </c>
      <c r="T76" t="s">
        <v>74</v>
      </c>
      <c r="U76" t="s">
        <v>1676</v>
      </c>
      <c r="V76" t="s">
        <v>1677</v>
      </c>
      <c r="W76" t="s">
        <v>1678</v>
      </c>
      <c r="X76" t="s">
        <v>1679</v>
      </c>
      <c r="Y76" t="s">
        <v>1680</v>
      </c>
      <c r="Z76" t="s">
        <v>1681</v>
      </c>
      <c r="AA76" t="s">
        <v>1682</v>
      </c>
      <c r="AB76" t="s">
        <v>1683</v>
      </c>
      <c r="AC76" t="s">
        <v>1684</v>
      </c>
      <c r="AD76" t="s">
        <v>1685</v>
      </c>
      <c r="AE76" t="s">
        <v>1686</v>
      </c>
      <c r="AF76" t="s">
        <v>74</v>
      </c>
      <c r="AG76">
        <v>53</v>
      </c>
      <c r="AH76">
        <v>28</v>
      </c>
      <c r="AI76">
        <v>29</v>
      </c>
      <c r="AJ76">
        <v>1</v>
      </c>
      <c r="AK76">
        <v>31</v>
      </c>
      <c r="AL76" t="s">
        <v>1687</v>
      </c>
      <c r="AM76" t="s">
        <v>1688</v>
      </c>
      <c r="AN76" t="s">
        <v>1689</v>
      </c>
      <c r="AO76" t="s">
        <v>1690</v>
      </c>
      <c r="AP76" t="s">
        <v>1691</v>
      </c>
      <c r="AQ76" t="s">
        <v>74</v>
      </c>
      <c r="AR76" t="s">
        <v>1692</v>
      </c>
      <c r="AS76" t="s">
        <v>1693</v>
      </c>
      <c r="AT76" t="s">
        <v>1583</v>
      </c>
      <c r="AU76">
        <v>2019</v>
      </c>
      <c r="AV76">
        <v>881</v>
      </c>
      <c r="AW76">
        <v>2</v>
      </c>
      <c r="AX76" t="s">
        <v>74</v>
      </c>
      <c r="AY76" t="s">
        <v>74</v>
      </c>
      <c r="AZ76" t="s">
        <v>74</v>
      </c>
      <c r="BA76" t="s">
        <v>74</v>
      </c>
      <c r="BB76" t="s">
        <v>74</v>
      </c>
      <c r="BC76" t="s">
        <v>74</v>
      </c>
      <c r="BD76" t="s">
        <v>1694</v>
      </c>
      <c r="BE76" t="s">
        <v>1695</v>
      </c>
      <c r="BF76" t="str">
        <f>HYPERLINK("http://dx.doi.org/10.3847/2041-8213/ab3398","http://dx.doi.org/10.3847/2041-8213/ab3398")</f>
        <v>http://dx.doi.org/10.3847/2041-8213/ab3398</v>
      </c>
      <c r="BG76" t="s">
        <v>74</v>
      </c>
      <c r="BH76" t="s">
        <v>74</v>
      </c>
      <c r="BI76">
        <v>6</v>
      </c>
      <c r="BJ76" t="s">
        <v>1696</v>
      </c>
      <c r="BK76" t="s">
        <v>101</v>
      </c>
      <c r="BL76" t="s">
        <v>1696</v>
      </c>
      <c r="BM76" t="s">
        <v>1697</v>
      </c>
      <c r="BN76" t="s">
        <v>74</v>
      </c>
      <c r="BO76" t="s">
        <v>1125</v>
      </c>
      <c r="BP76" t="s">
        <v>74</v>
      </c>
      <c r="BQ76" t="s">
        <v>74</v>
      </c>
      <c r="BR76" t="s">
        <v>103</v>
      </c>
      <c r="BS76" t="s">
        <v>1698</v>
      </c>
      <c r="BT76" t="str">
        <f>HYPERLINK("https%3A%2F%2Fwww.webofscience.com%2Fwos%2Fwoscc%2Ffull-record%2FWOS:000481995700005","View Full Record in Web of Science")</f>
        <v>View Full Record in Web of Science</v>
      </c>
    </row>
    <row r="77" spans="1:72" x14ac:dyDescent="0.15">
      <c r="A77" t="s">
        <v>72</v>
      </c>
      <c r="B77" t="s">
        <v>1699</v>
      </c>
      <c r="C77" t="s">
        <v>74</v>
      </c>
      <c r="D77" t="s">
        <v>74</v>
      </c>
      <c r="E77" t="s">
        <v>74</v>
      </c>
      <c r="F77" t="s">
        <v>1700</v>
      </c>
      <c r="G77" t="s">
        <v>74</v>
      </c>
      <c r="H77" t="s">
        <v>74</v>
      </c>
      <c r="I77" t="s">
        <v>1701</v>
      </c>
      <c r="J77" t="s">
        <v>1702</v>
      </c>
      <c r="K77" t="s">
        <v>74</v>
      </c>
      <c r="L77" t="s">
        <v>74</v>
      </c>
      <c r="M77" t="s">
        <v>78</v>
      </c>
      <c r="N77" t="s">
        <v>108</v>
      </c>
      <c r="O77" t="s">
        <v>74</v>
      </c>
      <c r="P77" t="s">
        <v>74</v>
      </c>
      <c r="Q77" t="s">
        <v>74</v>
      </c>
      <c r="R77" t="s">
        <v>74</v>
      </c>
      <c r="S77" t="s">
        <v>74</v>
      </c>
      <c r="T77" t="s">
        <v>1703</v>
      </c>
      <c r="U77" t="s">
        <v>1704</v>
      </c>
      <c r="V77" t="s">
        <v>1705</v>
      </c>
      <c r="W77" t="s">
        <v>1706</v>
      </c>
      <c r="X77" t="s">
        <v>1707</v>
      </c>
      <c r="Y77" t="s">
        <v>1708</v>
      </c>
      <c r="Z77" t="s">
        <v>1709</v>
      </c>
      <c r="AA77" t="s">
        <v>1710</v>
      </c>
      <c r="AB77" t="s">
        <v>1711</v>
      </c>
      <c r="AC77" t="s">
        <v>1712</v>
      </c>
      <c r="AD77" t="s">
        <v>1713</v>
      </c>
      <c r="AE77" t="s">
        <v>1714</v>
      </c>
      <c r="AF77" t="s">
        <v>74</v>
      </c>
      <c r="AG77">
        <v>68</v>
      </c>
      <c r="AH77">
        <v>9</v>
      </c>
      <c r="AI77">
        <v>9</v>
      </c>
      <c r="AJ77">
        <v>4</v>
      </c>
      <c r="AK77">
        <v>33</v>
      </c>
      <c r="AL77" t="s">
        <v>1140</v>
      </c>
      <c r="AM77" t="s">
        <v>1141</v>
      </c>
      <c r="AN77" t="s">
        <v>1142</v>
      </c>
      <c r="AO77" t="s">
        <v>1715</v>
      </c>
      <c r="AP77" t="s">
        <v>1716</v>
      </c>
      <c r="AQ77" t="s">
        <v>74</v>
      </c>
      <c r="AR77" t="s">
        <v>1717</v>
      </c>
      <c r="AS77" t="s">
        <v>1718</v>
      </c>
      <c r="AT77" t="s">
        <v>1439</v>
      </c>
      <c r="AU77">
        <v>2020</v>
      </c>
      <c r="AV77">
        <v>13</v>
      </c>
      <c r="AW77">
        <v>1</v>
      </c>
      <c r="AX77" t="s">
        <v>74</v>
      </c>
      <c r="AY77" t="s">
        <v>74</v>
      </c>
      <c r="AZ77" t="s">
        <v>74</v>
      </c>
      <c r="BA77" t="s">
        <v>74</v>
      </c>
      <c r="BB77">
        <v>63</v>
      </c>
      <c r="BC77">
        <v>76</v>
      </c>
      <c r="BD77" t="s">
        <v>74</v>
      </c>
      <c r="BE77" t="s">
        <v>1719</v>
      </c>
      <c r="BF77" t="str">
        <f>HYPERLINK("http://dx.doi.org/10.1111/icad.12375","http://dx.doi.org/10.1111/icad.12375")</f>
        <v>http://dx.doi.org/10.1111/icad.12375</v>
      </c>
      <c r="BG77" t="s">
        <v>74</v>
      </c>
      <c r="BH77" t="s">
        <v>1149</v>
      </c>
      <c r="BI77">
        <v>14</v>
      </c>
      <c r="BJ77" t="s">
        <v>1720</v>
      </c>
      <c r="BK77" t="s">
        <v>101</v>
      </c>
      <c r="BL77" t="s">
        <v>1721</v>
      </c>
      <c r="BM77" t="s">
        <v>1722</v>
      </c>
      <c r="BN77" t="s">
        <v>74</v>
      </c>
      <c r="BO77" t="s">
        <v>74</v>
      </c>
      <c r="BP77" t="s">
        <v>74</v>
      </c>
      <c r="BQ77" t="s">
        <v>74</v>
      </c>
      <c r="BR77" t="s">
        <v>103</v>
      </c>
      <c r="BS77" t="s">
        <v>1723</v>
      </c>
      <c r="BT77" t="str">
        <f>HYPERLINK("https%3A%2F%2Fwww.webofscience.com%2Fwos%2Fwoscc%2Ffull-record%2FWOS:000481968900001","View Full Record in Web of Science")</f>
        <v>View Full Record in Web of Science</v>
      </c>
    </row>
    <row r="78" spans="1:72" x14ac:dyDescent="0.15">
      <c r="A78" t="s">
        <v>72</v>
      </c>
      <c r="B78" t="s">
        <v>1724</v>
      </c>
      <c r="C78" t="s">
        <v>74</v>
      </c>
      <c r="D78" t="s">
        <v>74</v>
      </c>
      <c r="E78" t="s">
        <v>74</v>
      </c>
      <c r="F78" t="s">
        <v>1725</v>
      </c>
      <c r="G78" t="s">
        <v>74</v>
      </c>
      <c r="H78" t="s">
        <v>74</v>
      </c>
      <c r="I78" t="s">
        <v>1726</v>
      </c>
      <c r="J78" t="s">
        <v>1727</v>
      </c>
      <c r="K78" t="s">
        <v>74</v>
      </c>
      <c r="L78" t="s">
        <v>74</v>
      </c>
      <c r="M78" t="s">
        <v>78</v>
      </c>
      <c r="N78" t="s">
        <v>108</v>
      </c>
      <c r="O78" t="s">
        <v>74</v>
      </c>
      <c r="P78" t="s">
        <v>74</v>
      </c>
      <c r="Q78" t="s">
        <v>74</v>
      </c>
      <c r="R78" t="s">
        <v>74</v>
      </c>
      <c r="S78" t="s">
        <v>74</v>
      </c>
      <c r="T78" t="s">
        <v>74</v>
      </c>
      <c r="U78" t="s">
        <v>1728</v>
      </c>
      <c r="V78" t="s">
        <v>1729</v>
      </c>
      <c r="W78" t="s">
        <v>1730</v>
      </c>
      <c r="X78" t="s">
        <v>1731</v>
      </c>
      <c r="Y78" t="s">
        <v>1732</v>
      </c>
      <c r="Z78" t="s">
        <v>74</v>
      </c>
      <c r="AA78" t="s">
        <v>74</v>
      </c>
      <c r="AB78" t="s">
        <v>1733</v>
      </c>
      <c r="AC78" t="s">
        <v>1734</v>
      </c>
      <c r="AD78" t="s">
        <v>1735</v>
      </c>
      <c r="AE78" t="s">
        <v>1736</v>
      </c>
      <c r="AF78" t="s">
        <v>74</v>
      </c>
      <c r="AG78">
        <v>58</v>
      </c>
      <c r="AH78">
        <v>22</v>
      </c>
      <c r="AI78">
        <v>25</v>
      </c>
      <c r="AJ78">
        <v>0</v>
      </c>
      <c r="AK78">
        <v>0</v>
      </c>
      <c r="AL78" t="s">
        <v>1737</v>
      </c>
      <c r="AM78" t="s">
        <v>1738</v>
      </c>
      <c r="AN78" t="s">
        <v>1739</v>
      </c>
      <c r="AO78" t="s">
        <v>1740</v>
      </c>
      <c r="AP78" t="s">
        <v>1741</v>
      </c>
      <c r="AQ78" t="s">
        <v>74</v>
      </c>
      <c r="AR78" t="s">
        <v>1742</v>
      </c>
      <c r="AS78" t="s">
        <v>1743</v>
      </c>
      <c r="AT78" t="s">
        <v>1583</v>
      </c>
      <c r="AU78">
        <v>2019</v>
      </c>
      <c r="AV78">
        <v>100</v>
      </c>
      <c r="AW78">
        <v>4</v>
      </c>
      <c r="AX78" t="s">
        <v>74</v>
      </c>
      <c r="AY78" t="s">
        <v>74</v>
      </c>
      <c r="AZ78" t="s">
        <v>74</v>
      </c>
      <c r="BA78" t="s">
        <v>74</v>
      </c>
      <c r="BB78" t="s">
        <v>74</v>
      </c>
      <c r="BC78" t="s">
        <v>74</v>
      </c>
      <c r="BD78">
        <v>43019</v>
      </c>
      <c r="BE78" t="s">
        <v>1744</v>
      </c>
      <c r="BF78" t="str">
        <f>HYPERLINK("http://dx.doi.org/10.1103/PhysRevD.100.043019","http://dx.doi.org/10.1103/PhysRevD.100.043019")</f>
        <v>http://dx.doi.org/10.1103/PhysRevD.100.043019</v>
      </c>
      <c r="BG78" t="s">
        <v>74</v>
      </c>
      <c r="BH78" t="s">
        <v>74</v>
      </c>
      <c r="BI78">
        <v>7</v>
      </c>
      <c r="BJ78" t="s">
        <v>1745</v>
      </c>
      <c r="BK78" t="s">
        <v>101</v>
      </c>
      <c r="BL78" t="s">
        <v>1746</v>
      </c>
      <c r="BM78" t="s">
        <v>1747</v>
      </c>
      <c r="BN78" t="s">
        <v>74</v>
      </c>
      <c r="BO78" t="s">
        <v>474</v>
      </c>
      <c r="BP78" t="s">
        <v>74</v>
      </c>
      <c r="BQ78" t="s">
        <v>74</v>
      </c>
      <c r="BR78" t="s">
        <v>103</v>
      </c>
      <c r="BS78" t="s">
        <v>1748</v>
      </c>
      <c r="BT78" t="str">
        <f>HYPERLINK("https%3A%2F%2Fwww.webofscience.com%2Fwos%2Fwoscc%2Ffull-record%2FWOS:000481821000003","View Full Record in Web of Science")</f>
        <v>View Full Record in Web of Science</v>
      </c>
    </row>
    <row r="79" spans="1:72" x14ac:dyDescent="0.15">
      <c r="A79" t="s">
        <v>72</v>
      </c>
      <c r="B79" t="s">
        <v>1749</v>
      </c>
      <c r="C79" t="s">
        <v>74</v>
      </c>
      <c r="D79" t="s">
        <v>74</v>
      </c>
      <c r="E79" t="s">
        <v>74</v>
      </c>
      <c r="F79" t="s">
        <v>1750</v>
      </c>
      <c r="G79" t="s">
        <v>74</v>
      </c>
      <c r="H79" t="s">
        <v>74</v>
      </c>
      <c r="I79" t="s">
        <v>1751</v>
      </c>
      <c r="J79" t="s">
        <v>855</v>
      </c>
      <c r="K79" t="s">
        <v>74</v>
      </c>
      <c r="L79" t="s">
        <v>74</v>
      </c>
      <c r="M79" t="s">
        <v>78</v>
      </c>
      <c r="N79" t="s">
        <v>108</v>
      </c>
      <c r="O79" t="s">
        <v>74</v>
      </c>
      <c r="P79" t="s">
        <v>74</v>
      </c>
      <c r="Q79" t="s">
        <v>74</v>
      </c>
      <c r="R79" t="s">
        <v>74</v>
      </c>
      <c r="S79" t="s">
        <v>74</v>
      </c>
      <c r="T79" t="s">
        <v>1752</v>
      </c>
      <c r="U79" t="s">
        <v>1753</v>
      </c>
      <c r="V79" t="s">
        <v>1754</v>
      </c>
      <c r="W79" t="s">
        <v>1755</v>
      </c>
      <c r="X79" t="s">
        <v>888</v>
      </c>
      <c r="Y79" t="s">
        <v>1756</v>
      </c>
      <c r="Z79" t="s">
        <v>1757</v>
      </c>
      <c r="AA79" t="s">
        <v>1758</v>
      </c>
      <c r="AB79" t="s">
        <v>1759</v>
      </c>
      <c r="AC79" t="s">
        <v>1760</v>
      </c>
      <c r="AD79" t="s">
        <v>1761</v>
      </c>
      <c r="AE79" t="s">
        <v>1762</v>
      </c>
      <c r="AF79" t="s">
        <v>74</v>
      </c>
      <c r="AG79">
        <v>106</v>
      </c>
      <c r="AH79">
        <v>21</v>
      </c>
      <c r="AI79">
        <v>23</v>
      </c>
      <c r="AJ79">
        <v>3</v>
      </c>
      <c r="AK79">
        <v>24</v>
      </c>
      <c r="AL79" t="s">
        <v>868</v>
      </c>
      <c r="AM79" t="s">
        <v>869</v>
      </c>
      <c r="AN79" t="s">
        <v>870</v>
      </c>
      <c r="AO79" t="s">
        <v>74</v>
      </c>
      <c r="AP79" t="s">
        <v>871</v>
      </c>
      <c r="AQ79" t="s">
        <v>74</v>
      </c>
      <c r="AR79" t="s">
        <v>872</v>
      </c>
      <c r="AS79" t="s">
        <v>873</v>
      </c>
      <c r="AT79" t="s">
        <v>1583</v>
      </c>
      <c r="AU79">
        <v>2019</v>
      </c>
      <c r="AV79">
        <v>6</v>
      </c>
      <c r="AW79" t="s">
        <v>74</v>
      </c>
      <c r="AX79" t="s">
        <v>74</v>
      </c>
      <c r="AY79" t="s">
        <v>74</v>
      </c>
      <c r="AZ79" t="s">
        <v>74</v>
      </c>
      <c r="BA79" t="s">
        <v>74</v>
      </c>
      <c r="BB79" t="s">
        <v>74</v>
      </c>
      <c r="BC79" t="s">
        <v>74</v>
      </c>
      <c r="BD79">
        <v>514</v>
      </c>
      <c r="BE79" t="s">
        <v>1763</v>
      </c>
      <c r="BF79" t="str">
        <f>HYPERLINK("http://dx.doi.org/10.3389/fmars.2019.00514","http://dx.doi.org/10.3389/fmars.2019.00514")</f>
        <v>http://dx.doi.org/10.3389/fmars.2019.00514</v>
      </c>
      <c r="BG79" t="s">
        <v>74</v>
      </c>
      <c r="BH79" t="s">
        <v>74</v>
      </c>
      <c r="BI79">
        <v>17</v>
      </c>
      <c r="BJ79" t="s">
        <v>876</v>
      </c>
      <c r="BK79" t="s">
        <v>101</v>
      </c>
      <c r="BL79" t="s">
        <v>877</v>
      </c>
      <c r="BM79" t="s">
        <v>1764</v>
      </c>
      <c r="BN79" t="s">
        <v>74</v>
      </c>
      <c r="BO79" t="s">
        <v>366</v>
      </c>
      <c r="BP79" t="s">
        <v>74</v>
      </c>
      <c r="BQ79" t="s">
        <v>74</v>
      </c>
      <c r="BR79" t="s">
        <v>103</v>
      </c>
      <c r="BS79" t="s">
        <v>1765</v>
      </c>
      <c r="BT79" t="str">
        <f>HYPERLINK("https%3A%2F%2Fwww.webofscience.com%2Fwos%2Fwoscc%2Ffull-record%2FWOS:000482484000001","View Full Record in Web of Science")</f>
        <v>View Full Record in Web of Science</v>
      </c>
    </row>
    <row r="80" spans="1:72" x14ac:dyDescent="0.15">
      <c r="A80" t="s">
        <v>72</v>
      </c>
      <c r="B80" t="s">
        <v>1766</v>
      </c>
      <c r="C80" t="s">
        <v>74</v>
      </c>
      <c r="D80" t="s">
        <v>74</v>
      </c>
      <c r="E80" t="s">
        <v>74</v>
      </c>
      <c r="F80" t="s">
        <v>1767</v>
      </c>
      <c r="G80" t="s">
        <v>74</v>
      </c>
      <c r="H80" t="s">
        <v>74</v>
      </c>
      <c r="I80" t="s">
        <v>1768</v>
      </c>
      <c r="J80" t="s">
        <v>855</v>
      </c>
      <c r="K80" t="s">
        <v>74</v>
      </c>
      <c r="L80" t="s">
        <v>74</v>
      </c>
      <c r="M80" t="s">
        <v>78</v>
      </c>
      <c r="N80" t="s">
        <v>79</v>
      </c>
      <c r="O80" t="s">
        <v>74</v>
      </c>
      <c r="P80" t="s">
        <v>74</v>
      </c>
      <c r="Q80" t="s">
        <v>74</v>
      </c>
      <c r="R80" t="s">
        <v>74</v>
      </c>
      <c r="S80" t="s">
        <v>74</v>
      </c>
      <c r="T80" t="s">
        <v>1769</v>
      </c>
      <c r="U80" t="s">
        <v>1770</v>
      </c>
      <c r="V80" t="s">
        <v>1771</v>
      </c>
      <c r="W80" t="s">
        <v>1772</v>
      </c>
      <c r="X80" t="s">
        <v>1773</v>
      </c>
      <c r="Y80" t="s">
        <v>1774</v>
      </c>
      <c r="Z80" t="s">
        <v>1775</v>
      </c>
      <c r="AA80" t="s">
        <v>1776</v>
      </c>
      <c r="AB80" t="s">
        <v>1777</v>
      </c>
      <c r="AC80" t="s">
        <v>1778</v>
      </c>
      <c r="AD80" t="s">
        <v>1779</v>
      </c>
      <c r="AE80" t="s">
        <v>1780</v>
      </c>
      <c r="AF80" t="s">
        <v>74</v>
      </c>
      <c r="AG80">
        <v>177</v>
      </c>
      <c r="AH80">
        <v>121</v>
      </c>
      <c r="AI80">
        <v>129</v>
      </c>
      <c r="AJ80">
        <v>10</v>
      </c>
      <c r="AK80">
        <v>120</v>
      </c>
      <c r="AL80" t="s">
        <v>868</v>
      </c>
      <c r="AM80" t="s">
        <v>869</v>
      </c>
      <c r="AN80" t="s">
        <v>870</v>
      </c>
      <c r="AO80" t="s">
        <v>74</v>
      </c>
      <c r="AP80" t="s">
        <v>871</v>
      </c>
      <c r="AQ80" t="s">
        <v>74</v>
      </c>
      <c r="AR80" t="s">
        <v>872</v>
      </c>
      <c r="AS80" t="s">
        <v>873</v>
      </c>
      <c r="AT80" t="s">
        <v>1583</v>
      </c>
      <c r="AU80">
        <v>2019</v>
      </c>
      <c r="AV80">
        <v>6</v>
      </c>
      <c r="AW80" t="s">
        <v>74</v>
      </c>
      <c r="AX80" t="s">
        <v>74</v>
      </c>
      <c r="AY80" t="s">
        <v>74</v>
      </c>
      <c r="AZ80" t="s">
        <v>74</v>
      </c>
      <c r="BA80" t="s">
        <v>74</v>
      </c>
      <c r="BB80" t="s">
        <v>74</v>
      </c>
      <c r="BC80" t="s">
        <v>74</v>
      </c>
      <c r="BD80">
        <v>432</v>
      </c>
      <c r="BE80" t="s">
        <v>1781</v>
      </c>
      <c r="BF80" t="str">
        <f>HYPERLINK("http://dx.doi.org/10.3389/fmars.2019.00432","http://dx.doi.org/10.3389/fmars.2019.00432")</f>
        <v>http://dx.doi.org/10.3389/fmars.2019.00432</v>
      </c>
      <c r="BG80" t="s">
        <v>74</v>
      </c>
      <c r="BH80" t="s">
        <v>74</v>
      </c>
      <c r="BI80">
        <v>31</v>
      </c>
      <c r="BJ80" t="s">
        <v>876</v>
      </c>
      <c r="BK80" t="s">
        <v>101</v>
      </c>
      <c r="BL80" t="s">
        <v>877</v>
      </c>
      <c r="BM80" t="s">
        <v>1782</v>
      </c>
      <c r="BN80" t="s">
        <v>74</v>
      </c>
      <c r="BO80" t="s">
        <v>1783</v>
      </c>
      <c r="BP80" t="s">
        <v>1784</v>
      </c>
      <c r="BQ80" t="s">
        <v>1785</v>
      </c>
      <c r="BR80" t="s">
        <v>103</v>
      </c>
      <c r="BS80" t="s">
        <v>1786</v>
      </c>
      <c r="BT80" t="str">
        <f>HYPERLINK("https%3A%2F%2Fwww.webofscience.com%2Fwos%2Fwoscc%2Ffull-record%2FWOS:000482481100001","View Full Record in Web of Science")</f>
        <v>View Full Record in Web of Science</v>
      </c>
    </row>
    <row r="81" spans="1:72" x14ac:dyDescent="0.15">
      <c r="A81" t="s">
        <v>72</v>
      </c>
      <c r="B81" t="s">
        <v>1787</v>
      </c>
      <c r="C81" t="s">
        <v>74</v>
      </c>
      <c r="D81" t="s">
        <v>74</v>
      </c>
      <c r="E81" t="s">
        <v>74</v>
      </c>
      <c r="F81" t="s">
        <v>1788</v>
      </c>
      <c r="G81" t="s">
        <v>74</v>
      </c>
      <c r="H81" t="s">
        <v>74</v>
      </c>
      <c r="I81" t="s">
        <v>1789</v>
      </c>
      <c r="J81" t="s">
        <v>805</v>
      </c>
      <c r="K81" t="s">
        <v>74</v>
      </c>
      <c r="L81" t="s">
        <v>74</v>
      </c>
      <c r="M81" t="s">
        <v>78</v>
      </c>
      <c r="N81" t="s">
        <v>108</v>
      </c>
      <c r="O81" t="s">
        <v>74</v>
      </c>
      <c r="P81" t="s">
        <v>74</v>
      </c>
      <c r="Q81" t="s">
        <v>74</v>
      </c>
      <c r="R81" t="s">
        <v>74</v>
      </c>
      <c r="S81" t="s">
        <v>74</v>
      </c>
      <c r="T81" t="s">
        <v>1790</v>
      </c>
      <c r="U81" t="s">
        <v>1791</v>
      </c>
      <c r="V81" t="s">
        <v>1792</v>
      </c>
      <c r="W81" t="s">
        <v>1793</v>
      </c>
      <c r="X81" t="s">
        <v>1794</v>
      </c>
      <c r="Y81" t="s">
        <v>1795</v>
      </c>
      <c r="Z81" t="s">
        <v>1796</v>
      </c>
      <c r="AA81" t="s">
        <v>74</v>
      </c>
      <c r="AB81" t="s">
        <v>74</v>
      </c>
      <c r="AC81" t="s">
        <v>1797</v>
      </c>
      <c r="AD81" t="s">
        <v>1798</v>
      </c>
      <c r="AE81" t="s">
        <v>1799</v>
      </c>
      <c r="AF81" t="s">
        <v>74</v>
      </c>
      <c r="AG81">
        <v>68</v>
      </c>
      <c r="AH81">
        <v>5</v>
      </c>
      <c r="AI81">
        <v>8</v>
      </c>
      <c r="AJ81">
        <v>1</v>
      </c>
      <c r="AK81">
        <v>98</v>
      </c>
      <c r="AL81" t="s">
        <v>438</v>
      </c>
      <c r="AM81" t="s">
        <v>439</v>
      </c>
      <c r="AN81" t="s">
        <v>440</v>
      </c>
      <c r="AO81" t="s">
        <v>818</v>
      </c>
      <c r="AP81" t="s">
        <v>819</v>
      </c>
      <c r="AQ81" t="s">
        <v>74</v>
      </c>
      <c r="AR81" t="s">
        <v>820</v>
      </c>
      <c r="AS81" t="s">
        <v>821</v>
      </c>
      <c r="AT81" t="s">
        <v>1583</v>
      </c>
      <c r="AU81">
        <v>2019</v>
      </c>
      <c r="AV81">
        <v>679</v>
      </c>
      <c r="AW81" t="s">
        <v>74</v>
      </c>
      <c r="AX81" t="s">
        <v>74</v>
      </c>
      <c r="AY81" t="s">
        <v>74</v>
      </c>
      <c r="AZ81" t="s">
        <v>74</v>
      </c>
      <c r="BA81" t="s">
        <v>74</v>
      </c>
      <c r="BB81">
        <v>97</v>
      </c>
      <c r="BC81">
        <v>105</v>
      </c>
      <c r="BD81" t="s">
        <v>74</v>
      </c>
      <c r="BE81" t="s">
        <v>1800</v>
      </c>
      <c r="BF81" t="str">
        <f>HYPERLINK("http://dx.doi.org/10.1016/j.scitotenv.2019.04.374","http://dx.doi.org/10.1016/j.scitotenv.2019.04.374")</f>
        <v>http://dx.doi.org/10.1016/j.scitotenv.2019.04.374</v>
      </c>
      <c r="BG81" t="s">
        <v>74</v>
      </c>
      <c r="BH81" t="s">
        <v>74</v>
      </c>
      <c r="BI81">
        <v>9</v>
      </c>
      <c r="BJ81" t="s">
        <v>797</v>
      </c>
      <c r="BK81" t="s">
        <v>101</v>
      </c>
      <c r="BL81" t="s">
        <v>799</v>
      </c>
      <c r="BM81" t="s">
        <v>1801</v>
      </c>
      <c r="BN81">
        <v>31082605</v>
      </c>
      <c r="BO81" t="s">
        <v>74</v>
      </c>
      <c r="BP81" t="s">
        <v>74</v>
      </c>
      <c r="BQ81" t="s">
        <v>74</v>
      </c>
      <c r="BR81" t="s">
        <v>103</v>
      </c>
      <c r="BS81" t="s">
        <v>1802</v>
      </c>
      <c r="BT81" t="str">
        <f>HYPERLINK("https%3A%2F%2Fwww.webofscience.com%2Fwos%2Fwoscc%2Ffull-record%2FWOS:000468619200011","View Full Record in Web of Science")</f>
        <v>View Full Record in Web of Science</v>
      </c>
    </row>
    <row r="82" spans="1:72" x14ac:dyDescent="0.15">
      <c r="A82" t="s">
        <v>72</v>
      </c>
      <c r="B82" t="s">
        <v>1803</v>
      </c>
      <c r="C82" t="s">
        <v>74</v>
      </c>
      <c r="D82" t="s">
        <v>74</v>
      </c>
      <c r="E82" t="s">
        <v>74</v>
      </c>
      <c r="F82" t="s">
        <v>1804</v>
      </c>
      <c r="G82" t="s">
        <v>74</v>
      </c>
      <c r="H82" t="s">
        <v>74</v>
      </c>
      <c r="I82" t="s">
        <v>1805</v>
      </c>
      <c r="J82" t="s">
        <v>1806</v>
      </c>
      <c r="K82" t="s">
        <v>74</v>
      </c>
      <c r="L82" t="s">
        <v>74</v>
      </c>
      <c r="M82" t="s">
        <v>78</v>
      </c>
      <c r="N82" t="s">
        <v>108</v>
      </c>
      <c r="O82" t="s">
        <v>74</v>
      </c>
      <c r="P82" t="s">
        <v>74</v>
      </c>
      <c r="Q82" t="s">
        <v>74</v>
      </c>
      <c r="R82" t="s">
        <v>74</v>
      </c>
      <c r="S82" t="s">
        <v>74</v>
      </c>
      <c r="T82" t="s">
        <v>1807</v>
      </c>
      <c r="U82" t="s">
        <v>1808</v>
      </c>
      <c r="V82" t="s">
        <v>1809</v>
      </c>
      <c r="W82" t="s">
        <v>1810</v>
      </c>
      <c r="X82" t="s">
        <v>1811</v>
      </c>
      <c r="Y82" t="s">
        <v>1812</v>
      </c>
      <c r="Z82" t="s">
        <v>1813</v>
      </c>
      <c r="AA82" t="s">
        <v>1814</v>
      </c>
      <c r="AB82" t="s">
        <v>1815</v>
      </c>
      <c r="AC82" t="s">
        <v>1816</v>
      </c>
      <c r="AD82" t="s">
        <v>1817</v>
      </c>
      <c r="AE82" t="s">
        <v>1818</v>
      </c>
      <c r="AF82" t="s">
        <v>74</v>
      </c>
      <c r="AG82">
        <v>38</v>
      </c>
      <c r="AH82">
        <v>12</v>
      </c>
      <c r="AI82">
        <v>12</v>
      </c>
      <c r="AJ82">
        <v>1</v>
      </c>
      <c r="AK82">
        <v>9</v>
      </c>
      <c r="AL82" t="s">
        <v>1819</v>
      </c>
      <c r="AM82" t="s">
        <v>657</v>
      </c>
      <c r="AN82" t="s">
        <v>1820</v>
      </c>
      <c r="AO82" t="s">
        <v>74</v>
      </c>
      <c r="AP82" t="s">
        <v>1821</v>
      </c>
      <c r="AQ82" t="s">
        <v>74</v>
      </c>
      <c r="AR82" t="s">
        <v>1822</v>
      </c>
      <c r="AS82" t="s">
        <v>1823</v>
      </c>
      <c r="AT82" t="s">
        <v>1824</v>
      </c>
      <c r="AU82">
        <v>2019</v>
      </c>
      <c r="AV82">
        <v>18</v>
      </c>
      <c r="AW82">
        <v>1</v>
      </c>
      <c r="AX82" t="s">
        <v>74</v>
      </c>
      <c r="AY82" t="s">
        <v>74</v>
      </c>
      <c r="AZ82" t="s">
        <v>74</v>
      </c>
      <c r="BA82" t="s">
        <v>74</v>
      </c>
      <c r="BB82" t="s">
        <v>74</v>
      </c>
      <c r="BC82" t="s">
        <v>74</v>
      </c>
      <c r="BD82">
        <v>140</v>
      </c>
      <c r="BE82" t="s">
        <v>1825</v>
      </c>
      <c r="BF82" t="str">
        <f>HYPERLINK("http://dx.doi.org/10.1186/s12934-019-1190-1","http://dx.doi.org/10.1186/s12934-019-1190-1")</f>
        <v>http://dx.doi.org/10.1186/s12934-019-1190-1</v>
      </c>
      <c r="BG82" t="s">
        <v>74</v>
      </c>
      <c r="BH82" t="s">
        <v>74</v>
      </c>
      <c r="BI82">
        <v>13</v>
      </c>
      <c r="BJ82" t="s">
        <v>1826</v>
      </c>
      <c r="BK82" t="s">
        <v>101</v>
      </c>
      <c r="BL82" t="s">
        <v>1826</v>
      </c>
      <c r="BM82" t="s">
        <v>1827</v>
      </c>
      <c r="BN82">
        <v>31426813</v>
      </c>
      <c r="BO82" t="s">
        <v>313</v>
      </c>
      <c r="BP82" t="s">
        <v>74</v>
      </c>
      <c r="BQ82" t="s">
        <v>74</v>
      </c>
      <c r="BR82" t="s">
        <v>103</v>
      </c>
      <c r="BS82" t="s">
        <v>1828</v>
      </c>
      <c r="BT82" t="str">
        <f>HYPERLINK("https%3A%2F%2Fwww.webofscience.com%2Fwos%2Fwoscc%2Ffull-record%2FWOS:000483291900002","View Full Record in Web of Science")</f>
        <v>View Full Record in Web of Science</v>
      </c>
    </row>
    <row r="83" spans="1:72" x14ac:dyDescent="0.15">
      <c r="A83" t="s">
        <v>72</v>
      </c>
      <c r="B83" t="s">
        <v>1829</v>
      </c>
      <c r="C83" t="s">
        <v>74</v>
      </c>
      <c r="D83" t="s">
        <v>74</v>
      </c>
      <c r="E83" t="s">
        <v>74</v>
      </c>
      <c r="F83" t="s">
        <v>1830</v>
      </c>
      <c r="G83" t="s">
        <v>74</v>
      </c>
      <c r="H83" t="s">
        <v>74</v>
      </c>
      <c r="I83" t="s">
        <v>1831</v>
      </c>
      <c r="J83" t="s">
        <v>1832</v>
      </c>
      <c r="K83" t="s">
        <v>74</v>
      </c>
      <c r="L83" t="s">
        <v>74</v>
      </c>
      <c r="M83" t="s">
        <v>78</v>
      </c>
      <c r="N83" t="s">
        <v>108</v>
      </c>
      <c r="O83" t="s">
        <v>74</v>
      </c>
      <c r="P83" t="s">
        <v>74</v>
      </c>
      <c r="Q83" t="s">
        <v>74</v>
      </c>
      <c r="R83" t="s">
        <v>74</v>
      </c>
      <c r="S83" t="s">
        <v>74</v>
      </c>
      <c r="T83" t="s">
        <v>74</v>
      </c>
      <c r="U83" t="s">
        <v>1833</v>
      </c>
      <c r="V83" t="s">
        <v>1834</v>
      </c>
      <c r="W83" t="s">
        <v>1835</v>
      </c>
      <c r="X83" t="s">
        <v>1836</v>
      </c>
      <c r="Y83" t="s">
        <v>1837</v>
      </c>
      <c r="Z83" t="s">
        <v>1838</v>
      </c>
      <c r="AA83" t="s">
        <v>1839</v>
      </c>
      <c r="AB83" t="s">
        <v>1840</v>
      </c>
      <c r="AC83" t="s">
        <v>1841</v>
      </c>
      <c r="AD83" t="s">
        <v>1842</v>
      </c>
      <c r="AE83" t="s">
        <v>1843</v>
      </c>
      <c r="AF83" t="s">
        <v>74</v>
      </c>
      <c r="AG83">
        <v>66</v>
      </c>
      <c r="AH83">
        <v>5</v>
      </c>
      <c r="AI83">
        <v>5</v>
      </c>
      <c r="AJ83">
        <v>0</v>
      </c>
      <c r="AK83">
        <v>8</v>
      </c>
      <c r="AL83" t="s">
        <v>839</v>
      </c>
      <c r="AM83" t="s">
        <v>840</v>
      </c>
      <c r="AN83" t="s">
        <v>841</v>
      </c>
      <c r="AO83" t="s">
        <v>1844</v>
      </c>
      <c r="AP83" t="s">
        <v>1845</v>
      </c>
      <c r="AQ83" t="s">
        <v>74</v>
      </c>
      <c r="AR83" t="s">
        <v>1832</v>
      </c>
      <c r="AS83" t="s">
        <v>1846</v>
      </c>
      <c r="AT83" t="s">
        <v>1824</v>
      </c>
      <c r="AU83">
        <v>2019</v>
      </c>
      <c r="AV83">
        <v>13</v>
      </c>
      <c r="AW83">
        <v>8</v>
      </c>
      <c r="AX83" t="s">
        <v>74</v>
      </c>
      <c r="AY83" t="s">
        <v>74</v>
      </c>
      <c r="AZ83" t="s">
        <v>74</v>
      </c>
      <c r="BA83" t="s">
        <v>74</v>
      </c>
      <c r="BB83">
        <v>2203</v>
      </c>
      <c r="BC83">
        <v>2219</v>
      </c>
      <c r="BD83" t="s">
        <v>74</v>
      </c>
      <c r="BE83" t="s">
        <v>1847</v>
      </c>
      <c r="BF83" t="str">
        <f>HYPERLINK("http://dx.doi.org/10.5194/tc-13-2203-2019","http://dx.doi.org/10.5194/tc-13-2203-2019")</f>
        <v>http://dx.doi.org/10.5194/tc-13-2203-2019</v>
      </c>
      <c r="BG83" t="s">
        <v>74</v>
      </c>
      <c r="BH83" t="s">
        <v>74</v>
      </c>
      <c r="BI83">
        <v>17</v>
      </c>
      <c r="BJ83" t="s">
        <v>310</v>
      </c>
      <c r="BK83" t="s">
        <v>101</v>
      </c>
      <c r="BL83" t="s">
        <v>311</v>
      </c>
      <c r="BM83" t="s">
        <v>1848</v>
      </c>
      <c r="BN83" t="s">
        <v>74</v>
      </c>
      <c r="BO83" t="s">
        <v>420</v>
      </c>
      <c r="BP83" t="s">
        <v>74</v>
      </c>
      <c r="BQ83" t="s">
        <v>74</v>
      </c>
      <c r="BR83" t="s">
        <v>103</v>
      </c>
      <c r="BS83" t="s">
        <v>1849</v>
      </c>
      <c r="BT83" t="str">
        <f>HYPERLINK("https%3A%2F%2Fwww.webofscience.com%2Fwos%2Fwoscc%2Ffull-record%2FWOS:000481989700003","View Full Record in Web of Science")</f>
        <v>View Full Record in Web of Science</v>
      </c>
    </row>
    <row r="84" spans="1:72" x14ac:dyDescent="0.15">
      <c r="A84" t="s">
        <v>72</v>
      </c>
      <c r="B84" t="s">
        <v>1850</v>
      </c>
      <c r="C84" t="s">
        <v>74</v>
      </c>
      <c r="D84" t="s">
        <v>74</v>
      </c>
      <c r="E84" t="s">
        <v>74</v>
      </c>
      <c r="F84" t="s">
        <v>1851</v>
      </c>
      <c r="G84" t="s">
        <v>74</v>
      </c>
      <c r="H84" t="s">
        <v>74</v>
      </c>
      <c r="I84" t="s">
        <v>1852</v>
      </c>
      <c r="J84" t="s">
        <v>884</v>
      </c>
      <c r="K84" t="s">
        <v>74</v>
      </c>
      <c r="L84" t="s">
        <v>74</v>
      </c>
      <c r="M84" t="s">
        <v>78</v>
      </c>
      <c r="N84" t="s">
        <v>108</v>
      </c>
      <c r="O84" t="s">
        <v>74</v>
      </c>
      <c r="P84" t="s">
        <v>74</v>
      </c>
      <c r="Q84" t="s">
        <v>74</v>
      </c>
      <c r="R84" t="s">
        <v>74</v>
      </c>
      <c r="S84" t="s">
        <v>74</v>
      </c>
      <c r="T84" t="s">
        <v>74</v>
      </c>
      <c r="U84" t="s">
        <v>1853</v>
      </c>
      <c r="V84" t="s">
        <v>1854</v>
      </c>
      <c r="W84" t="s">
        <v>1855</v>
      </c>
      <c r="X84" t="s">
        <v>1856</v>
      </c>
      <c r="Y84" t="s">
        <v>1857</v>
      </c>
      <c r="Z84" t="s">
        <v>1858</v>
      </c>
      <c r="AA84" t="s">
        <v>1859</v>
      </c>
      <c r="AB84" t="s">
        <v>1860</v>
      </c>
      <c r="AC84" t="s">
        <v>1861</v>
      </c>
      <c r="AD84" t="s">
        <v>1862</v>
      </c>
      <c r="AE84" t="s">
        <v>1863</v>
      </c>
      <c r="AF84" t="s">
        <v>74</v>
      </c>
      <c r="AG84">
        <v>56</v>
      </c>
      <c r="AH84">
        <v>17</v>
      </c>
      <c r="AI84">
        <v>19</v>
      </c>
      <c r="AJ84">
        <v>0</v>
      </c>
      <c r="AK84">
        <v>24</v>
      </c>
      <c r="AL84" t="s">
        <v>182</v>
      </c>
      <c r="AM84" t="s">
        <v>183</v>
      </c>
      <c r="AN84" t="s">
        <v>184</v>
      </c>
      <c r="AO84" t="s">
        <v>896</v>
      </c>
      <c r="AP84" t="s">
        <v>897</v>
      </c>
      <c r="AQ84" t="s">
        <v>74</v>
      </c>
      <c r="AR84" t="s">
        <v>898</v>
      </c>
      <c r="AS84" t="s">
        <v>899</v>
      </c>
      <c r="AT84" t="s">
        <v>1864</v>
      </c>
      <c r="AU84">
        <v>2019</v>
      </c>
      <c r="AV84">
        <v>46</v>
      </c>
      <c r="AW84">
        <v>15</v>
      </c>
      <c r="AX84" t="s">
        <v>74</v>
      </c>
      <c r="AY84" t="s">
        <v>74</v>
      </c>
      <c r="AZ84" t="s">
        <v>74</v>
      </c>
      <c r="BA84" t="s">
        <v>74</v>
      </c>
      <c r="BB84">
        <v>9072</v>
      </c>
      <c r="BC84">
        <v>9081</v>
      </c>
      <c r="BD84" t="s">
        <v>74</v>
      </c>
      <c r="BE84" t="s">
        <v>1865</v>
      </c>
      <c r="BF84" t="str">
        <f>HYPERLINK("http://dx.doi.org/10.1029/2019GL082750","http://dx.doi.org/10.1029/2019GL082750")</f>
        <v>http://dx.doi.org/10.1029/2019GL082750</v>
      </c>
      <c r="BG84" t="s">
        <v>74</v>
      </c>
      <c r="BH84" t="s">
        <v>74</v>
      </c>
      <c r="BI84">
        <v>10</v>
      </c>
      <c r="BJ84" t="s">
        <v>471</v>
      </c>
      <c r="BK84" t="s">
        <v>101</v>
      </c>
      <c r="BL84" t="s">
        <v>472</v>
      </c>
      <c r="BM84" t="s">
        <v>1866</v>
      </c>
      <c r="BN84" t="s">
        <v>74</v>
      </c>
      <c r="BO84" t="s">
        <v>1867</v>
      </c>
      <c r="BP84" t="s">
        <v>74</v>
      </c>
      <c r="BQ84" t="s">
        <v>74</v>
      </c>
      <c r="BR84" t="s">
        <v>103</v>
      </c>
      <c r="BS84" t="s">
        <v>1868</v>
      </c>
      <c r="BT84" t="str">
        <f>HYPERLINK("https%3A%2F%2Fwww.webofscience.com%2Fwos%2Fwoscc%2Ffull-record%2FWOS:000483812500051","View Full Record in Web of Science")</f>
        <v>View Full Record in Web of Science</v>
      </c>
    </row>
    <row r="85" spans="1:72" x14ac:dyDescent="0.15">
      <c r="A85" t="s">
        <v>72</v>
      </c>
      <c r="B85" t="s">
        <v>1869</v>
      </c>
      <c r="C85" t="s">
        <v>74</v>
      </c>
      <c r="D85" t="s">
        <v>74</v>
      </c>
      <c r="E85" t="s">
        <v>74</v>
      </c>
      <c r="F85" t="s">
        <v>1870</v>
      </c>
      <c r="G85" t="s">
        <v>74</v>
      </c>
      <c r="H85" t="s">
        <v>74</v>
      </c>
      <c r="I85" t="s">
        <v>1871</v>
      </c>
      <c r="J85" t="s">
        <v>884</v>
      </c>
      <c r="K85" t="s">
        <v>74</v>
      </c>
      <c r="L85" t="s">
        <v>74</v>
      </c>
      <c r="M85" t="s">
        <v>78</v>
      </c>
      <c r="N85" t="s">
        <v>108</v>
      </c>
      <c r="O85" t="s">
        <v>74</v>
      </c>
      <c r="P85" t="s">
        <v>74</v>
      </c>
      <c r="Q85" t="s">
        <v>74</v>
      </c>
      <c r="R85" t="s">
        <v>74</v>
      </c>
      <c r="S85" t="s">
        <v>74</v>
      </c>
      <c r="T85" t="s">
        <v>74</v>
      </c>
      <c r="U85" t="s">
        <v>1872</v>
      </c>
      <c r="V85" t="s">
        <v>1873</v>
      </c>
      <c r="W85" t="s">
        <v>1874</v>
      </c>
      <c r="X85" t="s">
        <v>1875</v>
      </c>
      <c r="Y85" t="s">
        <v>1876</v>
      </c>
      <c r="Z85" t="s">
        <v>1877</v>
      </c>
      <c r="AA85" t="s">
        <v>1878</v>
      </c>
      <c r="AB85" t="s">
        <v>1879</v>
      </c>
      <c r="AC85" t="s">
        <v>1880</v>
      </c>
      <c r="AD85" t="s">
        <v>981</v>
      </c>
      <c r="AE85" t="s">
        <v>1881</v>
      </c>
      <c r="AF85" t="s">
        <v>74</v>
      </c>
      <c r="AG85">
        <v>55</v>
      </c>
      <c r="AH85">
        <v>16</v>
      </c>
      <c r="AI85">
        <v>16</v>
      </c>
      <c r="AJ85">
        <v>1</v>
      </c>
      <c r="AK85">
        <v>8</v>
      </c>
      <c r="AL85" t="s">
        <v>182</v>
      </c>
      <c r="AM85" t="s">
        <v>183</v>
      </c>
      <c r="AN85" t="s">
        <v>184</v>
      </c>
      <c r="AO85" t="s">
        <v>896</v>
      </c>
      <c r="AP85" t="s">
        <v>897</v>
      </c>
      <c r="AQ85" t="s">
        <v>74</v>
      </c>
      <c r="AR85" t="s">
        <v>898</v>
      </c>
      <c r="AS85" t="s">
        <v>899</v>
      </c>
      <c r="AT85" t="s">
        <v>1864</v>
      </c>
      <c r="AU85">
        <v>2019</v>
      </c>
      <c r="AV85">
        <v>46</v>
      </c>
      <c r="AW85">
        <v>15</v>
      </c>
      <c r="AX85" t="s">
        <v>74</v>
      </c>
      <c r="AY85" t="s">
        <v>74</v>
      </c>
      <c r="AZ85" t="s">
        <v>74</v>
      </c>
      <c r="BA85" t="s">
        <v>74</v>
      </c>
      <c r="BB85">
        <v>9281</v>
      </c>
      <c r="BC85">
        <v>9290</v>
      </c>
      <c r="BD85" t="s">
        <v>74</v>
      </c>
      <c r="BE85" t="s">
        <v>1882</v>
      </c>
      <c r="BF85" t="str">
        <f>HYPERLINK("http://dx.doi.org/10.1029/2019GL083264","http://dx.doi.org/10.1029/2019GL083264")</f>
        <v>http://dx.doi.org/10.1029/2019GL083264</v>
      </c>
      <c r="BG85" t="s">
        <v>74</v>
      </c>
      <c r="BH85" t="s">
        <v>74</v>
      </c>
      <c r="BI85">
        <v>10</v>
      </c>
      <c r="BJ85" t="s">
        <v>471</v>
      </c>
      <c r="BK85" t="s">
        <v>101</v>
      </c>
      <c r="BL85" t="s">
        <v>472</v>
      </c>
      <c r="BM85" t="s">
        <v>1866</v>
      </c>
      <c r="BN85" t="s">
        <v>74</v>
      </c>
      <c r="BO85" t="s">
        <v>192</v>
      </c>
      <c r="BP85" t="s">
        <v>74</v>
      </c>
      <c r="BQ85" t="s">
        <v>74</v>
      </c>
      <c r="BR85" t="s">
        <v>103</v>
      </c>
      <c r="BS85" t="s">
        <v>1883</v>
      </c>
      <c r="BT85" t="str">
        <f>HYPERLINK("https%3A%2F%2Fwww.webofscience.com%2Fwos%2Fwoscc%2Ffull-record%2FWOS:000483812500073","View Full Record in Web of Science")</f>
        <v>View Full Record in Web of Science</v>
      </c>
    </row>
    <row r="86" spans="1:72" x14ac:dyDescent="0.15">
      <c r="A86" t="s">
        <v>72</v>
      </c>
      <c r="B86" t="s">
        <v>1884</v>
      </c>
      <c r="C86" t="s">
        <v>74</v>
      </c>
      <c r="D86" t="s">
        <v>74</v>
      </c>
      <c r="E86" t="s">
        <v>74</v>
      </c>
      <c r="F86" t="s">
        <v>1885</v>
      </c>
      <c r="G86" t="s">
        <v>74</v>
      </c>
      <c r="H86" t="s">
        <v>74</v>
      </c>
      <c r="I86" t="s">
        <v>1886</v>
      </c>
      <c r="J86" t="s">
        <v>1887</v>
      </c>
      <c r="K86" t="s">
        <v>74</v>
      </c>
      <c r="L86" t="s">
        <v>74</v>
      </c>
      <c r="M86" t="s">
        <v>78</v>
      </c>
      <c r="N86" t="s">
        <v>108</v>
      </c>
      <c r="O86" t="s">
        <v>74</v>
      </c>
      <c r="P86" t="s">
        <v>74</v>
      </c>
      <c r="Q86" t="s">
        <v>74</v>
      </c>
      <c r="R86" t="s">
        <v>74</v>
      </c>
      <c r="S86" t="s">
        <v>74</v>
      </c>
      <c r="T86" t="s">
        <v>74</v>
      </c>
      <c r="U86" t="s">
        <v>1888</v>
      </c>
      <c r="V86" t="s">
        <v>1889</v>
      </c>
      <c r="W86" t="s">
        <v>1890</v>
      </c>
      <c r="X86" t="s">
        <v>1891</v>
      </c>
      <c r="Y86" t="s">
        <v>1892</v>
      </c>
      <c r="Z86" t="s">
        <v>1893</v>
      </c>
      <c r="AA86" t="s">
        <v>1894</v>
      </c>
      <c r="AB86" t="s">
        <v>1895</v>
      </c>
      <c r="AC86" t="s">
        <v>1896</v>
      </c>
      <c r="AD86" t="s">
        <v>1897</v>
      </c>
      <c r="AE86" t="s">
        <v>1898</v>
      </c>
      <c r="AF86" t="s">
        <v>74</v>
      </c>
      <c r="AG86">
        <v>59</v>
      </c>
      <c r="AH86">
        <v>8</v>
      </c>
      <c r="AI86">
        <v>10</v>
      </c>
      <c r="AJ86">
        <v>1</v>
      </c>
      <c r="AK86">
        <v>7</v>
      </c>
      <c r="AL86" t="s">
        <v>182</v>
      </c>
      <c r="AM86" t="s">
        <v>183</v>
      </c>
      <c r="AN86" t="s">
        <v>184</v>
      </c>
      <c r="AO86" t="s">
        <v>74</v>
      </c>
      <c r="AP86" t="s">
        <v>1899</v>
      </c>
      <c r="AQ86" t="s">
        <v>74</v>
      </c>
      <c r="AR86" t="s">
        <v>1900</v>
      </c>
      <c r="AS86" t="s">
        <v>1901</v>
      </c>
      <c r="AT86" t="s">
        <v>1864</v>
      </c>
      <c r="AU86">
        <v>2019</v>
      </c>
      <c r="AV86">
        <v>124</v>
      </c>
      <c r="AW86">
        <v>15</v>
      </c>
      <c r="AX86" t="s">
        <v>74</v>
      </c>
      <c r="AY86" t="s">
        <v>74</v>
      </c>
      <c r="AZ86" t="s">
        <v>74</v>
      </c>
      <c r="BA86" t="s">
        <v>74</v>
      </c>
      <c r="BB86">
        <v>8576</v>
      </c>
      <c r="BC86">
        <v>8593</v>
      </c>
      <c r="BD86" t="s">
        <v>74</v>
      </c>
      <c r="BE86" t="s">
        <v>1902</v>
      </c>
      <c r="BF86" t="str">
        <f>HYPERLINK("http://dx.doi.org/10.1029/2019JD030286","http://dx.doi.org/10.1029/2019JD030286")</f>
        <v>http://dx.doi.org/10.1029/2019JD030286</v>
      </c>
      <c r="BG86" t="s">
        <v>74</v>
      </c>
      <c r="BH86" t="s">
        <v>74</v>
      </c>
      <c r="BI86">
        <v>18</v>
      </c>
      <c r="BJ86" t="s">
        <v>259</v>
      </c>
      <c r="BK86" t="s">
        <v>101</v>
      </c>
      <c r="BL86" t="s">
        <v>259</v>
      </c>
      <c r="BM86" t="s">
        <v>1903</v>
      </c>
      <c r="BN86" t="s">
        <v>74</v>
      </c>
      <c r="BO86" t="s">
        <v>1125</v>
      </c>
      <c r="BP86" t="s">
        <v>74</v>
      </c>
      <c r="BQ86" t="s">
        <v>74</v>
      </c>
      <c r="BR86" t="s">
        <v>103</v>
      </c>
      <c r="BS86" t="s">
        <v>1904</v>
      </c>
      <c r="BT86" t="str">
        <f>HYPERLINK("https%3A%2F%2Fwww.webofscience.com%2Fwos%2Fwoscc%2Ffull-record%2FWOS:000482475000013","View Full Record in Web of Science")</f>
        <v>View Full Record in Web of Science</v>
      </c>
    </row>
    <row r="87" spans="1:72" x14ac:dyDescent="0.15">
      <c r="A87" t="s">
        <v>72</v>
      </c>
      <c r="B87" t="s">
        <v>1905</v>
      </c>
      <c r="C87" t="s">
        <v>74</v>
      </c>
      <c r="D87" t="s">
        <v>74</v>
      </c>
      <c r="E87" t="s">
        <v>74</v>
      </c>
      <c r="F87" t="s">
        <v>1906</v>
      </c>
      <c r="G87" t="s">
        <v>74</v>
      </c>
      <c r="H87" t="s">
        <v>74</v>
      </c>
      <c r="I87" t="s">
        <v>1907</v>
      </c>
      <c r="J87" t="s">
        <v>1887</v>
      </c>
      <c r="K87" t="s">
        <v>74</v>
      </c>
      <c r="L87" t="s">
        <v>74</v>
      </c>
      <c r="M87" t="s">
        <v>78</v>
      </c>
      <c r="N87" t="s">
        <v>108</v>
      </c>
      <c r="O87" t="s">
        <v>74</v>
      </c>
      <c r="P87" t="s">
        <v>74</v>
      </c>
      <c r="Q87" t="s">
        <v>74</v>
      </c>
      <c r="R87" t="s">
        <v>74</v>
      </c>
      <c r="S87" t="s">
        <v>74</v>
      </c>
      <c r="T87" t="s">
        <v>1908</v>
      </c>
      <c r="U87" t="s">
        <v>1909</v>
      </c>
      <c r="V87" t="s">
        <v>1910</v>
      </c>
      <c r="W87" t="s">
        <v>1911</v>
      </c>
      <c r="X87" t="s">
        <v>1912</v>
      </c>
      <c r="Y87" t="s">
        <v>1913</v>
      </c>
      <c r="Z87" t="s">
        <v>1914</v>
      </c>
      <c r="AA87" t="s">
        <v>1915</v>
      </c>
      <c r="AB87" t="s">
        <v>1916</v>
      </c>
      <c r="AC87" t="s">
        <v>1917</v>
      </c>
      <c r="AD87" t="s">
        <v>1918</v>
      </c>
      <c r="AE87" t="s">
        <v>1919</v>
      </c>
      <c r="AF87" t="s">
        <v>74</v>
      </c>
      <c r="AG87">
        <v>32</v>
      </c>
      <c r="AH87">
        <v>9</v>
      </c>
      <c r="AI87">
        <v>9</v>
      </c>
      <c r="AJ87">
        <v>1</v>
      </c>
      <c r="AK87">
        <v>19</v>
      </c>
      <c r="AL87" t="s">
        <v>182</v>
      </c>
      <c r="AM87" t="s">
        <v>183</v>
      </c>
      <c r="AN87" t="s">
        <v>184</v>
      </c>
      <c r="AO87" t="s">
        <v>74</v>
      </c>
      <c r="AP87" t="s">
        <v>1899</v>
      </c>
      <c r="AQ87" t="s">
        <v>74</v>
      </c>
      <c r="AR87" t="s">
        <v>1900</v>
      </c>
      <c r="AS87" t="s">
        <v>1901</v>
      </c>
      <c r="AT87" t="s">
        <v>1864</v>
      </c>
      <c r="AU87">
        <v>2019</v>
      </c>
      <c r="AV87">
        <v>124</v>
      </c>
      <c r="AW87">
        <v>15</v>
      </c>
      <c r="AX87" t="s">
        <v>74</v>
      </c>
      <c r="AY87" t="s">
        <v>74</v>
      </c>
      <c r="AZ87" t="s">
        <v>74</v>
      </c>
      <c r="BA87" t="s">
        <v>74</v>
      </c>
      <c r="BB87">
        <v>8594</v>
      </c>
      <c r="BC87">
        <v>8604</v>
      </c>
      <c r="BD87" t="s">
        <v>74</v>
      </c>
      <c r="BE87" t="s">
        <v>1920</v>
      </c>
      <c r="BF87" t="str">
        <f>HYPERLINK("http://dx.doi.org/10.1029/2018JD030195","http://dx.doi.org/10.1029/2018JD030195")</f>
        <v>http://dx.doi.org/10.1029/2018JD030195</v>
      </c>
      <c r="BG87" t="s">
        <v>74</v>
      </c>
      <c r="BH87" t="s">
        <v>74</v>
      </c>
      <c r="BI87">
        <v>11</v>
      </c>
      <c r="BJ87" t="s">
        <v>259</v>
      </c>
      <c r="BK87" t="s">
        <v>101</v>
      </c>
      <c r="BL87" t="s">
        <v>259</v>
      </c>
      <c r="BM87" t="s">
        <v>1903</v>
      </c>
      <c r="BN87" t="s">
        <v>74</v>
      </c>
      <c r="BO87" t="s">
        <v>1308</v>
      </c>
      <c r="BP87" t="s">
        <v>74</v>
      </c>
      <c r="BQ87" t="s">
        <v>74</v>
      </c>
      <c r="BR87" t="s">
        <v>103</v>
      </c>
      <c r="BS87" t="s">
        <v>1921</v>
      </c>
      <c r="BT87" t="str">
        <f>HYPERLINK("https%3A%2F%2Fwww.webofscience.com%2Fwos%2Fwoscc%2Ffull-record%2FWOS:000482475000014","View Full Record in Web of Science")</f>
        <v>View Full Record in Web of Science</v>
      </c>
    </row>
    <row r="88" spans="1:72" x14ac:dyDescent="0.15">
      <c r="A88" t="s">
        <v>72</v>
      </c>
      <c r="B88" t="s">
        <v>1922</v>
      </c>
      <c r="C88" t="s">
        <v>74</v>
      </c>
      <c r="D88" t="s">
        <v>74</v>
      </c>
      <c r="E88" t="s">
        <v>74</v>
      </c>
      <c r="F88" t="s">
        <v>1923</v>
      </c>
      <c r="G88" t="s">
        <v>74</v>
      </c>
      <c r="H88" t="s">
        <v>74</v>
      </c>
      <c r="I88" t="s">
        <v>1924</v>
      </c>
      <c r="J88" t="s">
        <v>1887</v>
      </c>
      <c r="K88" t="s">
        <v>74</v>
      </c>
      <c r="L88" t="s">
        <v>74</v>
      </c>
      <c r="M88" t="s">
        <v>78</v>
      </c>
      <c r="N88" t="s">
        <v>108</v>
      </c>
      <c r="O88" t="s">
        <v>74</v>
      </c>
      <c r="P88" t="s">
        <v>74</v>
      </c>
      <c r="Q88" t="s">
        <v>74</v>
      </c>
      <c r="R88" t="s">
        <v>74</v>
      </c>
      <c r="S88" t="s">
        <v>74</v>
      </c>
      <c r="T88" t="s">
        <v>1925</v>
      </c>
      <c r="U88" t="s">
        <v>1926</v>
      </c>
      <c r="V88" t="s">
        <v>1927</v>
      </c>
      <c r="W88" t="s">
        <v>1928</v>
      </c>
      <c r="X88" t="s">
        <v>1929</v>
      </c>
      <c r="Y88" t="s">
        <v>1930</v>
      </c>
      <c r="Z88" t="s">
        <v>1931</v>
      </c>
      <c r="AA88" t="s">
        <v>1932</v>
      </c>
      <c r="AB88" t="s">
        <v>1933</v>
      </c>
      <c r="AC88" t="s">
        <v>1934</v>
      </c>
      <c r="AD88" t="s">
        <v>1935</v>
      </c>
      <c r="AE88" t="s">
        <v>1936</v>
      </c>
      <c r="AF88" t="s">
        <v>74</v>
      </c>
      <c r="AG88">
        <v>34</v>
      </c>
      <c r="AH88">
        <v>15</v>
      </c>
      <c r="AI88">
        <v>17</v>
      </c>
      <c r="AJ88">
        <v>2</v>
      </c>
      <c r="AK88">
        <v>38</v>
      </c>
      <c r="AL88" t="s">
        <v>182</v>
      </c>
      <c r="AM88" t="s">
        <v>183</v>
      </c>
      <c r="AN88" t="s">
        <v>184</v>
      </c>
      <c r="AO88" t="s">
        <v>74</v>
      </c>
      <c r="AP88" t="s">
        <v>1899</v>
      </c>
      <c r="AQ88" t="s">
        <v>74</v>
      </c>
      <c r="AR88" t="s">
        <v>1900</v>
      </c>
      <c r="AS88" t="s">
        <v>1901</v>
      </c>
      <c r="AT88" t="s">
        <v>1864</v>
      </c>
      <c r="AU88">
        <v>2019</v>
      </c>
      <c r="AV88">
        <v>124</v>
      </c>
      <c r="AW88">
        <v>15</v>
      </c>
      <c r="AX88" t="s">
        <v>74</v>
      </c>
      <c r="AY88" t="s">
        <v>74</v>
      </c>
      <c r="AZ88" t="s">
        <v>74</v>
      </c>
      <c r="BA88" t="s">
        <v>74</v>
      </c>
      <c r="BB88">
        <v>8837</v>
      </c>
      <c r="BC88">
        <v>8850</v>
      </c>
      <c r="BD88" t="s">
        <v>74</v>
      </c>
      <c r="BE88" t="s">
        <v>1937</v>
      </c>
      <c r="BF88" t="str">
        <f>HYPERLINK("http://dx.doi.org/10.1029/2019JD030996","http://dx.doi.org/10.1029/2019JD030996")</f>
        <v>http://dx.doi.org/10.1029/2019JD030996</v>
      </c>
      <c r="BG88" t="s">
        <v>74</v>
      </c>
      <c r="BH88" t="s">
        <v>74</v>
      </c>
      <c r="BI88">
        <v>14</v>
      </c>
      <c r="BJ88" t="s">
        <v>259</v>
      </c>
      <c r="BK88" t="s">
        <v>101</v>
      </c>
      <c r="BL88" t="s">
        <v>259</v>
      </c>
      <c r="BM88" t="s">
        <v>1903</v>
      </c>
      <c r="BN88">
        <v>32071827</v>
      </c>
      <c r="BO88" t="s">
        <v>164</v>
      </c>
      <c r="BP88" t="s">
        <v>74</v>
      </c>
      <c r="BQ88" t="s">
        <v>74</v>
      </c>
      <c r="BR88" t="s">
        <v>103</v>
      </c>
      <c r="BS88" t="s">
        <v>1938</v>
      </c>
      <c r="BT88" t="str">
        <f>HYPERLINK("https%3A%2F%2Fwww.webofscience.com%2Fwos%2Fwoscc%2Ffull-record%2FWOS:000482475000027","View Full Record in Web of Science")</f>
        <v>View Full Record in Web of Science</v>
      </c>
    </row>
    <row r="89" spans="1:72" x14ac:dyDescent="0.15">
      <c r="A89" t="s">
        <v>72</v>
      </c>
      <c r="B89" t="s">
        <v>1939</v>
      </c>
      <c r="C89" t="s">
        <v>74</v>
      </c>
      <c r="D89" t="s">
        <v>74</v>
      </c>
      <c r="E89" t="s">
        <v>74</v>
      </c>
      <c r="F89" t="s">
        <v>1940</v>
      </c>
      <c r="G89" t="s">
        <v>74</v>
      </c>
      <c r="H89" t="s">
        <v>74</v>
      </c>
      <c r="I89" t="s">
        <v>1941</v>
      </c>
      <c r="J89" t="s">
        <v>855</v>
      </c>
      <c r="K89" t="s">
        <v>74</v>
      </c>
      <c r="L89" t="s">
        <v>74</v>
      </c>
      <c r="M89" t="s">
        <v>78</v>
      </c>
      <c r="N89" t="s">
        <v>108</v>
      </c>
      <c r="O89" t="s">
        <v>74</v>
      </c>
      <c r="P89" t="s">
        <v>74</v>
      </c>
      <c r="Q89" t="s">
        <v>74</v>
      </c>
      <c r="R89" t="s">
        <v>74</v>
      </c>
      <c r="S89" t="s">
        <v>74</v>
      </c>
      <c r="T89" t="s">
        <v>1942</v>
      </c>
      <c r="U89" t="s">
        <v>1943</v>
      </c>
      <c r="V89" t="s">
        <v>1944</v>
      </c>
      <c r="W89" t="s">
        <v>1945</v>
      </c>
      <c r="X89" t="s">
        <v>1946</v>
      </c>
      <c r="Y89" t="s">
        <v>1947</v>
      </c>
      <c r="Z89" t="s">
        <v>1948</v>
      </c>
      <c r="AA89" t="s">
        <v>1949</v>
      </c>
      <c r="AB89" t="s">
        <v>1950</v>
      </c>
      <c r="AC89" t="s">
        <v>1951</v>
      </c>
      <c r="AD89" t="s">
        <v>1952</v>
      </c>
      <c r="AE89" t="s">
        <v>1953</v>
      </c>
      <c r="AF89" t="s">
        <v>74</v>
      </c>
      <c r="AG89">
        <v>50</v>
      </c>
      <c r="AH89">
        <v>2</v>
      </c>
      <c r="AI89">
        <v>2</v>
      </c>
      <c r="AJ89">
        <v>0</v>
      </c>
      <c r="AK89">
        <v>4</v>
      </c>
      <c r="AL89" t="s">
        <v>868</v>
      </c>
      <c r="AM89" t="s">
        <v>869</v>
      </c>
      <c r="AN89" t="s">
        <v>870</v>
      </c>
      <c r="AO89" t="s">
        <v>74</v>
      </c>
      <c r="AP89" t="s">
        <v>871</v>
      </c>
      <c r="AQ89" t="s">
        <v>74</v>
      </c>
      <c r="AR89" t="s">
        <v>872</v>
      </c>
      <c r="AS89" t="s">
        <v>873</v>
      </c>
      <c r="AT89" t="s">
        <v>1864</v>
      </c>
      <c r="AU89">
        <v>2019</v>
      </c>
      <c r="AV89">
        <v>6</v>
      </c>
      <c r="AW89" t="s">
        <v>74</v>
      </c>
      <c r="AX89" t="s">
        <v>74</v>
      </c>
      <c r="AY89" t="s">
        <v>74</v>
      </c>
      <c r="AZ89" t="s">
        <v>74</v>
      </c>
      <c r="BA89" t="s">
        <v>74</v>
      </c>
      <c r="BB89" t="s">
        <v>74</v>
      </c>
      <c r="BC89" t="s">
        <v>74</v>
      </c>
      <c r="BD89">
        <v>496</v>
      </c>
      <c r="BE89" t="s">
        <v>1954</v>
      </c>
      <c r="BF89" t="str">
        <f>HYPERLINK("http://dx.doi.org/10.3389/fmars.2019.00496","http://dx.doi.org/10.3389/fmars.2019.00496")</f>
        <v>http://dx.doi.org/10.3389/fmars.2019.00496</v>
      </c>
      <c r="BG89" t="s">
        <v>74</v>
      </c>
      <c r="BH89" t="s">
        <v>74</v>
      </c>
      <c r="BI89">
        <v>11</v>
      </c>
      <c r="BJ89" t="s">
        <v>876</v>
      </c>
      <c r="BK89" t="s">
        <v>101</v>
      </c>
      <c r="BL89" t="s">
        <v>877</v>
      </c>
      <c r="BM89" t="s">
        <v>1955</v>
      </c>
      <c r="BN89" t="s">
        <v>74</v>
      </c>
      <c r="BO89" t="s">
        <v>313</v>
      </c>
      <c r="BP89" t="s">
        <v>74</v>
      </c>
      <c r="BQ89" t="s">
        <v>74</v>
      </c>
      <c r="BR89" t="s">
        <v>103</v>
      </c>
      <c r="BS89" t="s">
        <v>1956</v>
      </c>
      <c r="BT89" t="str">
        <f>HYPERLINK("https%3A%2F%2Fwww.webofscience.com%2Fwos%2Fwoscc%2Ffull-record%2FWOS:000481519600001","View Full Record in Web of Science")</f>
        <v>View Full Record in Web of Science</v>
      </c>
    </row>
    <row r="90" spans="1:72" x14ac:dyDescent="0.15">
      <c r="A90" t="s">
        <v>72</v>
      </c>
      <c r="B90" t="s">
        <v>1957</v>
      </c>
      <c r="C90" t="s">
        <v>74</v>
      </c>
      <c r="D90" t="s">
        <v>74</v>
      </c>
      <c r="E90" t="s">
        <v>74</v>
      </c>
      <c r="F90" t="s">
        <v>1958</v>
      </c>
      <c r="G90" t="s">
        <v>74</v>
      </c>
      <c r="H90" t="s">
        <v>74</v>
      </c>
      <c r="I90" t="s">
        <v>1959</v>
      </c>
      <c r="J90" t="s">
        <v>1960</v>
      </c>
      <c r="K90" t="s">
        <v>74</v>
      </c>
      <c r="L90" t="s">
        <v>74</v>
      </c>
      <c r="M90" t="s">
        <v>78</v>
      </c>
      <c r="N90" t="s">
        <v>108</v>
      </c>
      <c r="O90" t="s">
        <v>74</v>
      </c>
      <c r="P90" t="s">
        <v>74</v>
      </c>
      <c r="Q90" t="s">
        <v>74</v>
      </c>
      <c r="R90" t="s">
        <v>74</v>
      </c>
      <c r="S90" t="s">
        <v>74</v>
      </c>
      <c r="T90" t="s">
        <v>1961</v>
      </c>
      <c r="U90" t="s">
        <v>1962</v>
      </c>
      <c r="V90" t="s">
        <v>1963</v>
      </c>
      <c r="W90" t="s">
        <v>1964</v>
      </c>
      <c r="X90" t="s">
        <v>1965</v>
      </c>
      <c r="Y90" t="s">
        <v>1966</v>
      </c>
      <c r="Z90" t="s">
        <v>1967</v>
      </c>
      <c r="AA90" t="s">
        <v>1968</v>
      </c>
      <c r="AB90" t="s">
        <v>1969</v>
      </c>
      <c r="AC90" t="s">
        <v>1970</v>
      </c>
      <c r="AD90" t="s">
        <v>1971</v>
      </c>
      <c r="AE90" t="s">
        <v>1972</v>
      </c>
      <c r="AF90" t="s">
        <v>74</v>
      </c>
      <c r="AG90">
        <v>48</v>
      </c>
      <c r="AH90">
        <v>8</v>
      </c>
      <c r="AI90">
        <v>9</v>
      </c>
      <c r="AJ90">
        <v>0</v>
      </c>
      <c r="AK90">
        <v>4</v>
      </c>
      <c r="AL90" t="s">
        <v>1973</v>
      </c>
      <c r="AM90" t="s">
        <v>1974</v>
      </c>
      <c r="AN90" t="s">
        <v>1975</v>
      </c>
      <c r="AO90" t="s">
        <v>1976</v>
      </c>
      <c r="AP90" t="s">
        <v>1977</v>
      </c>
      <c r="AQ90" t="s">
        <v>74</v>
      </c>
      <c r="AR90" t="s">
        <v>1978</v>
      </c>
      <c r="AS90" t="s">
        <v>1979</v>
      </c>
      <c r="AT90" t="s">
        <v>1980</v>
      </c>
      <c r="AU90">
        <v>2019</v>
      </c>
      <c r="AV90">
        <v>624</v>
      </c>
      <c r="AW90" t="s">
        <v>74</v>
      </c>
      <c r="AX90" t="s">
        <v>74</v>
      </c>
      <c r="AY90" t="s">
        <v>74</v>
      </c>
      <c r="AZ90" t="s">
        <v>74</v>
      </c>
      <c r="BA90" t="s">
        <v>74</v>
      </c>
      <c r="BB90">
        <v>1</v>
      </c>
      <c r="BC90">
        <v>11</v>
      </c>
      <c r="BD90" t="s">
        <v>74</v>
      </c>
      <c r="BE90" t="s">
        <v>1981</v>
      </c>
      <c r="BF90" t="str">
        <f>HYPERLINK("http://dx.doi.org/10.3354/meps13054","http://dx.doi.org/10.3354/meps13054")</f>
        <v>http://dx.doi.org/10.3354/meps13054</v>
      </c>
      <c r="BG90" t="s">
        <v>74</v>
      </c>
      <c r="BH90" t="s">
        <v>74</v>
      </c>
      <c r="BI90">
        <v>11</v>
      </c>
      <c r="BJ90" t="s">
        <v>1982</v>
      </c>
      <c r="BK90" t="s">
        <v>101</v>
      </c>
      <c r="BL90" t="s">
        <v>1983</v>
      </c>
      <c r="BM90" t="s">
        <v>1984</v>
      </c>
      <c r="BN90" t="s">
        <v>74</v>
      </c>
      <c r="BO90" t="s">
        <v>1985</v>
      </c>
      <c r="BP90" t="s">
        <v>74</v>
      </c>
      <c r="BQ90" t="s">
        <v>74</v>
      </c>
      <c r="BR90" t="s">
        <v>103</v>
      </c>
      <c r="BS90" t="s">
        <v>1986</v>
      </c>
      <c r="BT90" t="str">
        <f>HYPERLINK("https%3A%2F%2Fwww.webofscience.com%2Fwos%2Fwoscc%2Ffull-record%2FWOS:000485737900001","View Full Record in Web of Science")</f>
        <v>View Full Record in Web of Science</v>
      </c>
    </row>
    <row r="91" spans="1:72" x14ac:dyDescent="0.15">
      <c r="A91" t="s">
        <v>72</v>
      </c>
      <c r="B91" t="s">
        <v>1987</v>
      </c>
      <c r="C91" t="s">
        <v>74</v>
      </c>
      <c r="D91" t="s">
        <v>74</v>
      </c>
      <c r="E91" t="s">
        <v>74</v>
      </c>
      <c r="F91" t="s">
        <v>1988</v>
      </c>
      <c r="G91" t="s">
        <v>74</v>
      </c>
      <c r="H91" t="s">
        <v>74</v>
      </c>
      <c r="I91" t="s">
        <v>1989</v>
      </c>
      <c r="J91" t="s">
        <v>1960</v>
      </c>
      <c r="K91" t="s">
        <v>74</v>
      </c>
      <c r="L91" t="s">
        <v>74</v>
      </c>
      <c r="M91" t="s">
        <v>78</v>
      </c>
      <c r="N91" t="s">
        <v>108</v>
      </c>
      <c r="O91" t="s">
        <v>74</v>
      </c>
      <c r="P91" t="s">
        <v>74</v>
      </c>
      <c r="Q91" t="s">
        <v>74</v>
      </c>
      <c r="R91" t="s">
        <v>74</v>
      </c>
      <c r="S91" t="s">
        <v>74</v>
      </c>
      <c r="T91" t="s">
        <v>1990</v>
      </c>
      <c r="U91" t="s">
        <v>1991</v>
      </c>
      <c r="V91" t="s">
        <v>1992</v>
      </c>
      <c r="W91" t="s">
        <v>1993</v>
      </c>
      <c r="X91" t="s">
        <v>1994</v>
      </c>
      <c r="Y91" t="s">
        <v>1995</v>
      </c>
      <c r="Z91" t="s">
        <v>1996</v>
      </c>
      <c r="AA91" t="s">
        <v>1997</v>
      </c>
      <c r="AB91" t="s">
        <v>1998</v>
      </c>
      <c r="AC91" t="s">
        <v>1999</v>
      </c>
      <c r="AD91" t="s">
        <v>2000</v>
      </c>
      <c r="AE91" t="s">
        <v>2001</v>
      </c>
      <c r="AF91" t="s">
        <v>74</v>
      </c>
      <c r="AG91">
        <v>80</v>
      </c>
      <c r="AH91">
        <v>7</v>
      </c>
      <c r="AI91">
        <v>8</v>
      </c>
      <c r="AJ91">
        <v>2</v>
      </c>
      <c r="AK91">
        <v>15</v>
      </c>
      <c r="AL91" t="s">
        <v>1973</v>
      </c>
      <c r="AM91" t="s">
        <v>1974</v>
      </c>
      <c r="AN91" t="s">
        <v>1975</v>
      </c>
      <c r="AO91" t="s">
        <v>1976</v>
      </c>
      <c r="AP91" t="s">
        <v>1977</v>
      </c>
      <c r="AQ91" t="s">
        <v>74</v>
      </c>
      <c r="AR91" t="s">
        <v>1978</v>
      </c>
      <c r="AS91" t="s">
        <v>1979</v>
      </c>
      <c r="AT91" t="s">
        <v>1980</v>
      </c>
      <c r="AU91">
        <v>2019</v>
      </c>
      <c r="AV91">
        <v>624</v>
      </c>
      <c r="AW91" t="s">
        <v>74</v>
      </c>
      <c r="AX91" t="s">
        <v>74</v>
      </c>
      <c r="AY91" t="s">
        <v>74</v>
      </c>
      <c r="AZ91" t="s">
        <v>74</v>
      </c>
      <c r="BA91" t="s">
        <v>74</v>
      </c>
      <c r="BB91">
        <v>195</v>
      </c>
      <c r="BC91">
        <v>212</v>
      </c>
      <c r="BD91" t="s">
        <v>74</v>
      </c>
      <c r="BE91" t="s">
        <v>2002</v>
      </c>
      <c r="BF91" t="str">
        <f>HYPERLINK("http://dx.doi.org/10.3354/meps13017","http://dx.doi.org/10.3354/meps13017")</f>
        <v>http://dx.doi.org/10.3354/meps13017</v>
      </c>
      <c r="BG91" t="s">
        <v>74</v>
      </c>
      <c r="BH91" t="s">
        <v>74</v>
      </c>
      <c r="BI91">
        <v>18</v>
      </c>
      <c r="BJ91" t="s">
        <v>1982</v>
      </c>
      <c r="BK91" t="s">
        <v>101</v>
      </c>
      <c r="BL91" t="s">
        <v>1983</v>
      </c>
      <c r="BM91" t="s">
        <v>1984</v>
      </c>
      <c r="BN91" t="s">
        <v>74</v>
      </c>
      <c r="BO91" t="s">
        <v>2003</v>
      </c>
      <c r="BP91" t="s">
        <v>74</v>
      </c>
      <c r="BQ91" t="s">
        <v>74</v>
      </c>
      <c r="BR91" t="s">
        <v>103</v>
      </c>
      <c r="BS91" t="s">
        <v>2004</v>
      </c>
      <c r="BT91" t="str">
        <f>HYPERLINK("https%3A%2F%2Fwww.webofscience.com%2Fwos%2Fwoscc%2Ffull-record%2FWOS:000485737900016","View Full Record in Web of Science")</f>
        <v>View Full Record in Web of Science</v>
      </c>
    </row>
    <row r="92" spans="1:72" x14ac:dyDescent="0.15">
      <c r="A92" t="s">
        <v>72</v>
      </c>
      <c r="B92" t="s">
        <v>2005</v>
      </c>
      <c r="C92" t="s">
        <v>74</v>
      </c>
      <c r="D92" t="s">
        <v>74</v>
      </c>
      <c r="E92" t="s">
        <v>74</v>
      </c>
      <c r="F92" t="s">
        <v>2006</v>
      </c>
      <c r="G92" t="s">
        <v>74</v>
      </c>
      <c r="H92" t="s">
        <v>74</v>
      </c>
      <c r="I92" t="s">
        <v>2007</v>
      </c>
      <c r="J92" t="s">
        <v>1960</v>
      </c>
      <c r="K92" t="s">
        <v>74</v>
      </c>
      <c r="L92" t="s">
        <v>74</v>
      </c>
      <c r="M92" t="s">
        <v>78</v>
      </c>
      <c r="N92" t="s">
        <v>108</v>
      </c>
      <c r="O92" t="s">
        <v>74</v>
      </c>
      <c r="P92" t="s">
        <v>74</v>
      </c>
      <c r="Q92" t="s">
        <v>74</v>
      </c>
      <c r="R92" t="s">
        <v>74</v>
      </c>
      <c r="S92" t="s">
        <v>74</v>
      </c>
      <c r="T92" t="s">
        <v>2008</v>
      </c>
      <c r="U92" t="s">
        <v>2009</v>
      </c>
      <c r="V92" t="s">
        <v>2010</v>
      </c>
      <c r="W92" t="s">
        <v>2011</v>
      </c>
      <c r="X92" t="s">
        <v>2012</v>
      </c>
      <c r="Y92" t="s">
        <v>2013</v>
      </c>
      <c r="Z92" t="s">
        <v>2014</v>
      </c>
      <c r="AA92" t="s">
        <v>2015</v>
      </c>
      <c r="AB92" t="s">
        <v>2016</v>
      </c>
      <c r="AC92" t="s">
        <v>2017</v>
      </c>
      <c r="AD92" t="s">
        <v>2017</v>
      </c>
      <c r="AE92" t="s">
        <v>2018</v>
      </c>
      <c r="AF92" t="s">
        <v>74</v>
      </c>
      <c r="AG92">
        <v>103</v>
      </c>
      <c r="AH92">
        <v>12</v>
      </c>
      <c r="AI92">
        <v>14</v>
      </c>
      <c r="AJ92">
        <v>0</v>
      </c>
      <c r="AK92">
        <v>17</v>
      </c>
      <c r="AL92" t="s">
        <v>1973</v>
      </c>
      <c r="AM92" t="s">
        <v>1974</v>
      </c>
      <c r="AN92" t="s">
        <v>1975</v>
      </c>
      <c r="AO92" t="s">
        <v>1976</v>
      </c>
      <c r="AP92" t="s">
        <v>1977</v>
      </c>
      <c r="AQ92" t="s">
        <v>74</v>
      </c>
      <c r="AR92" t="s">
        <v>1978</v>
      </c>
      <c r="AS92" t="s">
        <v>1979</v>
      </c>
      <c r="AT92" t="s">
        <v>1980</v>
      </c>
      <c r="AU92">
        <v>2019</v>
      </c>
      <c r="AV92">
        <v>624</v>
      </c>
      <c r="AW92" t="s">
        <v>74</v>
      </c>
      <c r="AX92" t="s">
        <v>74</v>
      </c>
      <c r="AY92" t="s">
        <v>74</v>
      </c>
      <c r="AZ92" t="s">
        <v>74</v>
      </c>
      <c r="BA92" t="s">
        <v>74</v>
      </c>
      <c r="BB92">
        <v>213</v>
      </c>
      <c r="BC92">
        <v>226</v>
      </c>
      <c r="BD92" t="s">
        <v>74</v>
      </c>
      <c r="BE92" t="s">
        <v>2019</v>
      </c>
      <c r="BF92" t="str">
        <f>HYPERLINK("http://dx.doi.org/10.3354/meps13036","http://dx.doi.org/10.3354/meps13036")</f>
        <v>http://dx.doi.org/10.3354/meps13036</v>
      </c>
      <c r="BG92" t="s">
        <v>74</v>
      </c>
      <c r="BH92" t="s">
        <v>74</v>
      </c>
      <c r="BI92">
        <v>14</v>
      </c>
      <c r="BJ92" t="s">
        <v>1982</v>
      </c>
      <c r="BK92" t="s">
        <v>101</v>
      </c>
      <c r="BL92" t="s">
        <v>1983</v>
      </c>
      <c r="BM92" t="s">
        <v>1984</v>
      </c>
      <c r="BN92" t="s">
        <v>74</v>
      </c>
      <c r="BO92" t="s">
        <v>74</v>
      </c>
      <c r="BP92" t="s">
        <v>74</v>
      </c>
      <c r="BQ92" t="s">
        <v>74</v>
      </c>
      <c r="BR92" t="s">
        <v>103</v>
      </c>
      <c r="BS92" t="s">
        <v>2020</v>
      </c>
      <c r="BT92" t="str">
        <f>HYPERLINK("https%3A%2F%2Fwww.webofscience.com%2Fwos%2Fwoscc%2Ffull-record%2FWOS:000485737900017","View Full Record in Web of Science")</f>
        <v>View Full Record in Web of Science</v>
      </c>
    </row>
    <row r="93" spans="1:72" x14ac:dyDescent="0.15">
      <c r="A93" t="s">
        <v>72</v>
      </c>
      <c r="B93" t="s">
        <v>2021</v>
      </c>
      <c r="C93" t="s">
        <v>74</v>
      </c>
      <c r="D93" t="s">
        <v>74</v>
      </c>
      <c r="E93" t="s">
        <v>74</v>
      </c>
      <c r="F93" t="s">
        <v>2022</v>
      </c>
      <c r="G93" t="s">
        <v>74</v>
      </c>
      <c r="H93" t="s">
        <v>74</v>
      </c>
      <c r="I93" t="s">
        <v>2023</v>
      </c>
      <c r="J93" t="s">
        <v>2024</v>
      </c>
      <c r="K93" t="s">
        <v>74</v>
      </c>
      <c r="L93" t="s">
        <v>74</v>
      </c>
      <c r="M93" t="s">
        <v>78</v>
      </c>
      <c r="N93" t="s">
        <v>108</v>
      </c>
      <c r="O93" t="s">
        <v>74</v>
      </c>
      <c r="P93" t="s">
        <v>74</v>
      </c>
      <c r="Q93" t="s">
        <v>74</v>
      </c>
      <c r="R93" t="s">
        <v>74</v>
      </c>
      <c r="S93" t="s">
        <v>74</v>
      </c>
      <c r="T93" t="s">
        <v>74</v>
      </c>
      <c r="U93" t="s">
        <v>2025</v>
      </c>
      <c r="V93" t="s">
        <v>2026</v>
      </c>
      <c r="W93" t="s">
        <v>2027</v>
      </c>
      <c r="X93" t="s">
        <v>2028</v>
      </c>
      <c r="Y93" t="s">
        <v>2029</v>
      </c>
      <c r="Z93" t="s">
        <v>2030</v>
      </c>
      <c r="AA93" t="s">
        <v>74</v>
      </c>
      <c r="AB93" t="s">
        <v>2031</v>
      </c>
      <c r="AC93" t="s">
        <v>74</v>
      </c>
      <c r="AD93" t="s">
        <v>74</v>
      </c>
      <c r="AE93" t="s">
        <v>74</v>
      </c>
      <c r="AF93" t="s">
        <v>74</v>
      </c>
      <c r="AG93">
        <v>45</v>
      </c>
      <c r="AH93">
        <v>7</v>
      </c>
      <c r="AI93">
        <v>8</v>
      </c>
      <c r="AJ93">
        <v>0</v>
      </c>
      <c r="AK93">
        <v>5</v>
      </c>
      <c r="AL93" t="s">
        <v>2032</v>
      </c>
      <c r="AM93" t="s">
        <v>2033</v>
      </c>
      <c r="AN93" t="s">
        <v>2034</v>
      </c>
      <c r="AO93" t="s">
        <v>2035</v>
      </c>
      <c r="AP93" t="s">
        <v>74</v>
      </c>
      <c r="AQ93" t="s">
        <v>74</v>
      </c>
      <c r="AR93" t="s">
        <v>2024</v>
      </c>
      <c r="AS93" t="s">
        <v>2036</v>
      </c>
      <c r="AT93" t="s">
        <v>1980</v>
      </c>
      <c r="AU93">
        <v>2019</v>
      </c>
      <c r="AV93">
        <v>14</v>
      </c>
      <c r="AW93">
        <v>8</v>
      </c>
      <c r="AX93" t="s">
        <v>74</v>
      </c>
      <c r="AY93" t="s">
        <v>74</v>
      </c>
      <c r="AZ93" t="s">
        <v>74</v>
      </c>
      <c r="BA93" t="s">
        <v>74</v>
      </c>
      <c r="BB93" t="s">
        <v>74</v>
      </c>
      <c r="BC93" t="s">
        <v>74</v>
      </c>
      <c r="BD93" t="s">
        <v>2037</v>
      </c>
      <c r="BE93" t="s">
        <v>2038</v>
      </c>
      <c r="BF93" t="str">
        <f>HYPERLINK("http://dx.doi.org/10.1371/journal.pone.0221176","http://dx.doi.org/10.1371/journal.pone.0221176")</f>
        <v>http://dx.doi.org/10.1371/journal.pone.0221176</v>
      </c>
      <c r="BG93" t="s">
        <v>74</v>
      </c>
      <c r="BH93" t="s">
        <v>74</v>
      </c>
      <c r="BI93">
        <v>20</v>
      </c>
      <c r="BJ93" t="s">
        <v>1004</v>
      </c>
      <c r="BK93" t="s">
        <v>101</v>
      </c>
      <c r="BL93" t="s">
        <v>1005</v>
      </c>
      <c r="BM93" t="s">
        <v>2039</v>
      </c>
      <c r="BN93">
        <v>31415661</v>
      </c>
      <c r="BO93" t="s">
        <v>1197</v>
      </c>
      <c r="BP93" t="s">
        <v>74</v>
      </c>
      <c r="BQ93" t="s">
        <v>74</v>
      </c>
      <c r="BR93" t="s">
        <v>103</v>
      </c>
      <c r="BS93" t="s">
        <v>2040</v>
      </c>
      <c r="BT93" t="str">
        <f>HYPERLINK("https%3A%2F%2Fwww.webofscience.com%2Fwos%2Fwoscc%2Ffull-record%2FWOS:000485017200088","View Full Record in Web of Science")</f>
        <v>View Full Record in Web of Science</v>
      </c>
    </row>
    <row r="94" spans="1:72" x14ac:dyDescent="0.15">
      <c r="A94" t="s">
        <v>72</v>
      </c>
      <c r="B94" t="s">
        <v>2041</v>
      </c>
      <c r="C94" t="s">
        <v>74</v>
      </c>
      <c r="D94" t="s">
        <v>74</v>
      </c>
      <c r="E94" t="s">
        <v>74</v>
      </c>
      <c r="F94" t="s">
        <v>2042</v>
      </c>
      <c r="G94" t="s">
        <v>74</v>
      </c>
      <c r="H94" t="s">
        <v>74</v>
      </c>
      <c r="I94" t="s">
        <v>2043</v>
      </c>
      <c r="J94" t="s">
        <v>2044</v>
      </c>
      <c r="K94" t="s">
        <v>74</v>
      </c>
      <c r="L94" t="s">
        <v>74</v>
      </c>
      <c r="M94" t="s">
        <v>78</v>
      </c>
      <c r="N94" t="s">
        <v>108</v>
      </c>
      <c r="O94" t="s">
        <v>74</v>
      </c>
      <c r="P94" t="s">
        <v>74</v>
      </c>
      <c r="Q94" t="s">
        <v>74</v>
      </c>
      <c r="R94" t="s">
        <v>74</v>
      </c>
      <c r="S94" t="s">
        <v>74</v>
      </c>
      <c r="T94" t="s">
        <v>2045</v>
      </c>
      <c r="U94" t="s">
        <v>2046</v>
      </c>
      <c r="V94" t="s">
        <v>2047</v>
      </c>
      <c r="W94" t="s">
        <v>2048</v>
      </c>
      <c r="X94" t="s">
        <v>2049</v>
      </c>
      <c r="Y94" t="s">
        <v>2050</v>
      </c>
      <c r="Z94" t="s">
        <v>2051</v>
      </c>
      <c r="AA94" t="s">
        <v>2052</v>
      </c>
      <c r="AB94" t="s">
        <v>2053</v>
      </c>
      <c r="AC94" t="s">
        <v>2054</v>
      </c>
      <c r="AD94" t="s">
        <v>2055</v>
      </c>
      <c r="AE94" t="s">
        <v>2056</v>
      </c>
      <c r="AF94" t="s">
        <v>74</v>
      </c>
      <c r="AG94">
        <v>78</v>
      </c>
      <c r="AH94">
        <v>9</v>
      </c>
      <c r="AI94">
        <v>9</v>
      </c>
      <c r="AJ94">
        <v>0</v>
      </c>
      <c r="AK94">
        <v>6</v>
      </c>
      <c r="AL94" t="s">
        <v>92</v>
      </c>
      <c r="AM94" t="s">
        <v>93</v>
      </c>
      <c r="AN94" t="s">
        <v>94</v>
      </c>
      <c r="AO94" t="s">
        <v>2057</v>
      </c>
      <c r="AP94" t="s">
        <v>74</v>
      </c>
      <c r="AQ94" t="s">
        <v>74</v>
      </c>
      <c r="AR94" t="s">
        <v>2058</v>
      </c>
      <c r="AS94" t="s">
        <v>2059</v>
      </c>
      <c r="AT94" t="s">
        <v>1980</v>
      </c>
      <c r="AU94">
        <v>2019</v>
      </c>
      <c r="AV94">
        <v>218</v>
      </c>
      <c r="AW94" t="s">
        <v>74</v>
      </c>
      <c r="AX94" t="s">
        <v>74</v>
      </c>
      <c r="AY94" t="s">
        <v>74</v>
      </c>
      <c r="AZ94" t="s">
        <v>74</v>
      </c>
      <c r="BA94" t="s">
        <v>74</v>
      </c>
      <c r="BB94">
        <v>178</v>
      </c>
      <c r="BC94">
        <v>188</v>
      </c>
      <c r="BD94" t="s">
        <v>74</v>
      </c>
      <c r="BE94" t="s">
        <v>2060</v>
      </c>
      <c r="BF94" t="str">
        <f>HYPERLINK("http://dx.doi.org/10.1016/j.quascirev.2019.06.024","http://dx.doi.org/10.1016/j.quascirev.2019.06.024")</f>
        <v>http://dx.doi.org/10.1016/j.quascirev.2019.06.024</v>
      </c>
      <c r="BG94" t="s">
        <v>74</v>
      </c>
      <c r="BH94" t="s">
        <v>74</v>
      </c>
      <c r="BI94">
        <v>11</v>
      </c>
      <c r="BJ94" t="s">
        <v>310</v>
      </c>
      <c r="BK94" t="s">
        <v>101</v>
      </c>
      <c r="BL94" t="s">
        <v>311</v>
      </c>
      <c r="BM94" t="s">
        <v>2061</v>
      </c>
      <c r="BN94" t="s">
        <v>74</v>
      </c>
      <c r="BO94" t="s">
        <v>74</v>
      </c>
      <c r="BP94" t="s">
        <v>74</v>
      </c>
      <c r="BQ94" t="s">
        <v>74</v>
      </c>
      <c r="BR94" t="s">
        <v>103</v>
      </c>
      <c r="BS94" t="s">
        <v>2062</v>
      </c>
      <c r="BT94" t="str">
        <f>HYPERLINK("https%3A%2F%2Fwww.webofscience.com%2Fwos%2Fwoscc%2Ffull-record%2FWOS:000480378000013","View Full Record in Web of Science")</f>
        <v>View Full Record in Web of Science</v>
      </c>
    </row>
    <row r="95" spans="1:72" x14ac:dyDescent="0.15">
      <c r="A95" t="s">
        <v>72</v>
      </c>
      <c r="B95" t="s">
        <v>2063</v>
      </c>
      <c r="C95" t="s">
        <v>74</v>
      </c>
      <c r="D95" t="s">
        <v>74</v>
      </c>
      <c r="E95" t="s">
        <v>74</v>
      </c>
      <c r="F95" t="s">
        <v>2064</v>
      </c>
      <c r="G95" t="s">
        <v>74</v>
      </c>
      <c r="H95" t="s">
        <v>74</v>
      </c>
      <c r="I95" t="s">
        <v>2065</v>
      </c>
      <c r="J95" t="s">
        <v>2044</v>
      </c>
      <c r="K95" t="s">
        <v>74</v>
      </c>
      <c r="L95" t="s">
        <v>74</v>
      </c>
      <c r="M95" t="s">
        <v>78</v>
      </c>
      <c r="N95" t="s">
        <v>108</v>
      </c>
      <c r="O95" t="s">
        <v>74</v>
      </c>
      <c r="P95" t="s">
        <v>74</v>
      </c>
      <c r="Q95" t="s">
        <v>74</v>
      </c>
      <c r="R95" t="s">
        <v>74</v>
      </c>
      <c r="S95" t="s">
        <v>74</v>
      </c>
      <c r="T95" t="s">
        <v>2066</v>
      </c>
      <c r="U95" t="s">
        <v>2067</v>
      </c>
      <c r="V95" t="s">
        <v>2068</v>
      </c>
      <c r="W95" t="s">
        <v>2069</v>
      </c>
      <c r="X95" t="s">
        <v>2070</v>
      </c>
      <c r="Y95" t="s">
        <v>2071</v>
      </c>
      <c r="Z95" t="s">
        <v>2072</v>
      </c>
      <c r="AA95" t="s">
        <v>2073</v>
      </c>
      <c r="AB95" t="s">
        <v>2074</v>
      </c>
      <c r="AC95" t="s">
        <v>2075</v>
      </c>
      <c r="AD95" t="s">
        <v>2076</v>
      </c>
      <c r="AE95" t="s">
        <v>2077</v>
      </c>
      <c r="AF95" t="s">
        <v>74</v>
      </c>
      <c r="AG95">
        <v>109</v>
      </c>
      <c r="AH95">
        <v>12</v>
      </c>
      <c r="AI95">
        <v>12</v>
      </c>
      <c r="AJ95">
        <v>3</v>
      </c>
      <c r="AK95">
        <v>22</v>
      </c>
      <c r="AL95" t="s">
        <v>92</v>
      </c>
      <c r="AM95" t="s">
        <v>93</v>
      </c>
      <c r="AN95" t="s">
        <v>94</v>
      </c>
      <c r="AO95" t="s">
        <v>2057</v>
      </c>
      <c r="AP95" t="s">
        <v>74</v>
      </c>
      <c r="AQ95" t="s">
        <v>74</v>
      </c>
      <c r="AR95" t="s">
        <v>2058</v>
      </c>
      <c r="AS95" t="s">
        <v>2059</v>
      </c>
      <c r="AT95" t="s">
        <v>1980</v>
      </c>
      <c r="AU95">
        <v>2019</v>
      </c>
      <c r="AV95">
        <v>218</v>
      </c>
      <c r="AW95" t="s">
        <v>74</v>
      </c>
      <c r="AX95" t="s">
        <v>74</v>
      </c>
      <c r="AY95" t="s">
        <v>74</v>
      </c>
      <c r="AZ95" t="s">
        <v>74</v>
      </c>
      <c r="BA95" t="s">
        <v>74</v>
      </c>
      <c r="BB95">
        <v>200</v>
      </c>
      <c r="BC95">
        <v>214</v>
      </c>
      <c r="BD95" t="s">
        <v>74</v>
      </c>
      <c r="BE95" t="s">
        <v>2078</v>
      </c>
      <c r="BF95" t="str">
        <f>HYPERLINK("http://dx.doi.org/10.1016/j.quascirev.2019.06.014","http://dx.doi.org/10.1016/j.quascirev.2019.06.014")</f>
        <v>http://dx.doi.org/10.1016/j.quascirev.2019.06.014</v>
      </c>
      <c r="BG95" t="s">
        <v>74</v>
      </c>
      <c r="BH95" t="s">
        <v>74</v>
      </c>
      <c r="BI95">
        <v>15</v>
      </c>
      <c r="BJ95" t="s">
        <v>310</v>
      </c>
      <c r="BK95" t="s">
        <v>101</v>
      </c>
      <c r="BL95" t="s">
        <v>311</v>
      </c>
      <c r="BM95" t="s">
        <v>2061</v>
      </c>
      <c r="BN95" t="s">
        <v>74</v>
      </c>
      <c r="BO95" t="s">
        <v>74</v>
      </c>
      <c r="BP95" t="s">
        <v>74</v>
      </c>
      <c r="BQ95" t="s">
        <v>74</v>
      </c>
      <c r="BR95" t="s">
        <v>103</v>
      </c>
      <c r="BS95" t="s">
        <v>2079</v>
      </c>
      <c r="BT95" t="str">
        <f>HYPERLINK("https%3A%2F%2Fwww.webofscience.com%2Fwos%2Fwoscc%2Ffull-record%2FWOS:000480378000015","View Full Record in Web of Science")</f>
        <v>View Full Record in Web of Science</v>
      </c>
    </row>
    <row r="96" spans="1:72" x14ac:dyDescent="0.15">
      <c r="A96" t="s">
        <v>72</v>
      </c>
      <c r="B96" t="s">
        <v>2080</v>
      </c>
      <c r="C96" t="s">
        <v>74</v>
      </c>
      <c r="D96" t="s">
        <v>74</v>
      </c>
      <c r="E96" t="s">
        <v>74</v>
      </c>
      <c r="F96" t="s">
        <v>2081</v>
      </c>
      <c r="G96" t="s">
        <v>74</v>
      </c>
      <c r="H96" t="s">
        <v>74</v>
      </c>
      <c r="I96" t="s">
        <v>2082</v>
      </c>
      <c r="J96" t="s">
        <v>2044</v>
      </c>
      <c r="K96" t="s">
        <v>74</v>
      </c>
      <c r="L96" t="s">
        <v>74</v>
      </c>
      <c r="M96" t="s">
        <v>78</v>
      </c>
      <c r="N96" t="s">
        <v>108</v>
      </c>
      <c r="O96" t="s">
        <v>74</v>
      </c>
      <c r="P96" t="s">
        <v>74</v>
      </c>
      <c r="Q96" t="s">
        <v>74</v>
      </c>
      <c r="R96" t="s">
        <v>74</v>
      </c>
      <c r="S96" t="s">
        <v>74</v>
      </c>
      <c r="T96" t="s">
        <v>2083</v>
      </c>
      <c r="U96" t="s">
        <v>2084</v>
      </c>
      <c r="V96" t="s">
        <v>2085</v>
      </c>
      <c r="W96" t="s">
        <v>2086</v>
      </c>
      <c r="X96" t="s">
        <v>2087</v>
      </c>
      <c r="Y96" t="s">
        <v>2088</v>
      </c>
      <c r="Z96" t="s">
        <v>2089</v>
      </c>
      <c r="AA96" t="s">
        <v>74</v>
      </c>
      <c r="AB96" t="s">
        <v>74</v>
      </c>
      <c r="AC96" t="s">
        <v>2090</v>
      </c>
      <c r="AD96" t="s">
        <v>2091</v>
      </c>
      <c r="AE96" t="s">
        <v>2092</v>
      </c>
      <c r="AF96" t="s">
        <v>74</v>
      </c>
      <c r="AG96">
        <v>66</v>
      </c>
      <c r="AH96">
        <v>12</v>
      </c>
      <c r="AI96">
        <v>15</v>
      </c>
      <c r="AJ96">
        <v>0</v>
      </c>
      <c r="AK96">
        <v>18</v>
      </c>
      <c r="AL96" t="s">
        <v>92</v>
      </c>
      <c r="AM96" t="s">
        <v>93</v>
      </c>
      <c r="AN96" t="s">
        <v>94</v>
      </c>
      <c r="AO96" t="s">
        <v>2057</v>
      </c>
      <c r="AP96" t="s">
        <v>74</v>
      </c>
      <c r="AQ96" t="s">
        <v>74</v>
      </c>
      <c r="AR96" t="s">
        <v>2058</v>
      </c>
      <c r="AS96" t="s">
        <v>2059</v>
      </c>
      <c r="AT96" t="s">
        <v>1980</v>
      </c>
      <c r="AU96">
        <v>2019</v>
      </c>
      <c r="AV96">
        <v>218</v>
      </c>
      <c r="AW96" t="s">
        <v>74</v>
      </c>
      <c r="AX96" t="s">
        <v>74</v>
      </c>
      <c r="AY96" t="s">
        <v>74</v>
      </c>
      <c r="AZ96" t="s">
        <v>74</v>
      </c>
      <c r="BA96" t="s">
        <v>74</v>
      </c>
      <c r="BB96">
        <v>281</v>
      </c>
      <c r="BC96">
        <v>292</v>
      </c>
      <c r="BD96" t="s">
        <v>74</v>
      </c>
      <c r="BE96" t="s">
        <v>2093</v>
      </c>
      <c r="BF96" t="str">
        <f>HYPERLINK("http://dx.doi.org/10.1016/j.quascirev.2019.06.029","http://dx.doi.org/10.1016/j.quascirev.2019.06.029")</f>
        <v>http://dx.doi.org/10.1016/j.quascirev.2019.06.029</v>
      </c>
      <c r="BG96" t="s">
        <v>74</v>
      </c>
      <c r="BH96" t="s">
        <v>74</v>
      </c>
      <c r="BI96">
        <v>12</v>
      </c>
      <c r="BJ96" t="s">
        <v>310</v>
      </c>
      <c r="BK96" t="s">
        <v>101</v>
      </c>
      <c r="BL96" t="s">
        <v>311</v>
      </c>
      <c r="BM96" t="s">
        <v>2061</v>
      </c>
      <c r="BN96" t="s">
        <v>74</v>
      </c>
      <c r="BO96" t="s">
        <v>537</v>
      </c>
      <c r="BP96" t="s">
        <v>74</v>
      </c>
      <c r="BQ96" t="s">
        <v>74</v>
      </c>
      <c r="BR96" t="s">
        <v>103</v>
      </c>
      <c r="BS96" t="s">
        <v>2094</v>
      </c>
      <c r="BT96" t="str">
        <f>HYPERLINK("https%3A%2F%2Fwww.webofscience.com%2Fwos%2Fwoscc%2Ffull-record%2FWOS:000480378000020","View Full Record in Web of Science")</f>
        <v>View Full Record in Web of Science</v>
      </c>
    </row>
    <row r="97" spans="1:72" x14ac:dyDescent="0.15">
      <c r="A97" t="s">
        <v>72</v>
      </c>
      <c r="B97" t="s">
        <v>2095</v>
      </c>
      <c r="C97" t="s">
        <v>74</v>
      </c>
      <c r="D97" t="s">
        <v>74</v>
      </c>
      <c r="E97" t="s">
        <v>74</v>
      </c>
      <c r="F97" t="s">
        <v>2096</v>
      </c>
      <c r="G97" t="s">
        <v>74</v>
      </c>
      <c r="H97" t="s">
        <v>74</v>
      </c>
      <c r="I97" t="s">
        <v>2097</v>
      </c>
      <c r="J97" t="s">
        <v>2044</v>
      </c>
      <c r="K97" t="s">
        <v>74</v>
      </c>
      <c r="L97" t="s">
        <v>74</v>
      </c>
      <c r="M97" t="s">
        <v>78</v>
      </c>
      <c r="N97" t="s">
        <v>108</v>
      </c>
      <c r="O97" t="s">
        <v>74</v>
      </c>
      <c r="P97" t="s">
        <v>74</v>
      </c>
      <c r="Q97" t="s">
        <v>74</v>
      </c>
      <c r="R97" t="s">
        <v>74</v>
      </c>
      <c r="S97" t="s">
        <v>74</v>
      </c>
      <c r="T97" t="s">
        <v>2098</v>
      </c>
      <c r="U97" t="s">
        <v>2099</v>
      </c>
      <c r="V97" t="s">
        <v>2100</v>
      </c>
      <c r="W97" t="s">
        <v>2101</v>
      </c>
      <c r="X97" t="s">
        <v>2102</v>
      </c>
      <c r="Y97" t="s">
        <v>2103</v>
      </c>
      <c r="Z97" t="s">
        <v>2104</v>
      </c>
      <c r="AA97" t="s">
        <v>2105</v>
      </c>
      <c r="AB97" t="s">
        <v>2106</v>
      </c>
      <c r="AC97" t="s">
        <v>2107</v>
      </c>
      <c r="AD97" t="s">
        <v>2108</v>
      </c>
      <c r="AE97" t="s">
        <v>2109</v>
      </c>
      <c r="AF97" t="s">
        <v>74</v>
      </c>
      <c r="AG97">
        <v>126</v>
      </c>
      <c r="AH97">
        <v>22</v>
      </c>
      <c r="AI97">
        <v>23</v>
      </c>
      <c r="AJ97">
        <v>0</v>
      </c>
      <c r="AK97">
        <v>17</v>
      </c>
      <c r="AL97" t="s">
        <v>92</v>
      </c>
      <c r="AM97" t="s">
        <v>93</v>
      </c>
      <c r="AN97" t="s">
        <v>94</v>
      </c>
      <c r="AO97" t="s">
        <v>2057</v>
      </c>
      <c r="AP97" t="s">
        <v>2110</v>
      </c>
      <c r="AQ97" t="s">
        <v>74</v>
      </c>
      <c r="AR97" t="s">
        <v>2058</v>
      </c>
      <c r="AS97" t="s">
        <v>2059</v>
      </c>
      <c r="AT97" t="s">
        <v>1980</v>
      </c>
      <c r="AU97">
        <v>2019</v>
      </c>
      <c r="AV97">
        <v>218</v>
      </c>
      <c r="AW97" t="s">
        <v>74</v>
      </c>
      <c r="AX97" t="s">
        <v>74</v>
      </c>
      <c r="AY97" t="s">
        <v>74</v>
      </c>
      <c r="AZ97" t="s">
        <v>74</v>
      </c>
      <c r="BA97" t="s">
        <v>74</v>
      </c>
      <c r="BB97">
        <v>322</v>
      </c>
      <c r="BC97">
        <v>342</v>
      </c>
      <c r="BD97" t="s">
        <v>74</v>
      </c>
      <c r="BE97" t="s">
        <v>2111</v>
      </c>
      <c r="BF97" t="str">
        <f>HYPERLINK("http://dx.doi.org/10.1016/j.quascirev.2019.06.023","http://dx.doi.org/10.1016/j.quascirev.2019.06.023")</f>
        <v>http://dx.doi.org/10.1016/j.quascirev.2019.06.023</v>
      </c>
      <c r="BG97" t="s">
        <v>74</v>
      </c>
      <c r="BH97" t="s">
        <v>74</v>
      </c>
      <c r="BI97">
        <v>21</v>
      </c>
      <c r="BJ97" t="s">
        <v>310</v>
      </c>
      <c r="BK97" t="s">
        <v>101</v>
      </c>
      <c r="BL97" t="s">
        <v>311</v>
      </c>
      <c r="BM97" t="s">
        <v>2061</v>
      </c>
      <c r="BN97" t="s">
        <v>74</v>
      </c>
      <c r="BO97" t="s">
        <v>2112</v>
      </c>
      <c r="BP97" t="s">
        <v>74</v>
      </c>
      <c r="BQ97" t="s">
        <v>74</v>
      </c>
      <c r="BR97" t="s">
        <v>103</v>
      </c>
      <c r="BS97" t="s">
        <v>2113</v>
      </c>
      <c r="BT97" t="str">
        <f>HYPERLINK("https%3A%2F%2Fwww.webofscience.com%2Fwos%2Fwoscc%2Ffull-record%2FWOS:000480378000023","View Full Record in Web of Science")</f>
        <v>View Full Record in Web of Science</v>
      </c>
    </row>
    <row r="98" spans="1:72" x14ac:dyDescent="0.15">
      <c r="A98" t="s">
        <v>72</v>
      </c>
      <c r="B98" t="s">
        <v>2114</v>
      </c>
      <c r="C98" t="s">
        <v>74</v>
      </c>
      <c r="D98" t="s">
        <v>74</v>
      </c>
      <c r="E98" t="s">
        <v>74</v>
      </c>
      <c r="F98" t="s">
        <v>2115</v>
      </c>
      <c r="G98" t="s">
        <v>74</v>
      </c>
      <c r="H98" t="s">
        <v>74</v>
      </c>
      <c r="I98" t="s">
        <v>2116</v>
      </c>
      <c r="J98" t="s">
        <v>2117</v>
      </c>
      <c r="K98" t="s">
        <v>74</v>
      </c>
      <c r="L98" t="s">
        <v>74</v>
      </c>
      <c r="M98" t="s">
        <v>78</v>
      </c>
      <c r="N98" t="s">
        <v>108</v>
      </c>
      <c r="O98" t="s">
        <v>74</v>
      </c>
      <c r="P98" t="s">
        <v>74</v>
      </c>
      <c r="Q98" t="s">
        <v>74</v>
      </c>
      <c r="R98" t="s">
        <v>74</v>
      </c>
      <c r="S98" t="s">
        <v>74</v>
      </c>
      <c r="T98" t="s">
        <v>2118</v>
      </c>
      <c r="U98" t="s">
        <v>2119</v>
      </c>
      <c r="V98" t="s">
        <v>2120</v>
      </c>
      <c r="W98" t="s">
        <v>2121</v>
      </c>
      <c r="X98" t="s">
        <v>1135</v>
      </c>
      <c r="Y98" t="s">
        <v>2122</v>
      </c>
      <c r="Z98" t="s">
        <v>2123</v>
      </c>
      <c r="AA98" t="s">
        <v>2124</v>
      </c>
      <c r="AB98" t="s">
        <v>2125</v>
      </c>
      <c r="AC98" t="s">
        <v>2126</v>
      </c>
      <c r="AD98" t="s">
        <v>2127</v>
      </c>
      <c r="AE98" t="s">
        <v>2128</v>
      </c>
      <c r="AF98" t="s">
        <v>74</v>
      </c>
      <c r="AG98">
        <v>86</v>
      </c>
      <c r="AH98">
        <v>13</v>
      </c>
      <c r="AI98">
        <v>13</v>
      </c>
      <c r="AJ98">
        <v>3</v>
      </c>
      <c r="AK98">
        <v>18</v>
      </c>
      <c r="AL98" t="s">
        <v>438</v>
      </c>
      <c r="AM98" t="s">
        <v>439</v>
      </c>
      <c r="AN98" t="s">
        <v>440</v>
      </c>
      <c r="AO98" t="s">
        <v>2129</v>
      </c>
      <c r="AP98" t="s">
        <v>2130</v>
      </c>
      <c r="AQ98" t="s">
        <v>74</v>
      </c>
      <c r="AR98" t="s">
        <v>2117</v>
      </c>
      <c r="AS98" t="s">
        <v>2131</v>
      </c>
      <c r="AT98" t="s">
        <v>1980</v>
      </c>
      <c r="AU98">
        <v>2019</v>
      </c>
      <c r="AV98">
        <v>510</v>
      </c>
      <c r="AW98" t="s">
        <v>74</v>
      </c>
      <c r="AX98" t="s">
        <v>74</v>
      </c>
      <c r="AY98" t="s">
        <v>74</v>
      </c>
      <c r="AZ98" t="s">
        <v>74</v>
      </c>
      <c r="BA98" t="s">
        <v>74</v>
      </c>
      <c r="BB98">
        <v>234</v>
      </c>
      <c r="BC98">
        <v>247</v>
      </c>
      <c r="BD98" t="s">
        <v>74</v>
      </c>
      <c r="BE98" t="s">
        <v>2132</v>
      </c>
      <c r="BF98" t="str">
        <f>HYPERLINK("http://dx.doi.org/10.1016/j.aquaculture.2019.05.017","http://dx.doi.org/10.1016/j.aquaculture.2019.05.017")</f>
        <v>http://dx.doi.org/10.1016/j.aquaculture.2019.05.017</v>
      </c>
      <c r="BG98" t="s">
        <v>74</v>
      </c>
      <c r="BH98" t="s">
        <v>74</v>
      </c>
      <c r="BI98">
        <v>14</v>
      </c>
      <c r="BJ98" t="s">
        <v>162</v>
      </c>
      <c r="BK98" t="s">
        <v>101</v>
      </c>
      <c r="BL98" t="s">
        <v>162</v>
      </c>
      <c r="BM98" t="s">
        <v>2133</v>
      </c>
      <c r="BN98" t="s">
        <v>74</v>
      </c>
      <c r="BO98" t="s">
        <v>74</v>
      </c>
      <c r="BP98" t="s">
        <v>74</v>
      </c>
      <c r="BQ98" t="s">
        <v>74</v>
      </c>
      <c r="BR98" t="s">
        <v>103</v>
      </c>
      <c r="BS98" t="s">
        <v>2134</v>
      </c>
      <c r="BT98" t="str">
        <f>HYPERLINK("https%3A%2F%2Fwww.webofscience.com%2Fwos%2Fwoscc%2Ffull-record%2FWOS:000478724600028","View Full Record in Web of Science")</f>
        <v>View Full Record in Web of Science</v>
      </c>
    </row>
    <row r="99" spans="1:72" x14ac:dyDescent="0.15">
      <c r="A99" t="s">
        <v>72</v>
      </c>
      <c r="B99" t="s">
        <v>2135</v>
      </c>
      <c r="C99" t="s">
        <v>74</v>
      </c>
      <c r="D99" t="s">
        <v>74</v>
      </c>
      <c r="E99" t="s">
        <v>74</v>
      </c>
      <c r="F99" t="s">
        <v>2136</v>
      </c>
      <c r="G99" t="s">
        <v>74</v>
      </c>
      <c r="H99" t="s">
        <v>74</v>
      </c>
      <c r="I99" t="s">
        <v>2137</v>
      </c>
      <c r="J99" t="s">
        <v>519</v>
      </c>
      <c r="K99" t="s">
        <v>74</v>
      </c>
      <c r="L99" t="s">
        <v>74</v>
      </c>
      <c r="M99" t="s">
        <v>78</v>
      </c>
      <c r="N99" t="s">
        <v>108</v>
      </c>
      <c r="O99" t="s">
        <v>74</v>
      </c>
      <c r="P99" t="s">
        <v>74</v>
      </c>
      <c r="Q99" t="s">
        <v>74</v>
      </c>
      <c r="R99" t="s">
        <v>74</v>
      </c>
      <c r="S99" t="s">
        <v>74</v>
      </c>
      <c r="T99" t="s">
        <v>2138</v>
      </c>
      <c r="U99" t="s">
        <v>2139</v>
      </c>
      <c r="V99" t="s">
        <v>2140</v>
      </c>
      <c r="W99" t="s">
        <v>2141</v>
      </c>
      <c r="X99" t="s">
        <v>2142</v>
      </c>
      <c r="Y99" t="s">
        <v>2143</v>
      </c>
      <c r="Z99" t="s">
        <v>2144</v>
      </c>
      <c r="AA99" t="s">
        <v>2145</v>
      </c>
      <c r="AB99" t="s">
        <v>2146</v>
      </c>
      <c r="AC99" t="s">
        <v>2147</v>
      </c>
      <c r="AD99" t="s">
        <v>2148</v>
      </c>
      <c r="AE99" t="s">
        <v>2149</v>
      </c>
      <c r="AF99" t="s">
        <v>74</v>
      </c>
      <c r="AG99">
        <v>50</v>
      </c>
      <c r="AH99">
        <v>13</v>
      </c>
      <c r="AI99">
        <v>13</v>
      </c>
      <c r="AJ99">
        <v>0</v>
      </c>
      <c r="AK99">
        <v>8</v>
      </c>
      <c r="AL99" t="s">
        <v>638</v>
      </c>
      <c r="AM99" t="s">
        <v>439</v>
      </c>
      <c r="AN99" t="s">
        <v>639</v>
      </c>
      <c r="AO99" t="s">
        <v>531</v>
      </c>
      <c r="AP99" t="s">
        <v>532</v>
      </c>
      <c r="AQ99" t="s">
        <v>74</v>
      </c>
      <c r="AR99" t="s">
        <v>533</v>
      </c>
      <c r="AS99" t="s">
        <v>534</v>
      </c>
      <c r="AT99" t="s">
        <v>1980</v>
      </c>
      <c r="AU99">
        <v>2019</v>
      </c>
      <c r="AV99">
        <v>520</v>
      </c>
      <c r="AW99" t="s">
        <v>74</v>
      </c>
      <c r="AX99" t="s">
        <v>74</v>
      </c>
      <c r="AY99" t="s">
        <v>74</v>
      </c>
      <c r="AZ99" t="s">
        <v>74</v>
      </c>
      <c r="BA99" t="s">
        <v>74</v>
      </c>
      <c r="BB99">
        <v>220</v>
      </c>
      <c r="BC99">
        <v>230</v>
      </c>
      <c r="BD99" t="s">
        <v>74</v>
      </c>
      <c r="BE99" t="s">
        <v>2150</v>
      </c>
      <c r="BF99" t="str">
        <f>HYPERLINK("http://dx.doi.org/10.1016/j.epsl.2019.05.050","http://dx.doi.org/10.1016/j.epsl.2019.05.050")</f>
        <v>http://dx.doi.org/10.1016/j.epsl.2019.05.050</v>
      </c>
      <c r="BG99" t="s">
        <v>74</v>
      </c>
      <c r="BH99" t="s">
        <v>74</v>
      </c>
      <c r="BI99">
        <v>11</v>
      </c>
      <c r="BJ99" t="s">
        <v>190</v>
      </c>
      <c r="BK99" t="s">
        <v>101</v>
      </c>
      <c r="BL99" t="s">
        <v>190</v>
      </c>
      <c r="BM99" t="s">
        <v>2151</v>
      </c>
      <c r="BN99" t="s">
        <v>74</v>
      </c>
      <c r="BO99" t="s">
        <v>164</v>
      </c>
      <c r="BP99" t="s">
        <v>74</v>
      </c>
      <c r="BQ99" t="s">
        <v>74</v>
      </c>
      <c r="BR99" t="s">
        <v>103</v>
      </c>
      <c r="BS99" t="s">
        <v>2152</v>
      </c>
      <c r="BT99" t="str">
        <f>HYPERLINK("https%3A%2F%2Fwww.webofscience.com%2Fwos%2Fwoscc%2Ffull-record%2FWOS:000474502200022","View Full Record in Web of Science")</f>
        <v>View Full Record in Web of Science</v>
      </c>
    </row>
    <row r="100" spans="1:72" x14ac:dyDescent="0.15">
      <c r="A100" t="s">
        <v>72</v>
      </c>
      <c r="B100" t="s">
        <v>2153</v>
      </c>
      <c r="C100" t="s">
        <v>74</v>
      </c>
      <c r="D100" t="s">
        <v>74</v>
      </c>
      <c r="E100" t="s">
        <v>74</v>
      </c>
      <c r="F100" t="s">
        <v>2154</v>
      </c>
      <c r="G100" t="s">
        <v>74</v>
      </c>
      <c r="H100" t="s">
        <v>74</v>
      </c>
      <c r="I100" t="s">
        <v>2155</v>
      </c>
      <c r="J100" t="s">
        <v>560</v>
      </c>
      <c r="K100" t="s">
        <v>74</v>
      </c>
      <c r="L100" t="s">
        <v>74</v>
      </c>
      <c r="M100" t="s">
        <v>78</v>
      </c>
      <c r="N100" t="s">
        <v>108</v>
      </c>
      <c r="O100" t="s">
        <v>74</v>
      </c>
      <c r="P100" t="s">
        <v>74</v>
      </c>
      <c r="Q100" t="s">
        <v>74</v>
      </c>
      <c r="R100" t="s">
        <v>74</v>
      </c>
      <c r="S100" t="s">
        <v>74</v>
      </c>
      <c r="T100" t="s">
        <v>74</v>
      </c>
      <c r="U100" t="s">
        <v>2156</v>
      </c>
      <c r="V100" t="s">
        <v>2157</v>
      </c>
      <c r="W100" t="s">
        <v>2158</v>
      </c>
      <c r="X100" t="s">
        <v>2159</v>
      </c>
      <c r="Y100" t="s">
        <v>2160</v>
      </c>
      <c r="Z100" t="s">
        <v>2161</v>
      </c>
      <c r="AA100" t="s">
        <v>2162</v>
      </c>
      <c r="AB100" t="s">
        <v>2163</v>
      </c>
      <c r="AC100" t="s">
        <v>2164</v>
      </c>
      <c r="AD100" t="s">
        <v>2165</v>
      </c>
      <c r="AE100" t="s">
        <v>2166</v>
      </c>
      <c r="AF100" t="s">
        <v>74</v>
      </c>
      <c r="AG100">
        <v>86</v>
      </c>
      <c r="AH100">
        <v>2</v>
      </c>
      <c r="AI100">
        <v>2</v>
      </c>
      <c r="AJ100">
        <v>0</v>
      </c>
      <c r="AK100">
        <v>7</v>
      </c>
      <c r="AL100" t="s">
        <v>92</v>
      </c>
      <c r="AM100" t="s">
        <v>93</v>
      </c>
      <c r="AN100" t="s">
        <v>94</v>
      </c>
      <c r="AO100" t="s">
        <v>573</v>
      </c>
      <c r="AP100" t="s">
        <v>574</v>
      </c>
      <c r="AQ100" t="s">
        <v>74</v>
      </c>
      <c r="AR100" t="s">
        <v>575</v>
      </c>
      <c r="AS100" t="s">
        <v>576</v>
      </c>
      <c r="AT100" t="s">
        <v>1980</v>
      </c>
      <c r="AU100">
        <v>2019</v>
      </c>
      <c r="AV100">
        <v>259</v>
      </c>
      <c r="AW100" t="s">
        <v>74</v>
      </c>
      <c r="AX100" t="s">
        <v>74</v>
      </c>
      <c r="AY100" t="s">
        <v>74</v>
      </c>
      <c r="AZ100" t="s">
        <v>74</v>
      </c>
      <c r="BA100" t="s">
        <v>74</v>
      </c>
      <c r="BB100">
        <v>253</v>
      </c>
      <c r="BC100">
        <v>269</v>
      </c>
      <c r="BD100" t="s">
        <v>74</v>
      </c>
      <c r="BE100" t="s">
        <v>2167</v>
      </c>
      <c r="BF100" t="str">
        <f>HYPERLINK("http://dx.doi.org/10.1016/j.gca.2019.05.032","http://dx.doi.org/10.1016/j.gca.2019.05.032")</f>
        <v>http://dx.doi.org/10.1016/j.gca.2019.05.032</v>
      </c>
      <c r="BG100" t="s">
        <v>74</v>
      </c>
      <c r="BH100" t="s">
        <v>74</v>
      </c>
      <c r="BI100">
        <v>17</v>
      </c>
      <c r="BJ100" t="s">
        <v>190</v>
      </c>
      <c r="BK100" t="s">
        <v>101</v>
      </c>
      <c r="BL100" t="s">
        <v>190</v>
      </c>
      <c r="BM100" t="s">
        <v>2168</v>
      </c>
      <c r="BN100" t="s">
        <v>74</v>
      </c>
      <c r="BO100" t="s">
        <v>537</v>
      </c>
      <c r="BP100" t="s">
        <v>74</v>
      </c>
      <c r="BQ100" t="s">
        <v>74</v>
      </c>
      <c r="BR100" t="s">
        <v>103</v>
      </c>
      <c r="BS100" t="s">
        <v>2169</v>
      </c>
      <c r="BT100" t="str">
        <f>HYPERLINK("https%3A%2F%2Fwww.webofscience.com%2Fwos%2Fwoscc%2Ffull-record%2FWOS:000474198900015","View Full Record in Web of Science")</f>
        <v>View Full Record in Web of Science</v>
      </c>
    </row>
    <row r="101" spans="1:72" x14ac:dyDescent="0.15">
      <c r="A101" t="s">
        <v>72</v>
      </c>
      <c r="B101" t="s">
        <v>2170</v>
      </c>
      <c r="C101" t="s">
        <v>74</v>
      </c>
      <c r="D101" t="s">
        <v>74</v>
      </c>
      <c r="E101" t="s">
        <v>74</v>
      </c>
      <c r="F101" t="s">
        <v>2171</v>
      </c>
      <c r="G101" t="s">
        <v>74</v>
      </c>
      <c r="H101" t="s">
        <v>74</v>
      </c>
      <c r="I101" t="s">
        <v>2172</v>
      </c>
      <c r="J101" t="s">
        <v>560</v>
      </c>
      <c r="K101" t="s">
        <v>74</v>
      </c>
      <c r="L101" t="s">
        <v>74</v>
      </c>
      <c r="M101" t="s">
        <v>78</v>
      </c>
      <c r="N101" t="s">
        <v>108</v>
      </c>
      <c r="O101" t="s">
        <v>74</v>
      </c>
      <c r="P101" t="s">
        <v>74</v>
      </c>
      <c r="Q101" t="s">
        <v>74</v>
      </c>
      <c r="R101" t="s">
        <v>74</v>
      </c>
      <c r="S101" t="s">
        <v>74</v>
      </c>
      <c r="T101" t="s">
        <v>2173</v>
      </c>
      <c r="U101" t="s">
        <v>2174</v>
      </c>
      <c r="V101" t="s">
        <v>2175</v>
      </c>
      <c r="W101" t="s">
        <v>2176</v>
      </c>
      <c r="X101" t="s">
        <v>2177</v>
      </c>
      <c r="Y101" t="s">
        <v>2178</v>
      </c>
      <c r="Z101" t="s">
        <v>2179</v>
      </c>
      <c r="AA101" t="s">
        <v>2180</v>
      </c>
      <c r="AB101" t="s">
        <v>2181</v>
      </c>
      <c r="AC101" t="s">
        <v>2182</v>
      </c>
      <c r="AD101" t="s">
        <v>2183</v>
      </c>
      <c r="AE101" t="s">
        <v>2184</v>
      </c>
      <c r="AF101" t="s">
        <v>74</v>
      </c>
      <c r="AG101">
        <v>38</v>
      </c>
      <c r="AH101">
        <v>13</v>
      </c>
      <c r="AI101">
        <v>15</v>
      </c>
      <c r="AJ101">
        <v>1</v>
      </c>
      <c r="AK101">
        <v>8</v>
      </c>
      <c r="AL101" t="s">
        <v>92</v>
      </c>
      <c r="AM101" t="s">
        <v>93</v>
      </c>
      <c r="AN101" t="s">
        <v>94</v>
      </c>
      <c r="AO101" t="s">
        <v>573</v>
      </c>
      <c r="AP101" t="s">
        <v>574</v>
      </c>
      <c r="AQ101" t="s">
        <v>74</v>
      </c>
      <c r="AR101" t="s">
        <v>575</v>
      </c>
      <c r="AS101" t="s">
        <v>576</v>
      </c>
      <c r="AT101" t="s">
        <v>1980</v>
      </c>
      <c r="AU101">
        <v>2019</v>
      </c>
      <c r="AV101">
        <v>259</v>
      </c>
      <c r="AW101" t="s">
        <v>74</v>
      </c>
      <c r="AX101" t="s">
        <v>74</v>
      </c>
      <c r="AY101" t="s">
        <v>74</v>
      </c>
      <c r="AZ101" t="s">
        <v>74</v>
      </c>
      <c r="BA101" t="s">
        <v>74</v>
      </c>
      <c r="BB101">
        <v>358</v>
      </c>
      <c r="BC101">
        <v>370</v>
      </c>
      <c r="BD101" t="s">
        <v>74</v>
      </c>
      <c r="BE101" t="s">
        <v>2185</v>
      </c>
      <c r="BF101" t="str">
        <f>HYPERLINK("http://dx.doi.org/10.1016/j.gca.2019.06.005","http://dx.doi.org/10.1016/j.gca.2019.06.005")</f>
        <v>http://dx.doi.org/10.1016/j.gca.2019.06.005</v>
      </c>
      <c r="BG101" t="s">
        <v>74</v>
      </c>
      <c r="BH101" t="s">
        <v>74</v>
      </c>
      <c r="BI101">
        <v>13</v>
      </c>
      <c r="BJ101" t="s">
        <v>190</v>
      </c>
      <c r="BK101" t="s">
        <v>101</v>
      </c>
      <c r="BL101" t="s">
        <v>190</v>
      </c>
      <c r="BM101" t="s">
        <v>2168</v>
      </c>
      <c r="BN101" t="s">
        <v>74</v>
      </c>
      <c r="BO101" t="s">
        <v>537</v>
      </c>
      <c r="BP101" t="s">
        <v>74</v>
      </c>
      <c r="BQ101" t="s">
        <v>74</v>
      </c>
      <c r="BR101" t="s">
        <v>103</v>
      </c>
      <c r="BS101" t="s">
        <v>2186</v>
      </c>
      <c r="BT101" t="str">
        <f>HYPERLINK("https%3A%2F%2Fwww.webofscience.com%2Fwos%2Fwoscc%2Ffull-record%2FWOS:000474198900021","View Full Record in Web of Science")</f>
        <v>View Full Record in Web of Science</v>
      </c>
    </row>
    <row r="102" spans="1:72" x14ac:dyDescent="0.15">
      <c r="A102" t="s">
        <v>72</v>
      </c>
      <c r="B102" t="s">
        <v>2187</v>
      </c>
      <c r="C102" t="s">
        <v>74</v>
      </c>
      <c r="D102" t="s">
        <v>74</v>
      </c>
      <c r="E102" t="s">
        <v>74</v>
      </c>
      <c r="F102" t="s">
        <v>2188</v>
      </c>
      <c r="G102" t="s">
        <v>74</v>
      </c>
      <c r="H102" t="s">
        <v>74</v>
      </c>
      <c r="I102" t="s">
        <v>2189</v>
      </c>
      <c r="J102" t="s">
        <v>2190</v>
      </c>
      <c r="K102" t="s">
        <v>74</v>
      </c>
      <c r="L102" t="s">
        <v>74</v>
      </c>
      <c r="M102" t="s">
        <v>78</v>
      </c>
      <c r="N102" t="s">
        <v>108</v>
      </c>
      <c r="O102" t="s">
        <v>74</v>
      </c>
      <c r="P102" t="s">
        <v>74</v>
      </c>
      <c r="Q102" t="s">
        <v>74</v>
      </c>
      <c r="R102" t="s">
        <v>74</v>
      </c>
      <c r="S102" t="s">
        <v>74</v>
      </c>
      <c r="T102" t="s">
        <v>2191</v>
      </c>
      <c r="U102" t="s">
        <v>2192</v>
      </c>
      <c r="V102" t="s">
        <v>2193</v>
      </c>
      <c r="W102" t="s">
        <v>2194</v>
      </c>
      <c r="X102" t="s">
        <v>2195</v>
      </c>
      <c r="Y102" t="s">
        <v>2196</v>
      </c>
      <c r="Z102" t="s">
        <v>2197</v>
      </c>
      <c r="AA102" t="s">
        <v>2198</v>
      </c>
      <c r="AB102" t="s">
        <v>2199</v>
      </c>
      <c r="AC102" t="s">
        <v>2200</v>
      </c>
      <c r="AD102" t="s">
        <v>2201</v>
      </c>
      <c r="AE102" t="s">
        <v>2202</v>
      </c>
      <c r="AF102" t="s">
        <v>74</v>
      </c>
      <c r="AG102">
        <v>75</v>
      </c>
      <c r="AH102">
        <v>3</v>
      </c>
      <c r="AI102">
        <v>3</v>
      </c>
      <c r="AJ102">
        <v>0</v>
      </c>
      <c r="AK102">
        <v>12</v>
      </c>
      <c r="AL102" t="s">
        <v>638</v>
      </c>
      <c r="AM102" t="s">
        <v>439</v>
      </c>
      <c r="AN102" t="s">
        <v>639</v>
      </c>
      <c r="AO102" t="s">
        <v>2203</v>
      </c>
      <c r="AP102" t="s">
        <v>2204</v>
      </c>
      <c r="AQ102" t="s">
        <v>74</v>
      </c>
      <c r="AR102" t="s">
        <v>2205</v>
      </c>
      <c r="AS102" t="s">
        <v>2206</v>
      </c>
      <c r="AT102" t="s">
        <v>1980</v>
      </c>
      <c r="AU102">
        <v>2019</v>
      </c>
      <c r="AV102">
        <v>528</v>
      </c>
      <c r="AW102" t="s">
        <v>74</v>
      </c>
      <c r="AX102" t="s">
        <v>74</v>
      </c>
      <c r="AY102" t="s">
        <v>74</v>
      </c>
      <c r="AZ102" t="s">
        <v>74</v>
      </c>
      <c r="BA102" t="s">
        <v>74</v>
      </c>
      <c r="BB102">
        <v>1</v>
      </c>
      <c r="BC102">
        <v>13</v>
      </c>
      <c r="BD102" t="s">
        <v>74</v>
      </c>
      <c r="BE102" t="s">
        <v>2207</v>
      </c>
      <c r="BF102" t="str">
        <f>HYPERLINK("http://dx.doi.org/10.1016/j.palaeo.2019.04.006","http://dx.doi.org/10.1016/j.palaeo.2019.04.006")</f>
        <v>http://dx.doi.org/10.1016/j.palaeo.2019.04.006</v>
      </c>
      <c r="BG102" t="s">
        <v>74</v>
      </c>
      <c r="BH102" t="s">
        <v>74</v>
      </c>
      <c r="BI102">
        <v>13</v>
      </c>
      <c r="BJ102" t="s">
        <v>2208</v>
      </c>
      <c r="BK102" t="s">
        <v>101</v>
      </c>
      <c r="BL102" t="s">
        <v>2209</v>
      </c>
      <c r="BM102" t="s">
        <v>2210</v>
      </c>
      <c r="BN102" t="s">
        <v>74</v>
      </c>
      <c r="BO102" t="s">
        <v>74</v>
      </c>
      <c r="BP102" t="s">
        <v>74</v>
      </c>
      <c r="BQ102" t="s">
        <v>74</v>
      </c>
      <c r="BR102" t="s">
        <v>103</v>
      </c>
      <c r="BS102" t="s">
        <v>2211</v>
      </c>
      <c r="BT102" t="str">
        <f>HYPERLINK("https%3A%2F%2Fwww.webofscience.com%2Fwos%2Fwoscc%2Ffull-record%2FWOS:000472123900001","View Full Record in Web of Science")</f>
        <v>View Full Record in Web of Science</v>
      </c>
    </row>
    <row r="103" spans="1:72" x14ac:dyDescent="0.15">
      <c r="A103" t="s">
        <v>72</v>
      </c>
      <c r="B103" t="s">
        <v>2212</v>
      </c>
      <c r="C103" t="s">
        <v>74</v>
      </c>
      <c r="D103" t="s">
        <v>74</v>
      </c>
      <c r="E103" t="s">
        <v>74</v>
      </c>
      <c r="F103" t="s">
        <v>2213</v>
      </c>
      <c r="G103" t="s">
        <v>74</v>
      </c>
      <c r="H103" t="s">
        <v>74</v>
      </c>
      <c r="I103" t="s">
        <v>2214</v>
      </c>
      <c r="J103" t="s">
        <v>753</v>
      </c>
      <c r="K103" t="s">
        <v>74</v>
      </c>
      <c r="L103" t="s">
        <v>74</v>
      </c>
      <c r="M103" t="s">
        <v>78</v>
      </c>
      <c r="N103" t="s">
        <v>79</v>
      </c>
      <c r="O103" t="s">
        <v>74</v>
      </c>
      <c r="P103" t="s">
        <v>74</v>
      </c>
      <c r="Q103" t="s">
        <v>74</v>
      </c>
      <c r="R103" t="s">
        <v>74</v>
      </c>
      <c r="S103" t="s">
        <v>74</v>
      </c>
      <c r="T103" t="s">
        <v>2215</v>
      </c>
      <c r="U103" t="s">
        <v>2216</v>
      </c>
      <c r="V103" t="s">
        <v>2217</v>
      </c>
      <c r="W103" t="s">
        <v>2218</v>
      </c>
      <c r="X103" t="s">
        <v>2219</v>
      </c>
      <c r="Y103" t="s">
        <v>2220</v>
      </c>
      <c r="Z103" t="s">
        <v>2221</v>
      </c>
      <c r="AA103" t="s">
        <v>74</v>
      </c>
      <c r="AB103" t="s">
        <v>74</v>
      </c>
      <c r="AC103" t="s">
        <v>2222</v>
      </c>
      <c r="AD103" t="s">
        <v>2223</v>
      </c>
      <c r="AE103" t="s">
        <v>2224</v>
      </c>
      <c r="AF103" t="s">
        <v>74</v>
      </c>
      <c r="AG103">
        <v>33</v>
      </c>
      <c r="AH103">
        <v>4</v>
      </c>
      <c r="AI103">
        <v>4</v>
      </c>
      <c r="AJ103">
        <v>1</v>
      </c>
      <c r="AK103">
        <v>7</v>
      </c>
      <c r="AL103" t="s">
        <v>638</v>
      </c>
      <c r="AM103" t="s">
        <v>439</v>
      </c>
      <c r="AN103" t="s">
        <v>639</v>
      </c>
      <c r="AO103" t="s">
        <v>766</v>
      </c>
      <c r="AP103" t="s">
        <v>767</v>
      </c>
      <c r="AQ103" t="s">
        <v>74</v>
      </c>
      <c r="AR103" t="s">
        <v>753</v>
      </c>
      <c r="AS103" t="s">
        <v>768</v>
      </c>
      <c r="AT103" t="s">
        <v>1980</v>
      </c>
      <c r="AU103">
        <v>2019</v>
      </c>
      <c r="AV103">
        <v>201</v>
      </c>
      <c r="AW103" t="s">
        <v>74</v>
      </c>
      <c r="AX103" t="s">
        <v>74</v>
      </c>
      <c r="AY103" t="s">
        <v>74</v>
      </c>
      <c r="AZ103" t="s">
        <v>74</v>
      </c>
      <c r="BA103" t="s">
        <v>74</v>
      </c>
      <c r="BB103">
        <v>379</v>
      </c>
      <c r="BC103">
        <v>387</v>
      </c>
      <c r="BD103" t="s">
        <v>74</v>
      </c>
      <c r="BE103" t="s">
        <v>2225</v>
      </c>
      <c r="BF103" t="str">
        <f>HYPERLINK("http://dx.doi.org/10.1016/j.talanta.2019.04.033","http://dx.doi.org/10.1016/j.talanta.2019.04.033")</f>
        <v>http://dx.doi.org/10.1016/j.talanta.2019.04.033</v>
      </c>
      <c r="BG103" t="s">
        <v>74</v>
      </c>
      <c r="BH103" t="s">
        <v>74</v>
      </c>
      <c r="BI103">
        <v>9</v>
      </c>
      <c r="BJ103" t="s">
        <v>770</v>
      </c>
      <c r="BK103" t="s">
        <v>101</v>
      </c>
      <c r="BL103" t="s">
        <v>771</v>
      </c>
      <c r="BM103" t="s">
        <v>2226</v>
      </c>
      <c r="BN103">
        <v>31122438</v>
      </c>
      <c r="BO103" t="s">
        <v>74</v>
      </c>
      <c r="BP103" t="s">
        <v>74</v>
      </c>
      <c r="BQ103" t="s">
        <v>74</v>
      </c>
      <c r="BR103" t="s">
        <v>103</v>
      </c>
      <c r="BS103" t="s">
        <v>2227</v>
      </c>
      <c r="BT103" t="str">
        <f>HYPERLINK("https%3A%2F%2Fwww.webofscience.com%2Fwos%2Fwoscc%2Ffull-record%2FWOS:000471084300051","View Full Record in Web of Science")</f>
        <v>View Full Record in Web of Science</v>
      </c>
    </row>
    <row r="104" spans="1:72" x14ac:dyDescent="0.15">
      <c r="A104" t="s">
        <v>72</v>
      </c>
      <c r="B104" t="s">
        <v>2228</v>
      </c>
      <c r="C104" t="s">
        <v>74</v>
      </c>
      <c r="D104" t="s">
        <v>74</v>
      </c>
      <c r="E104" t="s">
        <v>74</v>
      </c>
      <c r="F104" t="s">
        <v>2229</v>
      </c>
      <c r="G104" t="s">
        <v>74</v>
      </c>
      <c r="H104" t="s">
        <v>74</v>
      </c>
      <c r="I104" t="s">
        <v>2230</v>
      </c>
      <c r="J104" t="s">
        <v>805</v>
      </c>
      <c r="K104" t="s">
        <v>74</v>
      </c>
      <c r="L104" t="s">
        <v>74</v>
      </c>
      <c r="M104" t="s">
        <v>78</v>
      </c>
      <c r="N104" t="s">
        <v>108</v>
      </c>
      <c r="O104" t="s">
        <v>74</v>
      </c>
      <c r="P104" t="s">
        <v>74</v>
      </c>
      <c r="Q104" t="s">
        <v>74</v>
      </c>
      <c r="R104" t="s">
        <v>74</v>
      </c>
      <c r="S104" t="s">
        <v>74</v>
      </c>
      <c r="T104" t="s">
        <v>2231</v>
      </c>
      <c r="U104" t="s">
        <v>2232</v>
      </c>
      <c r="V104" t="s">
        <v>2233</v>
      </c>
      <c r="W104" t="s">
        <v>2234</v>
      </c>
      <c r="X104" t="s">
        <v>2235</v>
      </c>
      <c r="Y104" t="s">
        <v>2236</v>
      </c>
      <c r="Z104" t="s">
        <v>2237</v>
      </c>
      <c r="AA104" t="s">
        <v>2238</v>
      </c>
      <c r="AB104" t="s">
        <v>2239</v>
      </c>
      <c r="AC104" t="s">
        <v>2240</v>
      </c>
      <c r="AD104" t="s">
        <v>2241</v>
      </c>
      <c r="AE104" t="s">
        <v>2242</v>
      </c>
      <c r="AF104" t="s">
        <v>74</v>
      </c>
      <c r="AG104">
        <v>71</v>
      </c>
      <c r="AH104">
        <v>13</v>
      </c>
      <c r="AI104">
        <v>13</v>
      </c>
      <c r="AJ104">
        <v>0</v>
      </c>
      <c r="AK104">
        <v>17</v>
      </c>
      <c r="AL104" t="s">
        <v>438</v>
      </c>
      <c r="AM104" t="s">
        <v>439</v>
      </c>
      <c r="AN104" t="s">
        <v>440</v>
      </c>
      <c r="AO104" t="s">
        <v>818</v>
      </c>
      <c r="AP104" t="s">
        <v>819</v>
      </c>
      <c r="AQ104" t="s">
        <v>74</v>
      </c>
      <c r="AR104" t="s">
        <v>820</v>
      </c>
      <c r="AS104" t="s">
        <v>821</v>
      </c>
      <c r="AT104" t="s">
        <v>1980</v>
      </c>
      <c r="AU104">
        <v>2019</v>
      </c>
      <c r="AV104">
        <v>678</v>
      </c>
      <c r="AW104" t="s">
        <v>74</v>
      </c>
      <c r="AX104" t="s">
        <v>74</v>
      </c>
      <c r="AY104" t="s">
        <v>74</v>
      </c>
      <c r="AZ104" t="s">
        <v>74</v>
      </c>
      <c r="BA104" t="s">
        <v>74</v>
      </c>
      <c r="BB104">
        <v>207</v>
      </c>
      <c r="BC104">
        <v>216</v>
      </c>
      <c r="BD104" t="s">
        <v>74</v>
      </c>
      <c r="BE104" t="s">
        <v>2243</v>
      </c>
      <c r="BF104" t="str">
        <f>HYPERLINK("http://dx.doi.org/10.1016/j.scitotenv.2019.04.412","http://dx.doi.org/10.1016/j.scitotenv.2019.04.412")</f>
        <v>http://dx.doi.org/10.1016/j.scitotenv.2019.04.412</v>
      </c>
      <c r="BG104" t="s">
        <v>74</v>
      </c>
      <c r="BH104" t="s">
        <v>74</v>
      </c>
      <c r="BI104">
        <v>10</v>
      </c>
      <c r="BJ104" t="s">
        <v>797</v>
      </c>
      <c r="BK104" t="s">
        <v>101</v>
      </c>
      <c r="BL104" t="s">
        <v>799</v>
      </c>
      <c r="BM104" t="s">
        <v>2244</v>
      </c>
      <c r="BN104">
        <v>31075587</v>
      </c>
      <c r="BO104" t="s">
        <v>74</v>
      </c>
      <c r="BP104" t="s">
        <v>74</v>
      </c>
      <c r="BQ104" t="s">
        <v>74</v>
      </c>
      <c r="BR104" t="s">
        <v>103</v>
      </c>
      <c r="BS104" t="s">
        <v>2245</v>
      </c>
      <c r="BT104" t="str">
        <f>HYPERLINK("https%3A%2F%2Fwww.webofscience.com%2Fwos%2Fwoscc%2Ffull-record%2FWOS:000468618900022","View Full Record in Web of Science")</f>
        <v>View Full Record in Web of Science</v>
      </c>
    </row>
    <row r="105" spans="1:72" x14ac:dyDescent="0.15">
      <c r="A105" t="s">
        <v>72</v>
      </c>
      <c r="B105" t="s">
        <v>2246</v>
      </c>
      <c r="C105" t="s">
        <v>74</v>
      </c>
      <c r="D105" t="s">
        <v>74</v>
      </c>
      <c r="E105" t="s">
        <v>74</v>
      </c>
      <c r="F105" t="s">
        <v>2247</v>
      </c>
      <c r="G105" t="s">
        <v>74</v>
      </c>
      <c r="H105" t="s">
        <v>74</v>
      </c>
      <c r="I105" t="s">
        <v>2248</v>
      </c>
      <c r="J105" t="s">
        <v>2249</v>
      </c>
      <c r="K105" t="s">
        <v>74</v>
      </c>
      <c r="L105" t="s">
        <v>74</v>
      </c>
      <c r="M105" t="s">
        <v>78</v>
      </c>
      <c r="N105" t="s">
        <v>108</v>
      </c>
      <c r="O105" t="s">
        <v>74</v>
      </c>
      <c r="P105" t="s">
        <v>74</v>
      </c>
      <c r="Q105" t="s">
        <v>74</v>
      </c>
      <c r="R105" t="s">
        <v>74</v>
      </c>
      <c r="S105" t="s">
        <v>74</v>
      </c>
      <c r="T105" t="s">
        <v>74</v>
      </c>
      <c r="U105" t="s">
        <v>2250</v>
      </c>
      <c r="V105" t="s">
        <v>2251</v>
      </c>
      <c r="W105" t="s">
        <v>2252</v>
      </c>
      <c r="X105" t="s">
        <v>2253</v>
      </c>
      <c r="Y105" t="s">
        <v>2254</v>
      </c>
      <c r="Z105" t="s">
        <v>2255</v>
      </c>
      <c r="AA105" t="s">
        <v>2256</v>
      </c>
      <c r="AB105" t="s">
        <v>2257</v>
      </c>
      <c r="AC105" t="s">
        <v>2258</v>
      </c>
      <c r="AD105" t="s">
        <v>2259</v>
      </c>
      <c r="AE105" t="s">
        <v>2260</v>
      </c>
      <c r="AF105" t="s">
        <v>74</v>
      </c>
      <c r="AG105">
        <v>77</v>
      </c>
      <c r="AH105">
        <v>17</v>
      </c>
      <c r="AI105">
        <v>19</v>
      </c>
      <c r="AJ105">
        <v>0</v>
      </c>
      <c r="AK105">
        <v>13</v>
      </c>
      <c r="AL105" t="s">
        <v>839</v>
      </c>
      <c r="AM105" t="s">
        <v>840</v>
      </c>
      <c r="AN105" t="s">
        <v>841</v>
      </c>
      <c r="AO105" t="s">
        <v>2261</v>
      </c>
      <c r="AP105" t="s">
        <v>2262</v>
      </c>
      <c r="AQ105" t="s">
        <v>74</v>
      </c>
      <c r="AR105" t="s">
        <v>2263</v>
      </c>
      <c r="AS105" t="s">
        <v>2264</v>
      </c>
      <c r="AT105" t="s">
        <v>2265</v>
      </c>
      <c r="AU105">
        <v>2019</v>
      </c>
      <c r="AV105">
        <v>19</v>
      </c>
      <c r="AW105">
        <v>15</v>
      </c>
      <c r="AX105" t="s">
        <v>74</v>
      </c>
      <c r="AY105" t="s">
        <v>74</v>
      </c>
      <c r="AZ105" t="s">
        <v>74</v>
      </c>
      <c r="BA105" t="s">
        <v>74</v>
      </c>
      <c r="BB105">
        <v>10303</v>
      </c>
      <c r="BC105">
        <v>10317</v>
      </c>
      <c r="BD105" t="s">
        <v>74</v>
      </c>
      <c r="BE105" t="s">
        <v>2266</v>
      </c>
      <c r="BF105" t="str">
        <f>HYPERLINK("http://dx.doi.org/10.5194/acp-19-10303-2019","http://dx.doi.org/10.5194/acp-19-10303-2019")</f>
        <v>http://dx.doi.org/10.5194/acp-19-10303-2019</v>
      </c>
      <c r="BG105" t="s">
        <v>74</v>
      </c>
      <c r="BH105" t="s">
        <v>74</v>
      </c>
      <c r="BI105">
        <v>15</v>
      </c>
      <c r="BJ105" t="s">
        <v>2267</v>
      </c>
      <c r="BK105" t="s">
        <v>101</v>
      </c>
      <c r="BL105" t="s">
        <v>2268</v>
      </c>
      <c r="BM105" t="s">
        <v>2269</v>
      </c>
      <c r="BN105" t="s">
        <v>74</v>
      </c>
      <c r="BO105" t="s">
        <v>2270</v>
      </c>
      <c r="BP105" t="s">
        <v>74</v>
      </c>
      <c r="BQ105" t="s">
        <v>74</v>
      </c>
      <c r="BR105" t="s">
        <v>103</v>
      </c>
      <c r="BS105" t="s">
        <v>2271</v>
      </c>
      <c r="BT105" t="str">
        <f>HYPERLINK("https%3A%2F%2Fwww.webofscience.com%2Fwos%2Fwoscc%2Ffull-record%2FWOS:000481687100002","View Full Record in Web of Science")</f>
        <v>View Full Record in Web of Science</v>
      </c>
    </row>
    <row r="106" spans="1:72" x14ac:dyDescent="0.15">
      <c r="A106" t="s">
        <v>72</v>
      </c>
      <c r="B106" t="s">
        <v>2272</v>
      </c>
      <c r="C106" t="s">
        <v>74</v>
      </c>
      <c r="D106" t="s">
        <v>74</v>
      </c>
      <c r="E106" t="s">
        <v>74</v>
      </c>
      <c r="F106" t="s">
        <v>2273</v>
      </c>
      <c r="G106" t="s">
        <v>74</v>
      </c>
      <c r="H106" t="s">
        <v>74</v>
      </c>
      <c r="I106" t="s">
        <v>2274</v>
      </c>
      <c r="J106" t="s">
        <v>2275</v>
      </c>
      <c r="K106" t="s">
        <v>74</v>
      </c>
      <c r="L106" t="s">
        <v>74</v>
      </c>
      <c r="M106" t="s">
        <v>78</v>
      </c>
      <c r="N106" t="s">
        <v>108</v>
      </c>
      <c r="O106" t="s">
        <v>74</v>
      </c>
      <c r="P106" t="s">
        <v>74</v>
      </c>
      <c r="Q106" t="s">
        <v>74</v>
      </c>
      <c r="R106" t="s">
        <v>74</v>
      </c>
      <c r="S106" t="s">
        <v>74</v>
      </c>
      <c r="T106" t="s">
        <v>2276</v>
      </c>
      <c r="U106" t="s">
        <v>2277</v>
      </c>
      <c r="V106" t="s">
        <v>2278</v>
      </c>
      <c r="W106" t="s">
        <v>2279</v>
      </c>
      <c r="X106" t="s">
        <v>2280</v>
      </c>
      <c r="Y106" t="s">
        <v>2281</v>
      </c>
      <c r="Z106" t="s">
        <v>2282</v>
      </c>
      <c r="AA106" t="s">
        <v>2283</v>
      </c>
      <c r="AB106" t="s">
        <v>2284</v>
      </c>
      <c r="AC106" t="s">
        <v>2285</v>
      </c>
      <c r="AD106" t="s">
        <v>2286</v>
      </c>
      <c r="AE106" t="s">
        <v>2287</v>
      </c>
      <c r="AF106" t="s">
        <v>74</v>
      </c>
      <c r="AG106">
        <v>108</v>
      </c>
      <c r="AH106">
        <v>10</v>
      </c>
      <c r="AI106">
        <v>10</v>
      </c>
      <c r="AJ106">
        <v>0</v>
      </c>
      <c r="AK106">
        <v>52</v>
      </c>
      <c r="AL106" t="s">
        <v>1140</v>
      </c>
      <c r="AM106" t="s">
        <v>1141</v>
      </c>
      <c r="AN106" t="s">
        <v>1142</v>
      </c>
      <c r="AO106" t="s">
        <v>2288</v>
      </c>
      <c r="AP106" t="s">
        <v>2289</v>
      </c>
      <c r="AQ106" t="s">
        <v>74</v>
      </c>
      <c r="AR106" t="s">
        <v>2290</v>
      </c>
      <c r="AS106" t="s">
        <v>2291</v>
      </c>
      <c r="AT106" t="s">
        <v>1147</v>
      </c>
      <c r="AU106">
        <v>2019</v>
      </c>
      <c r="AV106">
        <v>89</v>
      </c>
      <c r="AW106">
        <v>4</v>
      </c>
      <c r="AX106" t="s">
        <v>74</v>
      </c>
      <c r="AY106" t="s">
        <v>74</v>
      </c>
      <c r="AZ106" t="s">
        <v>74</v>
      </c>
      <c r="BA106" t="s">
        <v>74</v>
      </c>
      <c r="BB106" t="s">
        <v>74</v>
      </c>
      <c r="BC106" t="s">
        <v>74</v>
      </c>
      <c r="BD106" t="s">
        <v>74</v>
      </c>
      <c r="BE106" t="s">
        <v>2292</v>
      </c>
      <c r="BF106" t="str">
        <f>HYPERLINK("http://dx.doi.org/10.1002/ecm.1388","http://dx.doi.org/10.1002/ecm.1388")</f>
        <v>http://dx.doi.org/10.1002/ecm.1388</v>
      </c>
      <c r="BG106" t="s">
        <v>74</v>
      </c>
      <c r="BH106" t="s">
        <v>1149</v>
      </c>
      <c r="BI106">
        <v>15</v>
      </c>
      <c r="BJ106" t="s">
        <v>1150</v>
      </c>
      <c r="BK106" t="s">
        <v>101</v>
      </c>
      <c r="BL106" t="s">
        <v>799</v>
      </c>
      <c r="BM106" t="s">
        <v>2293</v>
      </c>
      <c r="BN106" t="s">
        <v>74</v>
      </c>
      <c r="BO106" t="s">
        <v>261</v>
      </c>
      <c r="BP106" t="s">
        <v>74</v>
      </c>
      <c r="BQ106" t="s">
        <v>74</v>
      </c>
      <c r="BR106" t="s">
        <v>103</v>
      </c>
      <c r="BS106" t="s">
        <v>2294</v>
      </c>
      <c r="BT106" t="str">
        <f>HYPERLINK("https%3A%2F%2Fwww.webofscience.com%2Fwos%2Fwoscc%2Ffull-record%2FWOS:000481069000001","View Full Record in Web of Science")</f>
        <v>View Full Record in Web of Science</v>
      </c>
    </row>
    <row r="107" spans="1:72" x14ac:dyDescent="0.15">
      <c r="A107" t="s">
        <v>72</v>
      </c>
      <c r="B107" t="s">
        <v>2295</v>
      </c>
      <c r="C107" t="s">
        <v>74</v>
      </c>
      <c r="D107" t="s">
        <v>74</v>
      </c>
      <c r="E107" t="s">
        <v>74</v>
      </c>
      <c r="F107" t="s">
        <v>2296</v>
      </c>
      <c r="G107" t="s">
        <v>74</v>
      </c>
      <c r="H107" t="s">
        <v>74</v>
      </c>
      <c r="I107" t="s">
        <v>2297</v>
      </c>
      <c r="J107" t="s">
        <v>1496</v>
      </c>
      <c r="K107" t="s">
        <v>74</v>
      </c>
      <c r="L107" t="s">
        <v>74</v>
      </c>
      <c r="M107" t="s">
        <v>78</v>
      </c>
      <c r="N107" t="s">
        <v>108</v>
      </c>
      <c r="O107" t="s">
        <v>74</v>
      </c>
      <c r="P107" t="s">
        <v>74</v>
      </c>
      <c r="Q107" t="s">
        <v>74</v>
      </c>
      <c r="R107" t="s">
        <v>74</v>
      </c>
      <c r="S107" t="s">
        <v>74</v>
      </c>
      <c r="T107" t="s">
        <v>2298</v>
      </c>
      <c r="U107" t="s">
        <v>2299</v>
      </c>
      <c r="V107" t="s">
        <v>2300</v>
      </c>
      <c r="W107" t="s">
        <v>2301</v>
      </c>
      <c r="X107" t="s">
        <v>2302</v>
      </c>
      <c r="Y107" t="s">
        <v>2303</v>
      </c>
      <c r="Z107" t="s">
        <v>2304</v>
      </c>
      <c r="AA107" t="s">
        <v>2305</v>
      </c>
      <c r="AB107" t="s">
        <v>2306</v>
      </c>
      <c r="AC107" t="s">
        <v>2307</v>
      </c>
      <c r="AD107" t="s">
        <v>2308</v>
      </c>
      <c r="AE107" t="s">
        <v>2309</v>
      </c>
      <c r="AF107" t="s">
        <v>74</v>
      </c>
      <c r="AG107">
        <v>78</v>
      </c>
      <c r="AH107">
        <v>36</v>
      </c>
      <c r="AI107">
        <v>37</v>
      </c>
      <c r="AJ107">
        <v>1</v>
      </c>
      <c r="AK107">
        <v>52</v>
      </c>
      <c r="AL107" t="s">
        <v>868</v>
      </c>
      <c r="AM107" t="s">
        <v>869</v>
      </c>
      <c r="AN107" t="s">
        <v>870</v>
      </c>
      <c r="AO107" t="s">
        <v>1509</v>
      </c>
      <c r="AP107" t="s">
        <v>74</v>
      </c>
      <c r="AQ107" t="s">
        <v>74</v>
      </c>
      <c r="AR107" t="s">
        <v>1510</v>
      </c>
      <c r="AS107" t="s">
        <v>1511</v>
      </c>
      <c r="AT107" t="s">
        <v>2310</v>
      </c>
      <c r="AU107">
        <v>2019</v>
      </c>
      <c r="AV107">
        <v>10</v>
      </c>
      <c r="AW107" t="s">
        <v>74</v>
      </c>
      <c r="AX107" t="s">
        <v>74</v>
      </c>
      <c r="AY107" t="s">
        <v>74</v>
      </c>
      <c r="AZ107" t="s">
        <v>74</v>
      </c>
      <c r="BA107" t="s">
        <v>74</v>
      </c>
      <c r="BB107" t="s">
        <v>74</v>
      </c>
      <c r="BC107" t="s">
        <v>74</v>
      </c>
      <c r="BD107">
        <v>1866</v>
      </c>
      <c r="BE107" t="s">
        <v>2311</v>
      </c>
      <c r="BF107" t="str">
        <f>HYPERLINK("http://dx.doi.org/10.3389/fmicb.2019.01866","http://dx.doi.org/10.3389/fmicb.2019.01866")</f>
        <v>http://dx.doi.org/10.3389/fmicb.2019.01866</v>
      </c>
      <c r="BG107" t="s">
        <v>74</v>
      </c>
      <c r="BH107" t="s">
        <v>74</v>
      </c>
      <c r="BI107">
        <v>15</v>
      </c>
      <c r="BJ107" t="s">
        <v>1514</v>
      </c>
      <c r="BK107" t="s">
        <v>101</v>
      </c>
      <c r="BL107" t="s">
        <v>1514</v>
      </c>
      <c r="BM107" t="s">
        <v>2312</v>
      </c>
      <c r="BN107">
        <v>31456780</v>
      </c>
      <c r="BO107" t="s">
        <v>2313</v>
      </c>
      <c r="BP107" t="s">
        <v>74</v>
      </c>
      <c r="BQ107" t="s">
        <v>74</v>
      </c>
      <c r="BR107" t="s">
        <v>103</v>
      </c>
      <c r="BS107" t="s">
        <v>2314</v>
      </c>
      <c r="BT107" t="str">
        <f>HYPERLINK("https%3A%2F%2Fwww.webofscience.com%2Fwos%2Fwoscc%2Ffull-record%2FWOS:000480537700004","View Full Record in Web of Science")</f>
        <v>View Full Record in Web of Science</v>
      </c>
    </row>
    <row r="108" spans="1:72" x14ac:dyDescent="0.15">
      <c r="A108" t="s">
        <v>72</v>
      </c>
      <c r="B108" t="s">
        <v>2315</v>
      </c>
      <c r="C108" t="s">
        <v>74</v>
      </c>
      <c r="D108" t="s">
        <v>74</v>
      </c>
      <c r="E108" t="s">
        <v>74</v>
      </c>
      <c r="F108" t="s">
        <v>2316</v>
      </c>
      <c r="G108" t="s">
        <v>74</v>
      </c>
      <c r="H108" t="s">
        <v>74</v>
      </c>
      <c r="I108" t="s">
        <v>2317</v>
      </c>
      <c r="J108" t="s">
        <v>2318</v>
      </c>
      <c r="K108" t="s">
        <v>74</v>
      </c>
      <c r="L108" t="s">
        <v>74</v>
      </c>
      <c r="M108" t="s">
        <v>78</v>
      </c>
      <c r="N108" t="s">
        <v>108</v>
      </c>
      <c r="O108" t="s">
        <v>74</v>
      </c>
      <c r="P108" t="s">
        <v>74</v>
      </c>
      <c r="Q108" t="s">
        <v>74</v>
      </c>
      <c r="R108" t="s">
        <v>74</v>
      </c>
      <c r="S108" t="s">
        <v>74</v>
      </c>
      <c r="T108" t="s">
        <v>2319</v>
      </c>
      <c r="U108" t="s">
        <v>2320</v>
      </c>
      <c r="V108" t="s">
        <v>2321</v>
      </c>
      <c r="W108" t="s">
        <v>2322</v>
      </c>
      <c r="X108" t="s">
        <v>2323</v>
      </c>
      <c r="Y108" t="s">
        <v>2324</v>
      </c>
      <c r="Z108" t="s">
        <v>2325</v>
      </c>
      <c r="AA108" t="s">
        <v>2326</v>
      </c>
      <c r="AB108" t="s">
        <v>2327</v>
      </c>
      <c r="AC108" t="s">
        <v>2328</v>
      </c>
      <c r="AD108" t="s">
        <v>2329</v>
      </c>
      <c r="AE108" t="s">
        <v>74</v>
      </c>
      <c r="AF108" t="s">
        <v>74</v>
      </c>
      <c r="AG108">
        <v>109</v>
      </c>
      <c r="AH108">
        <v>28</v>
      </c>
      <c r="AI108">
        <v>28</v>
      </c>
      <c r="AJ108">
        <v>10</v>
      </c>
      <c r="AK108">
        <v>94</v>
      </c>
      <c r="AL108" t="s">
        <v>1140</v>
      </c>
      <c r="AM108" t="s">
        <v>1141</v>
      </c>
      <c r="AN108" t="s">
        <v>1142</v>
      </c>
      <c r="AO108" t="s">
        <v>2330</v>
      </c>
      <c r="AP108" t="s">
        <v>2331</v>
      </c>
      <c r="AQ108" t="s">
        <v>74</v>
      </c>
      <c r="AR108" t="s">
        <v>2332</v>
      </c>
      <c r="AS108" t="s">
        <v>2333</v>
      </c>
      <c r="AT108" t="s">
        <v>2334</v>
      </c>
      <c r="AU108">
        <v>2020</v>
      </c>
      <c r="AV108">
        <v>34</v>
      </c>
      <c r="AW108">
        <v>1</v>
      </c>
      <c r="AX108" t="s">
        <v>74</v>
      </c>
      <c r="AY108" t="s">
        <v>74</v>
      </c>
      <c r="AZ108" t="s">
        <v>74</v>
      </c>
      <c r="BA108" t="s">
        <v>74</v>
      </c>
      <c r="BB108">
        <v>103</v>
      </c>
      <c r="BC108">
        <v>112</v>
      </c>
      <c r="BD108" t="s">
        <v>74</v>
      </c>
      <c r="BE108" t="s">
        <v>2335</v>
      </c>
      <c r="BF108" t="str">
        <f>HYPERLINK("http://dx.doi.org/10.1111/cobi.13378","http://dx.doi.org/10.1111/cobi.13378")</f>
        <v>http://dx.doi.org/10.1111/cobi.13378</v>
      </c>
      <c r="BG108" t="s">
        <v>74</v>
      </c>
      <c r="BH108" t="s">
        <v>1149</v>
      </c>
      <c r="BI108">
        <v>10</v>
      </c>
      <c r="BJ108" t="s">
        <v>1645</v>
      </c>
      <c r="BK108" t="s">
        <v>101</v>
      </c>
      <c r="BL108" t="s">
        <v>1646</v>
      </c>
      <c r="BM108" t="s">
        <v>2336</v>
      </c>
      <c r="BN108">
        <v>31257646</v>
      </c>
      <c r="BO108" t="s">
        <v>2337</v>
      </c>
      <c r="BP108" t="s">
        <v>74</v>
      </c>
      <c r="BQ108" t="s">
        <v>74</v>
      </c>
      <c r="BR108" t="s">
        <v>103</v>
      </c>
      <c r="BS108" t="s">
        <v>2338</v>
      </c>
      <c r="BT108" t="str">
        <f>HYPERLINK("https%3A%2F%2Fwww.webofscience.com%2Fwos%2Fwoscc%2Ffull-record%2FWOS:000481300500001","View Full Record in Web of Science")</f>
        <v>View Full Record in Web of Science</v>
      </c>
    </row>
    <row r="109" spans="1:72" x14ac:dyDescent="0.15">
      <c r="A109" t="s">
        <v>72</v>
      </c>
      <c r="B109" t="s">
        <v>2339</v>
      </c>
      <c r="C109" t="s">
        <v>74</v>
      </c>
      <c r="D109" t="s">
        <v>74</v>
      </c>
      <c r="E109" t="s">
        <v>74</v>
      </c>
      <c r="F109" t="s">
        <v>2340</v>
      </c>
      <c r="G109" t="s">
        <v>74</v>
      </c>
      <c r="H109" t="s">
        <v>74</v>
      </c>
      <c r="I109" t="s">
        <v>2341</v>
      </c>
      <c r="J109" t="s">
        <v>1394</v>
      </c>
      <c r="K109" t="s">
        <v>74</v>
      </c>
      <c r="L109" t="s">
        <v>74</v>
      </c>
      <c r="M109" t="s">
        <v>78</v>
      </c>
      <c r="N109" t="s">
        <v>108</v>
      </c>
      <c r="O109" t="s">
        <v>74</v>
      </c>
      <c r="P109" t="s">
        <v>74</v>
      </c>
      <c r="Q109" t="s">
        <v>74</v>
      </c>
      <c r="R109" t="s">
        <v>74</v>
      </c>
      <c r="S109" t="s">
        <v>74</v>
      </c>
      <c r="T109" t="s">
        <v>2342</v>
      </c>
      <c r="U109" t="s">
        <v>2343</v>
      </c>
      <c r="V109" t="s">
        <v>2344</v>
      </c>
      <c r="W109" t="s">
        <v>2345</v>
      </c>
      <c r="X109" t="s">
        <v>2346</v>
      </c>
      <c r="Y109" t="s">
        <v>2347</v>
      </c>
      <c r="Z109" t="s">
        <v>2348</v>
      </c>
      <c r="AA109" t="s">
        <v>74</v>
      </c>
      <c r="AB109" t="s">
        <v>2349</v>
      </c>
      <c r="AC109" t="s">
        <v>2350</v>
      </c>
      <c r="AD109" t="s">
        <v>2351</v>
      </c>
      <c r="AE109" t="s">
        <v>2352</v>
      </c>
      <c r="AF109" t="s">
        <v>74</v>
      </c>
      <c r="AG109">
        <v>99</v>
      </c>
      <c r="AH109">
        <v>4</v>
      </c>
      <c r="AI109">
        <v>4</v>
      </c>
      <c r="AJ109">
        <v>0</v>
      </c>
      <c r="AK109">
        <v>10</v>
      </c>
      <c r="AL109" t="s">
        <v>1407</v>
      </c>
      <c r="AM109" t="s">
        <v>1408</v>
      </c>
      <c r="AN109" t="s">
        <v>1409</v>
      </c>
      <c r="AO109" t="s">
        <v>1410</v>
      </c>
      <c r="AP109" t="s">
        <v>1411</v>
      </c>
      <c r="AQ109" t="s">
        <v>74</v>
      </c>
      <c r="AR109" t="s">
        <v>1412</v>
      </c>
      <c r="AS109" t="s">
        <v>1413</v>
      </c>
      <c r="AT109" t="s">
        <v>2310</v>
      </c>
      <c r="AU109">
        <v>2019</v>
      </c>
      <c r="AV109">
        <v>61</v>
      </c>
      <c r="AW109">
        <v>12</v>
      </c>
      <c r="AX109" t="s">
        <v>74</v>
      </c>
      <c r="AY109" t="s">
        <v>74</v>
      </c>
      <c r="AZ109" t="s">
        <v>74</v>
      </c>
      <c r="BA109" t="s">
        <v>74</v>
      </c>
      <c r="BB109">
        <v>1429</v>
      </c>
      <c r="BC109">
        <v>1445</v>
      </c>
      <c r="BD109" t="s">
        <v>74</v>
      </c>
      <c r="BE109" t="s">
        <v>2353</v>
      </c>
      <c r="BF109" t="str">
        <f>HYPERLINK("http://dx.doi.org/10.1080/00206814.2018.1514669","http://dx.doi.org/10.1080/00206814.2018.1514669")</f>
        <v>http://dx.doi.org/10.1080/00206814.2018.1514669</v>
      </c>
      <c r="BG109" t="s">
        <v>74</v>
      </c>
      <c r="BH109" t="s">
        <v>74</v>
      </c>
      <c r="BI109">
        <v>17</v>
      </c>
      <c r="BJ109" t="s">
        <v>472</v>
      </c>
      <c r="BK109" t="s">
        <v>101</v>
      </c>
      <c r="BL109" t="s">
        <v>472</v>
      </c>
      <c r="BM109" t="s">
        <v>2354</v>
      </c>
      <c r="BN109" t="s">
        <v>74</v>
      </c>
      <c r="BO109" t="s">
        <v>1648</v>
      </c>
      <c r="BP109" t="s">
        <v>74</v>
      </c>
      <c r="BQ109" t="s">
        <v>74</v>
      </c>
      <c r="BR109" t="s">
        <v>103</v>
      </c>
      <c r="BS109" t="s">
        <v>2355</v>
      </c>
      <c r="BT109" t="str">
        <f>HYPERLINK("https%3A%2F%2Fwww.webofscience.com%2Fwos%2Fwoscc%2Ffull-record%2FWOS:000472100300001","View Full Record in Web of Science")</f>
        <v>View Full Record in Web of Science</v>
      </c>
    </row>
    <row r="110" spans="1:72" x14ac:dyDescent="0.15">
      <c r="A110" t="s">
        <v>72</v>
      </c>
      <c r="B110" t="s">
        <v>2356</v>
      </c>
      <c r="C110" t="s">
        <v>74</v>
      </c>
      <c r="D110" t="s">
        <v>74</v>
      </c>
      <c r="E110" t="s">
        <v>74</v>
      </c>
      <c r="F110" t="s">
        <v>2357</v>
      </c>
      <c r="G110" t="s">
        <v>74</v>
      </c>
      <c r="H110" t="s">
        <v>74</v>
      </c>
      <c r="I110" t="s">
        <v>2358</v>
      </c>
      <c r="J110" t="s">
        <v>2359</v>
      </c>
      <c r="K110" t="s">
        <v>74</v>
      </c>
      <c r="L110" t="s">
        <v>74</v>
      </c>
      <c r="M110" t="s">
        <v>78</v>
      </c>
      <c r="N110" t="s">
        <v>108</v>
      </c>
      <c r="O110" t="s">
        <v>74</v>
      </c>
      <c r="P110" t="s">
        <v>74</v>
      </c>
      <c r="Q110" t="s">
        <v>74</v>
      </c>
      <c r="R110" t="s">
        <v>74</v>
      </c>
      <c r="S110" t="s">
        <v>74</v>
      </c>
      <c r="T110" t="s">
        <v>2360</v>
      </c>
      <c r="U110" t="s">
        <v>2361</v>
      </c>
      <c r="V110" t="s">
        <v>2362</v>
      </c>
      <c r="W110" t="s">
        <v>2363</v>
      </c>
      <c r="X110" t="s">
        <v>2364</v>
      </c>
      <c r="Y110" t="s">
        <v>2365</v>
      </c>
      <c r="Z110" t="s">
        <v>2366</v>
      </c>
      <c r="AA110" t="s">
        <v>2367</v>
      </c>
      <c r="AB110" t="s">
        <v>2368</v>
      </c>
      <c r="AC110" t="s">
        <v>2369</v>
      </c>
      <c r="AD110" t="s">
        <v>2370</v>
      </c>
      <c r="AE110" t="s">
        <v>2371</v>
      </c>
      <c r="AF110" t="s">
        <v>74</v>
      </c>
      <c r="AG110">
        <v>54</v>
      </c>
      <c r="AH110">
        <v>7</v>
      </c>
      <c r="AI110">
        <v>7</v>
      </c>
      <c r="AJ110">
        <v>0</v>
      </c>
      <c r="AK110">
        <v>14</v>
      </c>
      <c r="AL110" t="s">
        <v>92</v>
      </c>
      <c r="AM110" t="s">
        <v>93</v>
      </c>
      <c r="AN110" t="s">
        <v>94</v>
      </c>
      <c r="AO110" t="s">
        <v>2372</v>
      </c>
      <c r="AP110" t="s">
        <v>2373</v>
      </c>
      <c r="AQ110" t="s">
        <v>74</v>
      </c>
      <c r="AR110" t="s">
        <v>2374</v>
      </c>
      <c r="AS110" t="s">
        <v>2375</v>
      </c>
      <c r="AT110" t="s">
        <v>2376</v>
      </c>
      <c r="AU110">
        <v>2019</v>
      </c>
      <c r="AV110">
        <v>525</v>
      </c>
      <c r="AW110" t="s">
        <v>74</v>
      </c>
      <c r="AX110" t="s">
        <v>74</v>
      </c>
      <c r="AY110" t="s">
        <v>74</v>
      </c>
      <c r="AZ110" t="s">
        <v>74</v>
      </c>
      <c r="BA110" t="s">
        <v>74</v>
      </c>
      <c r="BB110">
        <v>151</v>
      </c>
      <c r="BC110">
        <v>158</v>
      </c>
      <c r="BD110" t="s">
        <v>74</v>
      </c>
      <c r="BE110" t="s">
        <v>2377</v>
      </c>
      <c r="BF110" t="str">
        <f>HYPERLINK("http://dx.doi.org/10.1016/j.quaint.2019.07.016","http://dx.doi.org/10.1016/j.quaint.2019.07.016")</f>
        <v>http://dx.doi.org/10.1016/j.quaint.2019.07.016</v>
      </c>
      <c r="BG110" t="s">
        <v>74</v>
      </c>
      <c r="BH110" t="s">
        <v>74</v>
      </c>
      <c r="BI110">
        <v>8</v>
      </c>
      <c r="BJ110" t="s">
        <v>310</v>
      </c>
      <c r="BK110" t="s">
        <v>101</v>
      </c>
      <c r="BL110" t="s">
        <v>311</v>
      </c>
      <c r="BM110" t="s">
        <v>2378</v>
      </c>
      <c r="BN110" t="s">
        <v>74</v>
      </c>
      <c r="BO110" t="s">
        <v>74</v>
      </c>
      <c r="BP110" t="s">
        <v>74</v>
      </c>
      <c r="BQ110" t="s">
        <v>74</v>
      </c>
      <c r="BR110" t="s">
        <v>103</v>
      </c>
      <c r="BS110" t="s">
        <v>2379</v>
      </c>
      <c r="BT110" t="str">
        <f>HYPERLINK("https%3A%2F%2Fwww.webofscience.com%2Fwos%2Fwoscc%2Ffull-record%2FWOS:000487248200013","View Full Record in Web of Science")</f>
        <v>View Full Record in Web of Science</v>
      </c>
    </row>
    <row r="111" spans="1:72" x14ac:dyDescent="0.15">
      <c r="A111" t="s">
        <v>72</v>
      </c>
      <c r="B111" t="s">
        <v>2380</v>
      </c>
      <c r="C111" t="s">
        <v>74</v>
      </c>
      <c r="D111" t="s">
        <v>74</v>
      </c>
      <c r="E111" t="s">
        <v>74</v>
      </c>
      <c r="F111" t="s">
        <v>2381</v>
      </c>
      <c r="G111" t="s">
        <v>74</v>
      </c>
      <c r="H111" t="s">
        <v>74</v>
      </c>
      <c r="I111" t="s">
        <v>2382</v>
      </c>
      <c r="J111" t="s">
        <v>2383</v>
      </c>
      <c r="K111" t="s">
        <v>74</v>
      </c>
      <c r="L111" t="s">
        <v>74</v>
      </c>
      <c r="M111" t="s">
        <v>78</v>
      </c>
      <c r="N111" t="s">
        <v>108</v>
      </c>
      <c r="O111" t="s">
        <v>74</v>
      </c>
      <c r="P111" t="s">
        <v>74</v>
      </c>
      <c r="Q111" t="s">
        <v>74</v>
      </c>
      <c r="R111" t="s">
        <v>74</v>
      </c>
      <c r="S111" t="s">
        <v>74</v>
      </c>
      <c r="T111" t="s">
        <v>2384</v>
      </c>
      <c r="U111" t="s">
        <v>2385</v>
      </c>
      <c r="V111" t="s">
        <v>2386</v>
      </c>
      <c r="W111" t="s">
        <v>2387</v>
      </c>
      <c r="X111" t="s">
        <v>2388</v>
      </c>
      <c r="Y111" t="s">
        <v>2389</v>
      </c>
      <c r="Z111" t="s">
        <v>2390</v>
      </c>
      <c r="AA111" t="s">
        <v>2391</v>
      </c>
      <c r="AB111" t="s">
        <v>2392</v>
      </c>
      <c r="AC111" t="s">
        <v>2393</v>
      </c>
      <c r="AD111" t="s">
        <v>2394</v>
      </c>
      <c r="AE111" t="s">
        <v>2395</v>
      </c>
      <c r="AF111" t="s">
        <v>74</v>
      </c>
      <c r="AG111">
        <v>32</v>
      </c>
      <c r="AH111">
        <v>4</v>
      </c>
      <c r="AI111">
        <v>4</v>
      </c>
      <c r="AJ111">
        <v>1</v>
      </c>
      <c r="AK111">
        <v>31</v>
      </c>
      <c r="AL111" t="s">
        <v>2396</v>
      </c>
      <c r="AM111" t="s">
        <v>2397</v>
      </c>
      <c r="AN111" t="s">
        <v>2398</v>
      </c>
      <c r="AO111" t="s">
        <v>2399</v>
      </c>
      <c r="AP111" t="s">
        <v>2400</v>
      </c>
      <c r="AQ111" t="s">
        <v>74</v>
      </c>
      <c r="AR111" t="s">
        <v>2383</v>
      </c>
      <c r="AS111" t="s">
        <v>2401</v>
      </c>
      <c r="AT111" t="s">
        <v>2376</v>
      </c>
      <c r="AU111">
        <v>2019</v>
      </c>
      <c r="AV111">
        <v>9</v>
      </c>
      <c r="AW111">
        <v>9</v>
      </c>
      <c r="AX111" t="s">
        <v>74</v>
      </c>
      <c r="AY111" t="s">
        <v>74</v>
      </c>
      <c r="AZ111" t="s">
        <v>74</v>
      </c>
      <c r="BA111" t="s">
        <v>74</v>
      </c>
      <c r="BB111" t="s">
        <v>74</v>
      </c>
      <c r="BC111" t="s">
        <v>74</v>
      </c>
      <c r="BD111">
        <v>328</v>
      </c>
      <c r="BE111" t="s">
        <v>2402</v>
      </c>
      <c r="BF111" t="str">
        <f>HYPERLINK("http://dx.doi.org/10.1007/s13205-019-1858-6","http://dx.doi.org/10.1007/s13205-019-1858-6")</f>
        <v>http://dx.doi.org/10.1007/s13205-019-1858-6</v>
      </c>
      <c r="BG111" t="s">
        <v>74</v>
      </c>
      <c r="BH111" t="s">
        <v>74</v>
      </c>
      <c r="BI111">
        <v>9</v>
      </c>
      <c r="BJ111" t="s">
        <v>1826</v>
      </c>
      <c r="BK111" t="s">
        <v>101</v>
      </c>
      <c r="BL111" t="s">
        <v>1826</v>
      </c>
      <c r="BM111" t="s">
        <v>2403</v>
      </c>
      <c r="BN111">
        <v>31406650</v>
      </c>
      <c r="BO111" t="s">
        <v>261</v>
      </c>
      <c r="BP111" t="s">
        <v>74</v>
      </c>
      <c r="BQ111" t="s">
        <v>74</v>
      </c>
      <c r="BR111" t="s">
        <v>103</v>
      </c>
      <c r="BS111" t="s">
        <v>2404</v>
      </c>
      <c r="BT111" t="str">
        <f>HYPERLINK("https%3A%2F%2Fwww.webofscience.com%2Fwos%2Fwoscc%2Ffull-record%2FWOS:000480577400002","View Full Record in Web of Science")</f>
        <v>View Full Record in Web of Science</v>
      </c>
    </row>
    <row r="112" spans="1:72" x14ac:dyDescent="0.15">
      <c r="A112" t="s">
        <v>72</v>
      </c>
      <c r="B112" t="s">
        <v>2405</v>
      </c>
      <c r="C112" t="s">
        <v>74</v>
      </c>
      <c r="D112" t="s">
        <v>74</v>
      </c>
      <c r="E112" t="s">
        <v>74</v>
      </c>
      <c r="F112" t="s">
        <v>2406</v>
      </c>
      <c r="G112" t="s">
        <v>74</v>
      </c>
      <c r="H112" t="s">
        <v>74</v>
      </c>
      <c r="I112" t="s">
        <v>2407</v>
      </c>
      <c r="J112" t="s">
        <v>2408</v>
      </c>
      <c r="K112" t="s">
        <v>74</v>
      </c>
      <c r="L112" t="s">
        <v>74</v>
      </c>
      <c r="M112" t="s">
        <v>78</v>
      </c>
      <c r="N112" t="s">
        <v>108</v>
      </c>
      <c r="O112" t="s">
        <v>74</v>
      </c>
      <c r="P112" t="s">
        <v>74</v>
      </c>
      <c r="Q112" t="s">
        <v>74</v>
      </c>
      <c r="R112" t="s">
        <v>74</v>
      </c>
      <c r="S112" t="s">
        <v>74</v>
      </c>
      <c r="T112" t="s">
        <v>2409</v>
      </c>
      <c r="U112" t="s">
        <v>2410</v>
      </c>
      <c r="V112" t="s">
        <v>2411</v>
      </c>
      <c r="W112" t="s">
        <v>2412</v>
      </c>
      <c r="X112" t="s">
        <v>2413</v>
      </c>
      <c r="Y112" t="s">
        <v>2414</v>
      </c>
      <c r="Z112" t="s">
        <v>2415</v>
      </c>
      <c r="AA112" t="s">
        <v>2416</v>
      </c>
      <c r="AB112" t="s">
        <v>2417</v>
      </c>
      <c r="AC112" t="s">
        <v>2418</v>
      </c>
      <c r="AD112" t="s">
        <v>2419</v>
      </c>
      <c r="AE112" t="s">
        <v>2420</v>
      </c>
      <c r="AF112" t="s">
        <v>74</v>
      </c>
      <c r="AG112">
        <v>95</v>
      </c>
      <c r="AH112">
        <v>6</v>
      </c>
      <c r="AI112">
        <v>6</v>
      </c>
      <c r="AJ112">
        <v>0</v>
      </c>
      <c r="AK112">
        <v>16</v>
      </c>
      <c r="AL112" t="s">
        <v>2421</v>
      </c>
      <c r="AM112" t="s">
        <v>2422</v>
      </c>
      <c r="AN112" t="s">
        <v>2423</v>
      </c>
      <c r="AO112" t="s">
        <v>2424</v>
      </c>
      <c r="AP112" t="s">
        <v>74</v>
      </c>
      <c r="AQ112" t="s">
        <v>74</v>
      </c>
      <c r="AR112" t="s">
        <v>2425</v>
      </c>
      <c r="AS112" t="s">
        <v>2426</v>
      </c>
      <c r="AT112" t="s">
        <v>2427</v>
      </c>
      <c r="AU112">
        <v>2019</v>
      </c>
      <c r="AV112">
        <v>7</v>
      </c>
      <c r="AW112" t="s">
        <v>74</v>
      </c>
      <c r="AX112" t="s">
        <v>74</v>
      </c>
      <c r="AY112" t="s">
        <v>74</v>
      </c>
      <c r="AZ112" t="s">
        <v>74</v>
      </c>
      <c r="BA112" t="s">
        <v>74</v>
      </c>
      <c r="BB112" t="s">
        <v>74</v>
      </c>
      <c r="BC112" t="s">
        <v>74</v>
      </c>
      <c r="BD112">
        <v>33</v>
      </c>
      <c r="BE112" t="s">
        <v>2428</v>
      </c>
      <c r="BF112" t="str">
        <f>HYPERLINK("http://dx.doi.org/10.1525/elementa.370","http://dx.doi.org/10.1525/elementa.370")</f>
        <v>http://dx.doi.org/10.1525/elementa.370</v>
      </c>
      <c r="BG112" t="s">
        <v>74</v>
      </c>
      <c r="BH112" t="s">
        <v>74</v>
      </c>
      <c r="BI112">
        <v>23</v>
      </c>
      <c r="BJ112" t="s">
        <v>2267</v>
      </c>
      <c r="BK112" t="s">
        <v>101</v>
      </c>
      <c r="BL112" t="s">
        <v>2268</v>
      </c>
      <c r="BM112" t="s">
        <v>2429</v>
      </c>
      <c r="BN112" t="s">
        <v>74</v>
      </c>
      <c r="BO112" t="s">
        <v>2313</v>
      </c>
      <c r="BP112" t="s">
        <v>74</v>
      </c>
      <c r="BQ112" t="s">
        <v>74</v>
      </c>
      <c r="BR112" t="s">
        <v>103</v>
      </c>
      <c r="BS112" t="s">
        <v>2430</v>
      </c>
      <c r="BT112" t="str">
        <f>HYPERLINK("https%3A%2F%2Fwww.webofscience.com%2Fwos%2Fwoscc%2Ffull-record%2FWOS:000481621100001","View Full Record in Web of Science")</f>
        <v>View Full Record in Web of Science</v>
      </c>
    </row>
    <row r="113" spans="1:72" x14ac:dyDescent="0.15">
      <c r="A113" t="s">
        <v>72</v>
      </c>
      <c r="B113" t="s">
        <v>2431</v>
      </c>
      <c r="C113" t="s">
        <v>74</v>
      </c>
      <c r="D113" t="s">
        <v>74</v>
      </c>
      <c r="E113" t="s">
        <v>74</v>
      </c>
      <c r="F113" t="s">
        <v>2432</v>
      </c>
      <c r="G113" t="s">
        <v>74</v>
      </c>
      <c r="H113" t="s">
        <v>74</v>
      </c>
      <c r="I113" t="s">
        <v>2433</v>
      </c>
      <c r="J113" t="s">
        <v>2434</v>
      </c>
      <c r="K113" t="s">
        <v>74</v>
      </c>
      <c r="L113" t="s">
        <v>74</v>
      </c>
      <c r="M113" t="s">
        <v>78</v>
      </c>
      <c r="N113" t="s">
        <v>108</v>
      </c>
      <c r="O113" t="s">
        <v>74</v>
      </c>
      <c r="P113" t="s">
        <v>74</v>
      </c>
      <c r="Q113" t="s">
        <v>74</v>
      </c>
      <c r="R113" t="s">
        <v>74</v>
      </c>
      <c r="S113" t="s">
        <v>74</v>
      </c>
      <c r="T113" t="s">
        <v>2435</v>
      </c>
      <c r="U113" t="s">
        <v>2436</v>
      </c>
      <c r="V113" t="s">
        <v>2437</v>
      </c>
      <c r="W113" t="s">
        <v>2438</v>
      </c>
      <c r="X113" t="s">
        <v>2439</v>
      </c>
      <c r="Y113" t="s">
        <v>2440</v>
      </c>
      <c r="Z113" t="s">
        <v>2441</v>
      </c>
      <c r="AA113" t="s">
        <v>2442</v>
      </c>
      <c r="AB113" t="s">
        <v>2443</v>
      </c>
      <c r="AC113" t="s">
        <v>74</v>
      </c>
      <c r="AD113" t="s">
        <v>74</v>
      </c>
      <c r="AE113" t="s">
        <v>74</v>
      </c>
      <c r="AF113" t="s">
        <v>74</v>
      </c>
      <c r="AG113">
        <v>59</v>
      </c>
      <c r="AH113">
        <v>11</v>
      </c>
      <c r="AI113">
        <v>14</v>
      </c>
      <c r="AJ113">
        <v>1</v>
      </c>
      <c r="AK113">
        <v>52</v>
      </c>
      <c r="AL113" t="s">
        <v>1274</v>
      </c>
      <c r="AM113" t="s">
        <v>1275</v>
      </c>
      <c r="AN113" t="s">
        <v>1276</v>
      </c>
      <c r="AO113" t="s">
        <v>2444</v>
      </c>
      <c r="AP113" t="s">
        <v>2445</v>
      </c>
      <c r="AQ113" t="s">
        <v>74</v>
      </c>
      <c r="AR113" t="s">
        <v>2446</v>
      </c>
      <c r="AS113" t="s">
        <v>2447</v>
      </c>
      <c r="AT113" t="s">
        <v>74</v>
      </c>
      <c r="AU113">
        <v>2020</v>
      </c>
      <c r="AV113">
        <v>54</v>
      </c>
      <c r="AW113">
        <v>1</v>
      </c>
      <c r="AX113" t="s">
        <v>74</v>
      </c>
      <c r="AY113" t="s">
        <v>74</v>
      </c>
      <c r="AZ113" t="s">
        <v>74</v>
      </c>
      <c r="BA113" t="s">
        <v>74</v>
      </c>
      <c r="BB113">
        <v>1</v>
      </c>
      <c r="BC113">
        <v>23</v>
      </c>
      <c r="BD113" t="s">
        <v>74</v>
      </c>
      <c r="BE113" t="s">
        <v>2448</v>
      </c>
      <c r="BF113" t="str">
        <f>HYPERLINK("http://dx.doi.org/10.1080/00288330.2019.1619598","http://dx.doi.org/10.1080/00288330.2019.1619598")</f>
        <v>http://dx.doi.org/10.1080/00288330.2019.1619598</v>
      </c>
      <c r="BG113" t="s">
        <v>74</v>
      </c>
      <c r="BH113" t="s">
        <v>1149</v>
      </c>
      <c r="BI113">
        <v>23</v>
      </c>
      <c r="BJ113" t="s">
        <v>2449</v>
      </c>
      <c r="BK113" t="s">
        <v>101</v>
      </c>
      <c r="BL113" t="s">
        <v>2449</v>
      </c>
      <c r="BM113" t="s">
        <v>2450</v>
      </c>
      <c r="BN113" t="s">
        <v>74</v>
      </c>
      <c r="BO113" t="s">
        <v>74</v>
      </c>
      <c r="BP113" t="s">
        <v>74</v>
      </c>
      <c r="BQ113" t="s">
        <v>74</v>
      </c>
      <c r="BR113" t="s">
        <v>103</v>
      </c>
      <c r="BS113" t="s">
        <v>2451</v>
      </c>
      <c r="BT113" t="str">
        <f>HYPERLINK("https%3A%2F%2Fwww.webofscience.com%2Fwos%2Fwoscc%2Ffull-record%2FWOS:000481231800001","View Full Record in Web of Science")</f>
        <v>View Full Record in Web of Science</v>
      </c>
    </row>
    <row r="114" spans="1:72" x14ac:dyDescent="0.15">
      <c r="A114" t="s">
        <v>72</v>
      </c>
      <c r="B114" t="s">
        <v>2452</v>
      </c>
      <c r="C114" t="s">
        <v>74</v>
      </c>
      <c r="D114" t="s">
        <v>74</v>
      </c>
      <c r="E114" t="s">
        <v>74</v>
      </c>
      <c r="F114" t="s">
        <v>2453</v>
      </c>
      <c r="G114" t="s">
        <v>74</v>
      </c>
      <c r="H114" t="s">
        <v>74</v>
      </c>
      <c r="I114" t="s">
        <v>2454</v>
      </c>
      <c r="J114" t="s">
        <v>2455</v>
      </c>
      <c r="K114" t="s">
        <v>74</v>
      </c>
      <c r="L114" t="s">
        <v>74</v>
      </c>
      <c r="M114" t="s">
        <v>78</v>
      </c>
      <c r="N114" t="s">
        <v>108</v>
      </c>
      <c r="O114" t="s">
        <v>74</v>
      </c>
      <c r="P114" t="s">
        <v>74</v>
      </c>
      <c r="Q114" t="s">
        <v>74</v>
      </c>
      <c r="R114" t="s">
        <v>74</v>
      </c>
      <c r="S114" t="s">
        <v>74</v>
      </c>
      <c r="T114" t="s">
        <v>74</v>
      </c>
      <c r="U114" t="s">
        <v>2456</v>
      </c>
      <c r="V114" t="s">
        <v>2457</v>
      </c>
      <c r="W114" t="s">
        <v>2458</v>
      </c>
      <c r="X114" t="s">
        <v>2459</v>
      </c>
      <c r="Y114" t="s">
        <v>2460</v>
      </c>
      <c r="Z114" t="s">
        <v>2461</v>
      </c>
      <c r="AA114" t="s">
        <v>2462</v>
      </c>
      <c r="AB114" t="s">
        <v>2463</v>
      </c>
      <c r="AC114" t="s">
        <v>2464</v>
      </c>
      <c r="AD114" t="s">
        <v>2465</v>
      </c>
      <c r="AE114" t="s">
        <v>2466</v>
      </c>
      <c r="AF114" t="s">
        <v>74</v>
      </c>
      <c r="AG114">
        <v>94</v>
      </c>
      <c r="AH114">
        <v>13</v>
      </c>
      <c r="AI114">
        <v>15</v>
      </c>
      <c r="AJ114">
        <v>1</v>
      </c>
      <c r="AK114">
        <v>7</v>
      </c>
      <c r="AL114" t="s">
        <v>839</v>
      </c>
      <c r="AM114" t="s">
        <v>840</v>
      </c>
      <c r="AN114" t="s">
        <v>841</v>
      </c>
      <c r="AO114" t="s">
        <v>2467</v>
      </c>
      <c r="AP114" t="s">
        <v>2468</v>
      </c>
      <c r="AQ114" t="s">
        <v>74</v>
      </c>
      <c r="AR114" t="s">
        <v>2469</v>
      </c>
      <c r="AS114" t="s">
        <v>2470</v>
      </c>
      <c r="AT114" t="s">
        <v>2471</v>
      </c>
      <c r="AU114">
        <v>2019</v>
      </c>
      <c r="AV114">
        <v>15</v>
      </c>
      <c r="AW114">
        <v>4</v>
      </c>
      <c r="AX114" t="s">
        <v>74</v>
      </c>
      <c r="AY114" t="s">
        <v>74</v>
      </c>
      <c r="AZ114" t="s">
        <v>74</v>
      </c>
      <c r="BA114" t="s">
        <v>74</v>
      </c>
      <c r="BB114">
        <v>1537</v>
      </c>
      <c r="BC114">
        <v>1556</v>
      </c>
      <c r="BD114" t="s">
        <v>74</v>
      </c>
      <c r="BE114" t="s">
        <v>2472</v>
      </c>
      <c r="BF114" t="str">
        <f>HYPERLINK("http://dx.doi.org/10.5194/cp-15-1537-2019","http://dx.doi.org/10.5194/cp-15-1537-2019")</f>
        <v>http://dx.doi.org/10.5194/cp-15-1537-2019</v>
      </c>
      <c r="BG114" t="s">
        <v>74</v>
      </c>
      <c r="BH114" t="s">
        <v>74</v>
      </c>
      <c r="BI114">
        <v>20</v>
      </c>
      <c r="BJ114" t="s">
        <v>2473</v>
      </c>
      <c r="BK114" t="s">
        <v>101</v>
      </c>
      <c r="BL114" t="s">
        <v>2474</v>
      </c>
      <c r="BM114" t="s">
        <v>2475</v>
      </c>
      <c r="BN114" t="s">
        <v>74</v>
      </c>
      <c r="BO114" t="s">
        <v>2476</v>
      </c>
      <c r="BP114" t="s">
        <v>74</v>
      </c>
      <c r="BQ114" t="s">
        <v>74</v>
      </c>
      <c r="BR114" t="s">
        <v>103</v>
      </c>
      <c r="BS114" t="s">
        <v>2477</v>
      </c>
      <c r="BT114" t="str">
        <f>HYPERLINK("https%3A%2F%2Fwww.webofscience.com%2Fwos%2Fwoscc%2Ffull-record%2FWOS:000480290300002","View Full Record in Web of Science")</f>
        <v>View Full Record in Web of Science</v>
      </c>
    </row>
    <row r="115" spans="1:72" x14ac:dyDescent="0.15">
      <c r="A115" t="s">
        <v>72</v>
      </c>
      <c r="B115" t="s">
        <v>2478</v>
      </c>
      <c r="C115" t="s">
        <v>74</v>
      </c>
      <c r="D115" t="s">
        <v>74</v>
      </c>
      <c r="E115" t="s">
        <v>74</v>
      </c>
      <c r="F115" t="s">
        <v>2479</v>
      </c>
      <c r="G115" t="s">
        <v>74</v>
      </c>
      <c r="H115" t="s">
        <v>74</v>
      </c>
      <c r="I115" t="s">
        <v>2480</v>
      </c>
      <c r="J115" t="s">
        <v>855</v>
      </c>
      <c r="K115" t="s">
        <v>74</v>
      </c>
      <c r="L115" t="s">
        <v>74</v>
      </c>
      <c r="M115" t="s">
        <v>78</v>
      </c>
      <c r="N115" t="s">
        <v>79</v>
      </c>
      <c r="O115" t="s">
        <v>74</v>
      </c>
      <c r="P115" t="s">
        <v>74</v>
      </c>
      <c r="Q115" t="s">
        <v>74</v>
      </c>
      <c r="R115" t="s">
        <v>74</v>
      </c>
      <c r="S115" t="s">
        <v>74</v>
      </c>
      <c r="T115" t="s">
        <v>2481</v>
      </c>
      <c r="U115" t="s">
        <v>2482</v>
      </c>
      <c r="V115" t="s">
        <v>2483</v>
      </c>
      <c r="W115" t="s">
        <v>2484</v>
      </c>
      <c r="X115" t="s">
        <v>2485</v>
      </c>
      <c r="Y115" t="s">
        <v>2486</v>
      </c>
      <c r="Z115" t="s">
        <v>2487</v>
      </c>
      <c r="AA115" t="s">
        <v>2488</v>
      </c>
      <c r="AB115" t="s">
        <v>2489</v>
      </c>
      <c r="AC115" t="s">
        <v>2490</v>
      </c>
      <c r="AD115" t="s">
        <v>2491</v>
      </c>
      <c r="AE115" t="s">
        <v>2492</v>
      </c>
      <c r="AF115" t="s">
        <v>74</v>
      </c>
      <c r="AG115">
        <v>483</v>
      </c>
      <c r="AH115">
        <v>37</v>
      </c>
      <c r="AI115">
        <v>41</v>
      </c>
      <c r="AJ115">
        <v>7</v>
      </c>
      <c r="AK115">
        <v>66</v>
      </c>
      <c r="AL115" t="s">
        <v>868</v>
      </c>
      <c r="AM115" t="s">
        <v>869</v>
      </c>
      <c r="AN115" t="s">
        <v>870</v>
      </c>
      <c r="AO115" t="s">
        <v>74</v>
      </c>
      <c r="AP115" t="s">
        <v>871</v>
      </c>
      <c r="AQ115" t="s">
        <v>74</v>
      </c>
      <c r="AR115" t="s">
        <v>872</v>
      </c>
      <c r="AS115" t="s">
        <v>873</v>
      </c>
      <c r="AT115" t="s">
        <v>2471</v>
      </c>
      <c r="AU115">
        <v>2019</v>
      </c>
      <c r="AV115">
        <v>6</v>
      </c>
      <c r="AW115" t="s">
        <v>74</v>
      </c>
      <c r="AX115" t="s">
        <v>74</v>
      </c>
      <c r="AY115" t="s">
        <v>74</v>
      </c>
      <c r="AZ115" t="s">
        <v>74</v>
      </c>
      <c r="BA115" t="s">
        <v>74</v>
      </c>
      <c r="BB115" t="s">
        <v>74</v>
      </c>
      <c r="BC115" t="s">
        <v>74</v>
      </c>
      <c r="BD115">
        <v>423</v>
      </c>
      <c r="BE115" t="s">
        <v>2493</v>
      </c>
      <c r="BF115" t="str">
        <f>HYPERLINK("http://dx.doi.org/10.3389/fmars.2019.00423","http://dx.doi.org/10.3389/fmars.2019.00423")</f>
        <v>http://dx.doi.org/10.3389/fmars.2019.00423</v>
      </c>
      <c r="BG115" t="s">
        <v>74</v>
      </c>
      <c r="BH115" t="s">
        <v>74</v>
      </c>
      <c r="BI115">
        <v>38</v>
      </c>
      <c r="BJ115" t="s">
        <v>876</v>
      </c>
      <c r="BK115" t="s">
        <v>101</v>
      </c>
      <c r="BL115" t="s">
        <v>877</v>
      </c>
      <c r="BM115" t="s">
        <v>2494</v>
      </c>
      <c r="BN115" t="s">
        <v>74</v>
      </c>
      <c r="BO115" t="s">
        <v>1368</v>
      </c>
      <c r="BP115" t="s">
        <v>74</v>
      </c>
      <c r="BQ115" t="s">
        <v>74</v>
      </c>
      <c r="BR115" t="s">
        <v>103</v>
      </c>
      <c r="BS115" t="s">
        <v>2495</v>
      </c>
      <c r="BT115" t="str">
        <f>HYPERLINK("https%3A%2F%2Fwww.webofscience.com%2Fwos%2Fwoscc%2Ffull-record%2FWOS:000479256700001","View Full Record in Web of Science")</f>
        <v>View Full Record in Web of Science</v>
      </c>
    </row>
    <row r="116" spans="1:72" x14ac:dyDescent="0.15">
      <c r="A116" t="s">
        <v>72</v>
      </c>
      <c r="B116" t="s">
        <v>2496</v>
      </c>
      <c r="C116" t="s">
        <v>74</v>
      </c>
      <c r="D116" t="s">
        <v>74</v>
      </c>
      <c r="E116" t="s">
        <v>74</v>
      </c>
      <c r="F116" t="s">
        <v>2497</v>
      </c>
      <c r="G116" t="s">
        <v>74</v>
      </c>
      <c r="H116" t="s">
        <v>74</v>
      </c>
      <c r="I116" t="s">
        <v>2498</v>
      </c>
      <c r="J116" t="s">
        <v>1373</v>
      </c>
      <c r="K116" t="s">
        <v>74</v>
      </c>
      <c r="L116" t="s">
        <v>74</v>
      </c>
      <c r="M116" t="s">
        <v>78</v>
      </c>
      <c r="N116" t="s">
        <v>108</v>
      </c>
      <c r="O116" t="s">
        <v>74</v>
      </c>
      <c r="P116" t="s">
        <v>74</v>
      </c>
      <c r="Q116" t="s">
        <v>74</v>
      </c>
      <c r="R116" t="s">
        <v>74</v>
      </c>
      <c r="S116" t="s">
        <v>74</v>
      </c>
      <c r="T116" t="s">
        <v>74</v>
      </c>
      <c r="U116" t="s">
        <v>2499</v>
      </c>
      <c r="V116" t="s">
        <v>2500</v>
      </c>
      <c r="W116" t="s">
        <v>2501</v>
      </c>
      <c r="X116" t="s">
        <v>2502</v>
      </c>
      <c r="Y116" t="s">
        <v>2503</v>
      </c>
      <c r="Z116" t="s">
        <v>2504</v>
      </c>
      <c r="AA116" t="s">
        <v>2505</v>
      </c>
      <c r="AB116" t="s">
        <v>2506</v>
      </c>
      <c r="AC116" t="s">
        <v>2507</v>
      </c>
      <c r="AD116" t="s">
        <v>2508</v>
      </c>
      <c r="AE116" t="s">
        <v>2509</v>
      </c>
      <c r="AF116" t="s">
        <v>74</v>
      </c>
      <c r="AG116">
        <v>69</v>
      </c>
      <c r="AH116">
        <v>42</v>
      </c>
      <c r="AI116">
        <v>44</v>
      </c>
      <c r="AJ116">
        <v>1</v>
      </c>
      <c r="AK116">
        <v>25</v>
      </c>
      <c r="AL116" t="s">
        <v>998</v>
      </c>
      <c r="AM116" t="s">
        <v>657</v>
      </c>
      <c r="AN116" t="s">
        <v>999</v>
      </c>
      <c r="AO116" t="s">
        <v>1385</v>
      </c>
      <c r="AP116" t="s">
        <v>74</v>
      </c>
      <c r="AQ116" t="s">
        <v>74</v>
      </c>
      <c r="AR116" t="s">
        <v>1386</v>
      </c>
      <c r="AS116" t="s">
        <v>1387</v>
      </c>
      <c r="AT116" t="s">
        <v>2471</v>
      </c>
      <c r="AU116">
        <v>2019</v>
      </c>
      <c r="AV116">
        <v>10</v>
      </c>
      <c r="AW116" t="s">
        <v>74</v>
      </c>
      <c r="AX116" t="s">
        <v>74</v>
      </c>
      <c r="AY116" t="s">
        <v>74</v>
      </c>
      <c r="AZ116" t="s">
        <v>74</v>
      </c>
      <c r="BA116" t="s">
        <v>74</v>
      </c>
      <c r="BB116" t="s">
        <v>74</v>
      </c>
      <c r="BC116" t="s">
        <v>74</v>
      </c>
      <c r="BD116">
        <v>3582</v>
      </c>
      <c r="BE116" t="s">
        <v>2510</v>
      </c>
      <c r="BF116" t="str">
        <f>HYPERLINK("http://dx.doi.org/10.1038/s41467-019-11426-z","http://dx.doi.org/10.1038/s41467-019-11426-z")</f>
        <v>http://dx.doi.org/10.1038/s41467-019-11426-z</v>
      </c>
      <c r="BG116" t="s">
        <v>74</v>
      </c>
      <c r="BH116" t="s">
        <v>74</v>
      </c>
      <c r="BI116">
        <v>10</v>
      </c>
      <c r="BJ116" t="s">
        <v>1004</v>
      </c>
      <c r="BK116" t="s">
        <v>101</v>
      </c>
      <c r="BL116" t="s">
        <v>1005</v>
      </c>
      <c r="BM116" t="s">
        <v>2511</v>
      </c>
      <c r="BN116">
        <v>31395884</v>
      </c>
      <c r="BO116" t="s">
        <v>331</v>
      </c>
      <c r="BP116" t="s">
        <v>74</v>
      </c>
      <c r="BQ116" t="s">
        <v>74</v>
      </c>
      <c r="BR116" t="s">
        <v>103</v>
      </c>
      <c r="BS116" t="s">
        <v>2512</v>
      </c>
      <c r="BT116" t="str">
        <f>HYPERLINK("https%3A%2F%2Fwww.webofscience.com%2Fwos%2Fwoscc%2Ffull-record%2FWOS:000479188900015","View Full Record in Web of Science")</f>
        <v>View Full Record in Web of Science</v>
      </c>
    </row>
    <row r="117" spans="1:72" x14ac:dyDescent="0.15">
      <c r="A117" t="s">
        <v>72</v>
      </c>
      <c r="B117" t="s">
        <v>2513</v>
      </c>
      <c r="C117" t="s">
        <v>74</v>
      </c>
      <c r="D117" t="s">
        <v>74</v>
      </c>
      <c r="E117" t="s">
        <v>74</v>
      </c>
      <c r="F117" t="s">
        <v>2514</v>
      </c>
      <c r="G117" t="s">
        <v>74</v>
      </c>
      <c r="H117" t="s">
        <v>74</v>
      </c>
      <c r="I117" t="s">
        <v>2515</v>
      </c>
      <c r="J117" t="s">
        <v>855</v>
      </c>
      <c r="K117" t="s">
        <v>74</v>
      </c>
      <c r="L117" t="s">
        <v>74</v>
      </c>
      <c r="M117" t="s">
        <v>78</v>
      </c>
      <c r="N117" t="s">
        <v>79</v>
      </c>
      <c r="O117" t="s">
        <v>74</v>
      </c>
      <c r="P117" t="s">
        <v>74</v>
      </c>
      <c r="Q117" t="s">
        <v>74</v>
      </c>
      <c r="R117" t="s">
        <v>74</v>
      </c>
      <c r="S117" t="s">
        <v>74</v>
      </c>
      <c r="T117" t="s">
        <v>2516</v>
      </c>
      <c r="U117" t="s">
        <v>2517</v>
      </c>
      <c r="V117" t="s">
        <v>2518</v>
      </c>
      <c r="W117" t="s">
        <v>2519</v>
      </c>
      <c r="X117" t="s">
        <v>2520</v>
      </c>
      <c r="Y117" t="s">
        <v>2521</v>
      </c>
      <c r="Z117" t="s">
        <v>2522</v>
      </c>
      <c r="AA117" t="s">
        <v>2523</v>
      </c>
      <c r="AB117" t="s">
        <v>2524</v>
      </c>
      <c r="AC117" t="s">
        <v>2525</v>
      </c>
      <c r="AD117" t="s">
        <v>2526</v>
      </c>
      <c r="AE117" t="s">
        <v>2527</v>
      </c>
      <c r="AF117" t="s">
        <v>74</v>
      </c>
      <c r="AG117">
        <v>138</v>
      </c>
      <c r="AH117">
        <v>20</v>
      </c>
      <c r="AI117">
        <v>21</v>
      </c>
      <c r="AJ117">
        <v>4</v>
      </c>
      <c r="AK117">
        <v>26</v>
      </c>
      <c r="AL117" t="s">
        <v>868</v>
      </c>
      <c r="AM117" t="s">
        <v>869</v>
      </c>
      <c r="AN117" t="s">
        <v>870</v>
      </c>
      <c r="AO117" t="s">
        <v>74</v>
      </c>
      <c r="AP117" t="s">
        <v>871</v>
      </c>
      <c r="AQ117" t="s">
        <v>74</v>
      </c>
      <c r="AR117" t="s">
        <v>872</v>
      </c>
      <c r="AS117" t="s">
        <v>873</v>
      </c>
      <c r="AT117" t="s">
        <v>2471</v>
      </c>
      <c r="AU117">
        <v>2019</v>
      </c>
      <c r="AV117">
        <v>6</v>
      </c>
      <c r="AW117" t="s">
        <v>74</v>
      </c>
      <c r="AX117" t="s">
        <v>74</v>
      </c>
      <c r="AY117" t="s">
        <v>74</v>
      </c>
      <c r="AZ117" t="s">
        <v>74</v>
      </c>
      <c r="BA117" t="s">
        <v>74</v>
      </c>
      <c r="BB117" t="s">
        <v>74</v>
      </c>
      <c r="BC117" t="s">
        <v>74</v>
      </c>
      <c r="BD117">
        <v>451</v>
      </c>
      <c r="BE117" t="s">
        <v>2528</v>
      </c>
      <c r="BF117" t="str">
        <f>HYPERLINK("http://dx.doi.org/10.3389/fmars.2019.00451","http://dx.doi.org/10.3389/fmars.2019.00451")</f>
        <v>http://dx.doi.org/10.3389/fmars.2019.00451</v>
      </c>
      <c r="BG117" t="s">
        <v>74</v>
      </c>
      <c r="BH117" t="s">
        <v>74</v>
      </c>
      <c r="BI117">
        <v>21</v>
      </c>
      <c r="BJ117" t="s">
        <v>876</v>
      </c>
      <c r="BK117" t="s">
        <v>101</v>
      </c>
      <c r="BL117" t="s">
        <v>877</v>
      </c>
      <c r="BM117" t="s">
        <v>2529</v>
      </c>
      <c r="BN117" t="s">
        <v>74</v>
      </c>
      <c r="BO117" t="s">
        <v>402</v>
      </c>
      <c r="BP117" t="s">
        <v>74</v>
      </c>
      <c r="BQ117" t="s">
        <v>74</v>
      </c>
      <c r="BR117" t="s">
        <v>103</v>
      </c>
      <c r="BS117" t="s">
        <v>2530</v>
      </c>
      <c r="BT117" t="str">
        <f>HYPERLINK("https%3A%2F%2Fwww.webofscience.com%2Fwos%2Fwoscc%2Ffull-record%2FWOS:000479257300001","View Full Record in Web of Science")</f>
        <v>View Full Record in Web of Science</v>
      </c>
    </row>
    <row r="118" spans="1:72" x14ac:dyDescent="0.15">
      <c r="A118" t="s">
        <v>72</v>
      </c>
      <c r="B118" t="s">
        <v>2531</v>
      </c>
      <c r="C118" t="s">
        <v>74</v>
      </c>
      <c r="D118" t="s">
        <v>74</v>
      </c>
      <c r="E118" t="s">
        <v>74</v>
      </c>
      <c r="F118" t="s">
        <v>2532</v>
      </c>
      <c r="G118" t="s">
        <v>74</v>
      </c>
      <c r="H118" t="s">
        <v>74</v>
      </c>
      <c r="I118" t="s">
        <v>2533</v>
      </c>
      <c r="J118" t="s">
        <v>855</v>
      </c>
      <c r="K118" t="s">
        <v>74</v>
      </c>
      <c r="L118" t="s">
        <v>74</v>
      </c>
      <c r="M118" t="s">
        <v>78</v>
      </c>
      <c r="N118" t="s">
        <v>79</v>
      </c>
      <c r="O118" t="s">
        <v>74</v>
      </c>
      <c r="P118" t="s">
        <v>74</v>
      </c>
      <c r="Q118" t="s">
        <v>74</v>
      </c>
      <c r="R118" t="s">
        <v>74</v>
      </c>
      <c r="S118" t="s">
        <v>74</v>
      </c>
      <c r="T118" t="s">
        <v>2534</v>
      </c>
      <c r="U118" t="s">
        <v>2535</v>
      </c>
      <c r="V118" t="s">
        <v>2536</v>
      </c>
      <c r="W118" t="s">
        <v>2537</v>
      </c>
      <c r="X118" t="s">
        <v>2538</v>
      </c>
      <c r="Y118" t="s">
        <v>2539</v>
      </c>
      <c r="Z118" t="s">
        <v>2540</v>
      </c>
      <c r="AA118" t="s">
        <v>2541</v>
      </c>
      <c r="AB118" t="s">
        <v>2542</v>
      </c>
      <c r="AC118" t="s">
        <v>2543</v>
      </c>
      <c r="AD118" t="s">
        <v>2544</v>
      </c>
      <c r="AE118" t="s">
        <v>2545</v>
      </c>
      <c r="AF118" t="s">
        <v>74</v>
      </c>
      <c r="AG118">
        <v>282</v>
      </c>
      <c r="AH118">
        <v>67</v>
      </c>
      <c r="AI118">
        <v>68</v>
      </c>
      <c r="AJ118">
        <v>1</v>
      </c>
      <c r="AK118">
        <v>31</v>
      </c>
      <c r="AL118" t="s">
        <v>868</v>
      </c>
      <c r="AM118" t="s">
        <v>869</v>
      </c>
      <c r="AN118" t="s">
        <v>870</v>
      </c>
      <c r="AO118" t="s">
        <v>74</v>
      </c>
      <c r="AP118" t="s">
        <v>871</v>
      </c>
      <c r="AQ118" t="s">
        <v>74</v>
      </c>
      <c r="AR118" t="s">
        <v>872</v>
      </c>
      <c r="AS118" t="s">
        <v>873</v>
      </c>
      <c r="AT118" t="s">
        <v>2471</v>
      </c>
      <c r="AU118">
        <v>2019</v>
      </c>
      <c r="AV118">
        <v>6</v>
      </c>
      <c r="AW118" t="s">
        <v>74</v>
      </c>
      <c r="AX118" t="s">
        <v>74</v>
      </c>
      <c r="AY118" t="s">
        <v>74</v>
      </c>
      <c r="AZ118" t="s">
        <v>74</v>
      </c>
      <c r="BA118" t="s">
        <v>74</v>
      </c>
      <c r="BB118" t="s">
        <v>74</v>
      </c>
      <c r="BC118" t="s">
        <v>74</v>
      </c>
      <c r="BD118">
        <v>433</v>
      </c>
      <c r="BE118" t="s">
        <v>2546</v>
      </c>
      <c r="BF118" t="str">
        <f>HYPERLINK("http://dx.doi.org/10.3389/fmars.2019.00433","http://dx.doi.org/10.3389/fmars.2019.00433")</f>
        <v>http://dx.doi.org/10.3389/fmars.2019.00433</v>
      </c>
      <c r="BG118" t="s">
        <v>74</v>
      </c>
      <c r="BH118" t="s">
        <v>74</v>
      </c>
      <c r="BI118">
        <v>31</v>
      </c>
      <c r="BJ118" t="s">
        <v>876</v>
      </c>
      <c r="BK118" t="s">
        <v>101</v>
      </c>
      <c r="BL118" t="s">
        <v>877</v>
      </c>
      <c r="BM118" t="s">
        <v>2547</v>
      </c>
      <c r="BN118" t="s">
        <v>74</v>
      </c>
      <c r="BO118" t="s">
        <v>2548</v>
      </c>
      <c r="BP118" t="s">
        <v>74</v>
      </c>
      <c r="BQ118" t="s">
        <v>74</v>
      </c>
      <c r="BR118" t="s">
        <v>103</v>
      </c>
      <c r="BS118" t="s">
        <v>2549</v>
      </c>
      <c r="BT118" t="str">
        <f>HYPERLINK("https%3A%2F%2Fwww.webofscience.com%2Fwos%2Fwoscc%2Ffull-record%2FWOS:000479257100001","View Full Record in Web of Science")</f>
        <v>View Full Record in Web of Science</v>
      </c>
    </row>
    <row r="119" spans="1:72" x14ac:dyDescent="0.15">
      <c r="A119" t="s">
        <v>72</v>
      </c>
      <c r="B119" t="s">
        <v>2550</v>
      </c>
      <c r="C119" t="s">
        <v>74</v>
      </c>
      <c r="D119" t="s">
        <v>74</v>
      </c>
      <c r="E119" t="s">
        <v>74</v>
      </c>
      <c r="F119" t="s">
        <v>2551</v>
      </c>
      <c r="G119" t="s">
        <v>74</v>
      </c>
      <c r="H119" t="s">
        <v>74</v>
      </c>
      <c r="I119" t="s">
        <v>2552</v>
      </c>
      <c r="J119" t="s">
        <v>828</v>
      </c>
      <c r="K119" t="s">
        <v>74</v>
      </c>
      <c r="L119" t="s">
        <v>74</v>
      </c>
      <c r="M119" t="s">
        <v>78</v>
      </c>
      <c r="N119" t="s">
        <v>108</v>
      </c>
      <c r="O119" t="s">
        <v>74</v>
      </c>
      <c r="P119" t="s">
        <v>74</v>
      </c>
      <c r="Q119" t="s">
        <v>74</v>
      </c>
      <c r="R119" t="s">
        <v>74</v>
      </c>
      <c r="S119" t="s">
        <v>74</v>
      </c>
      <c r="T119" t="s">
        <v>74</v>
      </c>
      <c r="U119" t="s">
        <v>2553</v>
      </c>
      <c r="V119" t="s">
        <v>2554</v>
      </c>
      <c r="W119" t="s">
        <v>2555</v>
      </c>
      <c r="X119" t="s">
        <v>888</v>
      </c>
      <c r="Y119" t="s">
        <v>2556</v>
      </c>
      <c r="Z119" t="s">
        <v>2557</v>
      </c>
      <c r="AA119" t="s">
        <v>1758</v>
      </c>
      <c r="AB119" t="s">
        <v>2558</v>
      </c>
      <c r="AC119" t="s">
        <v>2559</v>
      </c>
      <c r="AD119" t="s">
        <v>2560</v>
      </c>
      <c r="AE119" t="s">
        <v>2561</v>
      </c>
      <c r="AF119" t="s">
        <v>74</v>
      </c>
      <c r="AG119">
        <v>62</v>
      </c>
      <c r="AH119">
        <v>7</v>
      </c>
      <c r="AI119">
        <v>7</v>
      </c>
      <c r="AJ119">
        <v>2</v>
      </c>
      <c r="AK119">
        <v>9</v>
      </c>
      <c r="AL119" t="s">
        <v>839</v>
      </c>
      <c r="AM119" t="s">
        <v>840</v>
      </c>
      <c r="AN119" t="s">
        <v>841</v>
      </c>
      <c r="AO119" t="s">
        <v>842</v>
      </c>
      <c r="AP119" t="s">
        <v>843</v>
      </c>
      <c r="AQ119" t="s">
        <v>74</v>
      </c>
      <c r="AR119" t="s">
        <v>828</v>
      </c>
      <c r="AS119" t="s">
        <v>844</v>
      </c>
      <c r="AT119" t="s">
        <v>2562</v>
      </c>
      <c r="AU119">
        <v>2019</v>
      </c>
      <c r="AV119">
        <v>16</v>
      </c>
      <c r="AW119">
        <v>15</v>
      </c>
      <c r="AX119" t="s">
        <v>74</v>
      </c>
      <c r="AY119" t="s">
        <v>74</v>
      </c>
      <c r="AZ119" t="s">
        <v>74</v>
      </c>
      <c r="BA119" t="s">
        <v>74</v>
      </c>
      <c r="BB119">
        <v>2997</v>
      </c>
      <c r="BC119">
        <v>3008</v>
      </c>
      <c r="BD119" t="s">
        <v>74</v>
      </c>
      <c r="BE119" t="s">
        <v>2563</v>
      </c>
      <c r="BF119" t="str">
        <f>HYPERLINK("http://dx.doi.org/10.5194/bg-16-2997-2019","http://dx.doi.org/10.5194/bg-16-2997-2019")</f>
        <v>http://dx.doi.org/10.5194/bg-16-2997-2019</v>
      </c>
      <c r="BG119" t="s">
        <v>74</v>
      </c>
      <c r="BH119" t="s">
        <v>74</v>
      </c>
      <c r="BI119">
        <v>12</v>
      </c>
      <c r="BJ119" t="s">
        <v>847</v>
      </c>
      <c r="BK119" t="s">
        <v>101</v>
      </c>
      <c r="BL119" t="s">
        <v>848</v>
      </c>
      <c r="BM119" t="s">
        <v>2564</v>
      </c>
      <c r="BN119" t="s">
        <v>74</v>
      </c>
      <c r="BO119" t="s">
        <v>2565</v>
      </c>
      <c r="BP119" t="s">
        <v>74</v>
      </c>
      <c r="BQ119" t="s">
        <v>74</v>
      </c>
      <c r="BR119" t="s">
        <v>103</v>
      </c>
      <c r="BS119" t="s">
        <v>2566</v>
      </c>
      <c r="BT119" t="str">
        <f>HYPERLINK("https%3A%2F%2Fwww.webofscience.com%2Fwos%2Fwoscc%2Ffull-record%2FWOS:000485251800001","View Full Record in Web of Science")</f>
        <v>View Full Record in Web of Science</v>
      </c>
    </row>
    <row r="120" spans="1:72" x14ac:dyDescent="0.15">
      <c r="A120" t="s">
        <v>72</v>
      </c>
      <c r="B120" t="s">
        <v>2567</v>
      </c>
      <c r="C120" t="s">
        <v>74</v>
      </c>
      <c r="D120" t="s">
        <v>74</v>
      </c>
      <c r="E120" t="s">
        <v>74</v>
      </c>
      <c r="F120" t="s">
        <v>2568</v>
      </c>
      <c r="G120" t="s">
        <v>74</v>
      </c>
      <c r="H120" t="s">
        <v>74</v>
      </c>
      <c r="I120" t="s">
        <v>2569</v>
      </c>
      <c r="J120" t="s">
        <v>855</v>
      </c>
      <c r="K120" t="s">
        <v>74</v>
      </c>
      <c r="L120" t="s">
        <v>74</v>
      </c>
      <c r="M120" t="s">
        <v>78</v>
      </c>
      <c r="N120" t="s">
        <v>108</v>
      </c>
      <c r="O120" t="s">
        <v>74</v>
      </c>
      <c r="P120" t="s">
        <v>74</v>
      </c>
      <c r="Q120" t="s">
        <v>74</v>
      </c>
      <c r="R120" t="s">
        <v>74</v>
      </c>
      <c r="S120" t="s">
        <v>74</v>
      </c>
      <c r="T120" t="s">
        <v>2570</v>
      </c>
      <c r="U120" t="s">
        <v>2571</v>
      </c>
      <c r="V120" t="s">
        <v>2572</v>
      </c>
      <c r="W120" t="s">
        <v>2573</v>
      </c>
      <c r="X120" t="s">
        <v>2574</v>
      </c>
      <c r="Y120" t="s">
        <v>2575</v>
      </c>
      <c r="Z120" t="s">
        <v>2576</v>
      </c>
      <c r="AA120" t="s">
        <v>2577</v>
      </c>
      <c r="AB120" t="s">
        <v>2578</v>
      </c>
      <c r="AC120" t="s">
        <v>2579</v>
      </c>
      <c r="AD120" t="s">
        <v>2580</v>
      </c>
      <c r="AE120" t="s">
        <v>2581</v>
      </c>
      <c r="AF120" t="s">
        <v>74</v>
      </c>
      <c r="AG120">
        <v>129</v>
      </c>
      <c r="AH120">
        <v>56</v>
      </c>
      <c r="AI120">
        <v>58</v>
      </c>
      <c r="AJ120">
        <v>6</v>
      </c>
      <c r="AK120">
        <v>53</v>
      </c>
      <c r="AL120" t="s">
        <v>868</v>
      </c>
      <c r="AM120" t="s">
        <v>869</v>
      </c>
      <c r="AN120" t="s">
        <v>870</v>
      </c>
      <c r="AO120" t="s">
        <v>74</v>
      </c>
      <c r="AP120" t="s">
        <v>871</v>
      </c>
      <c r="AQ120" t="s">
        <v>74</v>
      </c>
      <c r="AR120" t="s">
        <v>872</v>
      </c>
      <c r="AS120" t="s">
        <v>873</v>
      </c>
      <c r="AT120" t="s">
        <v>2562</v>
      </c>
      <c r="AU120">
        <v>2019</v>
      </c>
      <c r="AV120">
        <v>6</v>
      </c>
      <c r="AW120" t="s">
        <v>74</v>
      </c>
      <c r="AX120" t="s">
        <v>74</v>
      </c>
      <c r="AY120" t="s">
        <v>74</v>
      </c>
      <c r="AZ120" t="s">
        <v>74</v>
      </c>
      <c r="BA120" t="s">
        <v>74</v>
      </c>
      <c r="BB120" t="s">
        <v>74</v>
      </c>
      <c r="BC120" t="s">
        <v>74</v>
      </c>
      <c r="BD120">
        <v>445</v>
      </c>
      <c r="BE120" t="s">
        <v>2582</v>
      </c>
      <c r="BF120" t="str">
        <f>HYPERLINK("http://dx.doi.org/10.3389/fmars.2019.00445","http://dx.doi.org/10.3389/fmars.2019.00445")</f>
        <v>http://dx.doi.org/10.3389/fmars.2019.00445</v>
      </c>
      <c r="BG120" t="s">
        <v>74</v>
      </c>
      <c r="BH120" t="s">
        <v>74</v>
      </c>
      <c r="BI120">
        <v>21</v>
      </c>
      <c r="BJ120" t="s">
        <v>876</v>
      </c>
      <c r="BK120" t="s">
        <v>101</v>
      </c>
      <c r="BL120" t="s">
        <v>877</v>
      </c>
      <c r="BM120" t="s">
        <v>2583</v>
      </c>
      <c r="BN120" t="s">
        <v>74</v>
      </c>
      <c r="BO120" t="s">
        <v>402</v>
      </c>
      <c r="BP120" t="s">
        <v>74</v>
      </c>
      <c r="BQ120" t="s">
        <v>74</v>
      </c>
      <c r="BR120" t="s">
        <v>103</v>
      </c>
      <c r="BS120" t="s">
        <v>2584</v>
      </c>
      <c r="BT120" t="str">
        <f>HYPERLINK("https%3A%2F%2Fwww.webofscience.com%2Fwos%2Fwoscc%2Ffull-record%2FWOS:000479073200001","View Full Record in Web of Science")</f>
        <v>View Full Record in Web of Science</v>
      </c>
    </row>
    <row r="121" spans="1:72" x14ac:dyDescent="0.15">
      <c r="A121" t="s">
        <v>72</v>
      </c>
      <c r="B121" t="s">
        <v>2585</v>
      </c>
      <c r="C121" t="s">
        <v>74</v>
      </c>
      <c r="D121" t="s">
        <v>74</v>
      </c>
      <c r="E121" t="s">
        <v>74</v>
      </c>
      <c r="F121" t="s">
        <v>2586</v>
      </c>
      <c r="G121" t="s">
        <v>74</v>
      </c>
      <c r="H121" t="s">
        <v>74</v>
      </c>
      <c r="I121" t="s">
        <v>2587</v>
      </c>
      <c r="J121" t="s">
        <v>2588</v>
      </c>
      <c r="K121" t="s">
        <v>74</v>
      </c>
      <c r="L121" t="s">
        <v>74</v>
      </c>
      <c r="M121" t="s">
        <v>78</v>
      </c>
      <c r="N121" t="s">
        <v>108</v>
      </c>
      <c r="O121" t="s">
        <v>74</v>
      </c>
      <c r="P121" t="s">
        <v>74</v>
      </c>
      <c r="Q121" t="s">
        <v>74</v>
      </c>
      <c r="R121" t="s">
        <v>74</v>
      </c>
      <c r="S121" t="s">
        <v>74</v>
      </c>
      <c r="T121" t="s">
        <v>2589</v>
      </c>
      <c r="U121" t="s">
        <v>2590</v>
      </c>
      <c r="V121" t="s">
        <v>2591</v>
      </c>
      <c r="W121" t="s">
        <v>2592</v>
      </c>
      <c r="X121" t="s">
        <v>2593</v>
      </c>
      <c r="Y121" t="s">
        <v>2594</v>
      </c>
      <c r="Z121" t="s">
        <v>2595</v>
      </c>
      <c r="AA121" t="s">
        <v>2596</v>
      </c>
      <c r="AB121" t="s">
        <v>2597</v>
      </c>
      <c r="AC121" t="s">
        <v>74</v>
      </c>
      <c r="AD121" t="s">
        <v>74</v>
      </c>
      <c r="AE121" t="s">
        <v>74</v>
      </c>
      <c r="AF121" t="s">
        <v>74</v>
      </c>
      <c r="AG121">
        <v>28</v>
      </c>
      <c r="AH121">
        <v>6</v>
      </c>
      <c r="AI121">
        <v>6</v>
      </c>
      <c r="AJ121">
        <v>0</v>
      </c>
      <c r="AK121">
        <v>3</v>
      </c>
      <c r="AL121" t="s">
        <v>868</v>
      </c>
      <c r="AM121" t="s">
        <v>869</v>
      </c>
      <c r="AN121" t="s">
        <v>870</v>
      </c>
      <c r="AO121" t="s">
        <v>2598</v>
      </c>
      <c r="AP121" t="s">
        <v>74</v>
      </c>
      <c r="AQ121" t="s">
        <v>74</v>
      </c>
      <c r="AR121" t="s">
        <v>2599</v>
      </c>
      <c r="AS121" t="s">
        <v>2600</v>
      </c>
      <c r="AT121" t="s">
        <v>2562</v>
      </c>
      <c r="AU121">
        <v>2019</v>
      </c>
      <c r="AV121">
        <v>10</v>
      </c>
      <c r="AW121" t="s">
        <v>74</v>
      </c>
      <c r="AX121" t="s">
        <v>74</v>
      </c>
      <c r="AY121" t="s">
        <v>74</v>
      </c>
      <c r="AZ121" t="s">
        <v>74</v>
      </c>
      <c r="BA121" t="s">
        <v>74</v>
      </c>
      <c r="BB121" t="s">
        <v>74</v>
      </c>
      <c r="BC121" t="s">
        <v>74</v>
      </c>
      <c r="BD121">
        <v>743</v>
      </c>
      <c r="BE121" t="s">
        <v>2601</v>
      </c>
      <c r="BF121" t="str">
        <f>HYPERLINK("http://dx.doi.org/10.3389/fneur.2019.00743","http://dx.doi.org/10.3389/fneur.2019.00743")</f>
        <v>http://dx.doi.org/10.3389/fneur.2019.00743</v>
      </c>
      <c r="BG121" t="s">
        <v>74</v>
      </c>
      <c r="BH121" t="s">
        <v>74</v>
      </c>
      <c r="BI121">
        <v>13</v>
      </c>
      <c r="BJ121" t="s">
        <v>2602</v>
      </c>
      <c r="BK121" t="s">
        <v>101</v>
      </c>
      <c r="BL121" t="s">
        <v>2603</v>
      </c>
      <c r="BM121" t="s">
        <v>2604</v>
      </c>
      <c r="BN121">
        <v>31440197</v>
      </c>
      <c r="BO121" t="s">
        <v>331</v>
      </c>
      <c r="BP121" t="s">
        <v>74</v>
      </c>
      <c r="BQ121" t="s">
        <v>74</v>
      </c>
      <c r="BR121" t="s">
        <v>103</v>
      </c>
      <c r="BS121" t="s">
        <v>2605</v>
      </c>
      <c r="BT121" t="str">
        <f>HYPERLINK("https%3A%2F%2Fwww.webofscience.com%2Fwos%2Fwoscc%2Ffull-record%2FWOS:000479155000001","View Full Record in Web of Science")</f>
        <v>View Full Record in Web of Science</v>
      </c>
    </row>
    <row r="122" spans="1:72" x14ac:dyDescent="0.15">
      <c r="A122" t="s">
        <v>72</v>
      </c>
      <c r="B122" t="s">
        <v>2606</v>
      </c>
      <c r="C122" t="s">
        <v>74</v>
      </c>
      <c r="D122" t="s">
        <v>74</v>
      </c>
      <c r="E122" t="s">
        <v>74</v>
      </c>
      <c r="F122" t="s">
        <v>2607</v>
      </c>
      <c r="G122" t="s">
        <v>74</v>
      </c>
      <c r="H122" t="s">
        <v>74</v>
      </c>
      <c r="I122" t="s">
        <v>2608</v>
      </c>
      <c r="J122" t="s">
        <v>1565</v>
      </c>
      <c r="K122" t="s">
        <v>74</v>
      </c>
      <c r="L122" t="s">
        <v>74</v>
      </c>
      <c r="M122" t="s">
        <v>78</v>
      </c>
      <c r="N122" t="s">
        <v>108</v>
      </c>
      <c r="O122" t="s">
        <v>74</v>
      </c>
      <c r="P122" t="s">
        <v>74</v>
      </c>
      <c r="Q122" t="s">
        <v>74</v>
      </c>
      <c r="R122" t="s">
        <v>74</v>
      </c>
      <c r="S122" t="s">
        <v>74</v>
      </c>
      <c r="T122" t="s">
        <v>74</v>
      </c>
      <c r="U122" t="s">
        <v>2609</v>
      </c>
      <c r="V122" t="s">
        <v>2610</v>
      </c>
      <c r="W122" t="s">
        <v>2611</v>
      </c>
      <c r="X122" t="s">
        <v>2612</v>
      </c>
      <c r="Y122" t="s">
        <v>2613</v>
      </c>
      <c r="Z122" t="s">
        <v>2614</v>
      </c>
      <c r="AA122" t="s">
        <v>2615</v>
      </c>
      <c r="AB122" t="s">
        <v>2616</v>
      </c>
      <c r="AC122" t="s">
        <v>2617</v>
      </c>
      <c r="AD122" t="s">
        <v>2617</v>
      </c>
      <c r="AE122" t="s">
        <v>2618</v>
      </c>
      <c r="AF122" t="s">
        <v>74</v>
      </c>
      <c r="AG122">
        <v>68</v>
      </c>
      <c r="AH122">
        <v>58</v>
      </c>
      <c r="AI122">
        <v>61</v>
      </c>
      <c r="AJ122">
        <v>5</v>
      </c>
      <c r="AK122">
        <v>96</v>
      </c>
      <c r="AL122" t="s">
        <v>1577</v>
      </c>
      <c r="AM122" t="s">
        <v>183</v>
      </c>
      <c r="AN122" t="s">
        <v>1578</v>
      </c>
      <c r="AO122" t="s">
        <v>1579</v>
      </c>
      <c r="AP122" t="s">
        <v>1580</v>
      </c>
      <c r="AQ122" t="s">
        <v>74</v>
      </c>
      <c r="AR122" t="s">
        <v>1581</v>
      </c>
      <c r="AS122" t="s">
        <v>1582</v>
      </c>
      <c r="AT122" t="s">
        <v>2619</v>
      </c>
      <c r="AU122">
        <v>2019</v>
      </c>
      <c r="AV122">
        <v>53</v>
      </c>
      <c r="AW122">
        <v>15</v>
      </c>
      <c r="AX122" t="s">
        <v>74</v>
      </c>
      <c r="AY122" t="s">
        <v>74</v>
      </c>
      <c r="AZ122" t="s">
        <v>74</v>
      </c>
      <c r="BA122" t="s">
        <v>74</v>
      </c>
      <c r="BB122">
        <v>9224</v>
      </c>
      <c r="BC122">
        <v>9231</v>
      </c>
      <c r="BD122" t="s">
        <v>74</v>
      </c>
      <c r="BE122" t="s">
        <v>2620</v>
      </c>
      <c r="BF122" t="str">
        <f>HYPERLINK("http://dx.doi.org/10.1021/acs.est.9b02098","http://dx.doi.org/10.1021/acs.est.9b02098")</f>
        <v>http://dx.doi.org/10.1021/acs.est.9b02098</v>
      </c>
      <c r="BG122" t="s">
        <v>74</v>
      </c>
      <c r="BH122" t="s">
        <v>74</v>
      </c>
      <c r="BI122">
        <v>8</v>
      </c>
      <c r="BJ122" t="s">
        <v>1585</v>
      </c>
      <c r="BK122" t="s">
        <v>101</v>
      </c>
      <c r="BL122" t="s">
        <v>1586</v>
      </c>
      <c r="BM122" t="s">
        <v>2621</v>
      </c>
      <c r="BN122">
        <v>31304735</v>
      </c>
      <c r="BO122" t="s">
        <v>164</v>
      </c>
      <c r="BP122" t="s">
        <v>74</v>
      </c>
      <c r="BQ122" t="s">
        <v>74</v>
      </c>
      <c r="BR122" t="s">
        <v>103</v>
      </c>
      <c r="BS122" t="s">
        <v>2622</v>
      </c>
      <c r="BT122" t="str">
        <f>HYPERLINK("https%3A%2F%2Fwww.webofscience.com%2Fwos%2Fwoscc%2Ffull-record%2FWOS:000480370600077","View Full Record in Web of Science")</f>
        <v>View Full Record in Web of Science</v>
      </c>
    </row>
    <row r="123" spans="1:72" x14ac:dyDescent="0.15">
      <c r="A123" t="s">
        <v>72</v>
      </c>
      <c r="B123" t="s">
        <v>2623</v>
      </c>
      <c r="C123" t="s">
        <v>74</v>
      </c>
      <c r="D123" t="s">
        <v>74</v>
      </c>
      <c r="E123" t="s">
        <v>74</v>
      </c>
      <c r="F123" t="s">
        <v>2624</v>
      </c>
      <c r="G123" t="s">
        <v>74</v>
      </c>
      <c r="H123" t="s">
        <v>74</v>
      </c>
      <c r="I123" t="s">
        <v>2625</v>
      </c>
      <c r="J123" t="s">
        <v>1496</v>
      </c>
      <c r="K123" t="s">
        <v>74</v>
      </c>
      <c r="L123" t="s">
        <v>74</v>
      </c>
      <c r="M123" t="s">
        <v>78</v>
      </c>
      <c r="N123" t="s">
        <v>108</v>
      </c>
      <c r="O123" t="s">
        <v>74</v>
      </c>
      <c r="P123" t="s">
        <v>74</v>
      </c>
      <c r="Q123" t="s">
        <v>74</v>
      </c>
      <c r="R123" t="s">
        <v>74</v>
      </c>
      <c r="S123" t="s">
        <v>74</v>
      </c>
      <c r="T123" t="s">
        <v>2626</v>
      </c>
      <c r="U123" t="s">
        <v>2627</v>
      </c>
      <c r="V123" t="s">
        <v>2628</v>
      </c>
      <c r="W123" t="s">
        <v>2629</v>
      </c>
      <c r="X123" t="s">
        <v>2630</v>
      </c>
      <c r="Y123" t="s">
        <v>2631</v>
      </c>
      <c r="Z123" t="s">
        <v>2632</v>
      </c>
      <c r="AA123" t="s">
        <v>2633</v>
      </c>
      <c r="AB123" t="s">
        <v>2634</v>
      </c>
      <c r="AC123" t="s">
        <v>2635</v>
      </c>
      <c r="AD123" t="s">
        <v>2636</v>
      </c>
      <c r="AE123" t="s">
        <v>2637</v>
      </c>
      <c r="AF123" t="s">
        <v>74</v>
      </c>
      <c r="AG123">
        <v>137</v>
      </c>
      <c r="AH123">
        <v>13</v>
      </c>
      <c r="AI123">
        <v>14</v>
      </c>
      <c r="AJ123">
        <v>1</v>
      </c>
      <c r="AK123">
        <v>24</v>
      </c>
      <c r="AL123" t="s">
        <v>868</v>
      </c>
      <c r="AM123" t="s">
        <v>869</v>
      </c>
      <c r="AN123" t="s">
        <v>870</v>
      </c>
      <c r="AO123" t="s">
        <v>1509</v>
      </c>
      <c r="AP123" t="s">
        <v>74</v>
      </c>
      <c r="AQ123" t="s">
        <v>74</v>
      </c>
      <c r="AR123" t="s">
        <v>1510</v>
      </c>
      <c r="AS123" t="s">
        <v>1511</v>
      </c>
      <c r="AT123" t="s">
        <v>2619</v>
      </c>
      <c r="AU123">
        <v>2019</v>
      </c>
      <c r="AV123">
        <v>10</v>
      </c>
      <c r="AW123" t="s">
        <v>74</v>
      </c>
      <c r="AX123" t="s">
        <v>74</v>
      </c>
      <c r="AY123" t="s">
        <v>74</v>
      </c>
      <c r="AZ123" t="s">
        <v>74</v>
      </c>
      <c r="BA123" t="s">
        <v>74</v>
      </c>
      <c r="BB123" t="s">
        <v>74</v>
      </c>
      <c r="BC123" t="s">
        <v>74</v>
      </c>
      <c r="BD123">
        <v>1730</v>
      </c>
      <c r="BE123" t="s">
        <v>2638</v>
      </c>
      <c r="BF123" t="str">
        <f>HYPERLINK("http://dx.doi.org/10.3389/fmicb.2019.01730","http://dx.doi.org/10.3389/fmicb.2019.01730")</f>
        <v>http://dx.doi.org/10.3389/fmicb.2019.01730</v>
      </c>
      <c r="BG123" t="s">
        <v>74</v>
      </c>
      <c r="BH123" t="s">
        <v>74</v>
      </c>
      <c r="BI123">
        <v>19</v>
      </c>
      <c r="BJ123" t="s">
        <v>1514</v>
      </c>
      <c r="BK123" t="s">
        <v>101</v>
      </c>
      <c r="BL123" t="s">
        <v>1514</v>
      </c>
      <c r="BM123" t="s">
        <v>2639</v>
      </c>
      <c r="BN123">
        <v>31447802</v>
      </c>
      <c r="BO123" t="s">
        <v>331</v>
      </c>
      <c r="BP123" t="s">
        <v>74</v>
      </c>
      <c r="BQ123" t="s">
        <v>74</v>
      </c>
      <c r="BR123" t="s">
        <v>103</v>
      </c>
      <c r="BS123" t="s">
        <v>2640</v>
      </c>
      <c r="BT123" t="str">
        <f>HYPERLINK("https%3A%2F%2Fwww.webofscience.com%2Fwos%2Fwoscc%2Ffull-record%2FWOS:000478890200001","View Full Record in Web of Science")</f>
        <v>View Full Record in Web of Science</v>
      </c>
    </row>
    <row r="124" spans="1:72" x14ac:dyDescent="0.15">
      <c r="A124" t="s">
        <v>72</v>
      </c>
      <c r="B124" t="s">
        <v>2641</v>
      </c>
      <c r="C124" t="s">
        <v>74</v>
      </c>
      <c r="D124" t="s">
        <v>74</v>
      </c>
      <c r="E124" t="s">
        <v>74</v>
      </c>
      <c r="F124" t="s">
        <v>2642</v>
      </c>
      <c r="G124" t="s">
        <v>74</v>
      </c>
      <c r="H124" t="s">
        <v>2643</v>
      </c>
      <c r="I124" t="s">
        <v>2644</v>
      </c>
      <c r="J124" t="s">
        <v>855</v>
      </c>
      <c r="K124" t="s">
        <v>74</v>
      </c>
      <c r="L124" t="s">
        <v>74</v>
      </c>
      <c r="M124" t="s">
        <v>78</v>
      </c>
      <c r="N124" t="s">
        <v>79</v>
      </c>
      <c r="O124" t="s">
        <v>74</v>
      </c>
      <c r="P124" t="s">
        <v>74</v>
      </c>
      <c r="Q124" t="s">
        <v>74</v>
      </c>
      <c r="R124" t="s">
        <v>74</v>
      </c>
      <c r="S124" t="s">
        <v>74</v>
      </c>
      <c r="T124" t="s">
        <v>2645</v>
      </c>
      <c r="U124" t="s">
        <v>2646</v>
      </c>
      <c r="V124" t="s">
        <v>2647</v>
      </c>
      <c r="W124" t="s">
        <v>2648</v>
      </c>
      <c r="X124" t="s">
        <v>2649</v>
      </c>
      <c r="Y124" t="s">
        <v>2650</v>
      </c>
      <c r="Z124" t="s">
        <v>2651</v>
      </c>
      <c r="AA124" t="s">
        <v>2652</v>
      </c>
      <c r="AB124" t="s">
        <v>2653</v>
      </c>
      <c r="AC124" t="s">
        <v>2654</v>
      </c>
      <c r="AD124" t="s">
        <v>2655</v>
      </c>
      <c r="AE124" t="s">
        <v>2656</v>
      </c>
      <c r="AF124" t="s">
        <v>74</v>
      </c>
      <c r="AG124">
        <v>179</v>
      </c>
      <c r="AH124">
        <v>39</v>
      </c>
      <c r="AI124">
        <v>40</v>
      </c>
      <c r="AJ124">
        <v>1</v>
      </c>
      <c r="AK124">
        <v>51</v>
      </c>
      <c r="AL124" t="s">
        <v>868</v>
      </c>
      <c r="AM124" t="s">
        <v>869</v>
      </c>
      <c r="AN124" t="s">
        <v>870</v>
      </c>
      <c r="AO124" t="s">
        <v>74</v>
      </c>
      <c r="AP124" t="s">
        <v>871</v>
      </c>
      <c r="AQ124" t="s">
        <v>74</v>
      </c>
      <c r="AR124" t="s">
        <v>872</v>
      </c>
      <c r="AS124" t="s">
        <v>873</v>
      </c>
      <c r="AT124" t="s">
        <v>2619</v>
      </c>
      <c r="AU124">
        <v>2019</v>
      </c>
      <c r="AV124">
        <v>6</v>
      </c>
      <c r="AW124" t="s">
        <v>74</v>
      </c>
      <c r="AX124" t="s">
        <v>74</v>
      </c>
      <c r="AY124" t="s">
        <v>74</v>
      </c>
      <c r="AZ124" t="s">
        <v>74</v>
      </c>
      <c r="BA124" t="s">
        <v>74</v>
      </c>
      <c r="BB124" t="s">
        <v>74</v>
      </c>
      <c r="BC124" t="s">
        <v>74</v>
      </c>
      <c r="BD124">
        <v>429</v>
      </c>
      <c r="BE124" t="s">
        <v>2657</v>
      </c>
      <c r="BF124" t="str">
        <f>HYPERLINK("http://dx.doi.org/10.3389/fmars.2019.00429","http://dx.doi.org/10.3389/fmars.2019.00429")</f>
        <v>http://dx.doi.org/10.3389/fmars.2019.00429</v>
      </c>
      <c r="BG124" t="s">
        <v>74</v>
      </c>
      <c r="BH124" t="s">
        <v>74</v>
      </c>
      <c r="BI124">
        <v>28</v>
      </c>
      <c r="BJ124" t="s">
        <v>876</v>
      </c>
      <c r="BK124" t="s">
        <v>101</v>
      </c>
      <c r="BL124" t="s">
        <v>877</v>
      </c>
      <c r="BM124" t="s">
        <v>2658</v>
      </c>
      <c r="BN124">
        <v>31534948</v>
      </c>
      <c r="BO124" t="s">
        <v>2659</v>
      </c>
      <c r="BP124" t="s">
        <v>74</v>
      </c>
      <c r="BQ124" t="s">
        <v>74</v>
      </c>
      <c r="BR124" t="s">
        <v>103</v>
      </c>
      <c r="BS124" t="s">
        <v>2660</v>
      </c>
      <c r="BT124" t="str">
        <f>HYPERLINK("https%3A%2F%2Fwww.webofscience.com%2Fwos%2Fwoscc%2Ffull-record%2FWOS:000478734500001","View Full Record in Web of Science")</f>
        <v>View Full Record in Web of Science</v>
      </c>
    </row>
    <row r="125" spans="1:72" x14ac:dyDescent="0.15">
      <c r="A125" t="s">
        <v>72</v>
      </c>
      <c r="B125" t="s">
        <v>2661</v>
      </c>
      <c r="C125" t="s">
        <v>74</v>
      </c>
      <c r="D125" t="s">
        <v>74</v>
      </c>
      <c r="E125" t="s">
        <v>74</v>
      </c>
      <c r="F125" t="s">
        <v>2662</v>
      </c>
      <c r="G125" t="s">
        <v>74</v>
      </c>
      <c r="H125" t="s">
        <v>74</v>
      </c>
      <c r="I125" t="s">
        <v>2663</v>
      </c>
      <c r="J125" t="s">
        <v>2664</v>
      </c>
      <c r="K125" t="s">
        <v>74</v>
      </c>
      <c r="L125" t="s">
        <v>74</v>
      </c>
      <c r="M125" t="s">
        <v>78</v>
      </c>
      <c r="N125" t="s">
        <v>108</v>
      </c>
      <c r="O125" t="s">
        <v>74</v>
      </c>
      <c r="P125" t="s">
        <v>74</v>
      </c>
      <c r="Q125" t="s">
        <v>74</v>
      </c>
      <c r="R125" t="s">
        <v>74</v>
      </c>
      <c r="S125" t="s">
        <v>74</v>
      </c>
      <c r="T125" t="s">
        <v>2665</v>
      </c>
      <c r="U125" t="s">
        <v>2666</v>
      </c>
      <c r="V125" t="s">
        <v>2667</v>
      </c>
      <c r="W125" t="s">
        <v>2668</v>
      </c>
      <c r="X125" t="s">
        <v>2669</v>
      </c>
      <c r="Y125" t="s">
        <v>2670</v>
      </c>
      <c r="Z125" t="s">
        <v>2671</v>
      </c>
      <c r="AA125" t="s">
        <v>74</v>
      </c>
      <c r="AB125" t="s">
        <v>2672</v>
      </c>
      <c r="AC125" t="s">
        <v>2673</v>
      </c>
      <c r="AD125" t="s">
        <v>2674</v>
      </c>
      <c r="AE125" t="s">
        <v>2673</v>
      </c>
      <c r="AF125" t="s">
        <v>74</v>
      </c>
      <c r="AG125">
        <v>42</v>
      </c>
      <c r="AH125">
        <v>8</v>
      </c>
      <c r="AI125">
        <v>8</v>
      </c>
      <c r="AJ125">
        <v>1</v>
      </c>
      <c r="AK125">
        <v>29</v>
      </c>
      <c r="AL125" t="s">
        <v>1140</v>
      </c>
      <c r="AM125" t="s">
        <v>1141</v>
      </c>
      <c r="AN125" t="s">
        <v>1142</v>
      </c>
      <c r="AO125" t="s">
        <v>2675</v>
      </c>
      <c r="AP125" t="s">
        <v>2676</v>
      </c>
      <c r="AQ125" t="s">
        <v>74</v>
      </c>
      <c r="AR125" t="s">
        <v>2677</v>
      </c>
      <c r="AS125" t="s">
        <v>2678</v>
      </c>
      <c r="AT125" t="s">
        <v>98</v>
      </c>
      <c r="AU125">
        <v>2020</v>
      </c>
      <c r="AV125">
        <v>51</v>
      </c>
      <c r="AW125">
        <v>9</v>
      </c>
      <c r="AX125" t="s">
        <v>74</v>
      </c>
      <c r="AY125" t="s">
        <v>74</v>
      </c>
      <c r="AZ125" t="s">
        <v>730</v>
      </c>
      <c r="BA125" t="s">
        <v>74</v>
      </c>
      <c r="BB125">
        <v>1613</v>
      </c>
      <c r="BC125">
        <v>1623</v>
      </c>
      <c r="BD125" t="s">
        <v>74</v>
      </c>
      <c r="BE125" t="s">
        <v>2679</v>
      </c>
      <c r="BF125" t="str">
        <f>HYPERLINK("http://dx.doi.org/10.1002/jrs.5685","http://dx.doi.org/10.1002/jrs.5685")</f>
        <v>http://dx.doi.org/10.1002/jrs.5685</v>
      </c>
      <c r="BG125" t="s">
        <v>74</v>
      </c>
      <c r="BH125" t="s">
        <v>1149</v>
      </c>
      <c r="BI125">
        <v>11</v>
      </c>
      <c r="BJ125" t="s">
        <v>2680</v>
      </c>
      <c r="BK125" t="s">
        <v>101</v>
      </c>
      <c r="BL125" t="s">
        <v>2680</v>
      </c>
      <c r="BM125" t="s">
        <v>2681</v>
      </c>
      <c r="BN125" t="s">
        <v>74</v>
      </c>
      <c r="BO125" t="s">
        <v>74</v>
      </c>
      <c r="BP125" t="s">
        <v>74</v>
      </c>
      <c r="BQ125" t="s">
        <v>74</v>
      </c>
      <c r="BR125" t="s">
        <v>103</v>
      </c>
      <c r="BS125" t="s">
        <v>2682</v>
      </c>
      <c r="BT125" t="str">
        <f>HYPERLINK("https%3A%2F%2Fwww.webofscience.com%2Fwos%2Fwoscc%2Ffull-record%2FWOS:000479979100001","View Full Record in Web of Science")</f>
        <v>View Full Record in Web of Science</v>
      </c>
    </row>
    <row r="126" spans="1:72" x14ac:dyDescent="0.15">
      <c r="A126" t="s">
        <v>72</v>
      </c>
      <c r="B126" t="s">
        <v>2683</v>
      </c>
      <c r="C126" t="s">
        <v>74</v>
      </c>
      <c r="D126" t="s">
        <v>74</v>
      </c>
      <c r="E126" t="s">
        <v>74</v>
      </c>
      <c r="F126" t="s">
        <v>2684</v>
      </c>
      <c r="G126" t="s">
        <v>74</v>
      </c>
      <c r="H126" t="s">
        <v>74</v>
      </c>
      <c r="I126" t="s">
        <v>2685</v>
      </c>
      <c r="J126" t="s">
        <v>2686</v>
      </c>
      <c r="K126" t="s">
        <v>74</v>
      </c>
      <c r="L126" t="s">
        <v>74</v>
      </c>
      <c r="M126" t="s">
        <v>78</v>
      </c>
      <c r="N126" t="s">
        <v>108</v>
      </c>
      <c r="O126" t="s">
        <v>74</v>
      </c>
      <c r="P126" t="s">
        <v>74</v>
      </c>
      <c r="Q126" t="s">
        <v>74</v>
      </c>
      <c r="R126" t="s">
        <v>74</v>
      </c>
      <c r="S126" t="s">
        <v>74</v>
      </c>
      <c r="T126" t="s">
        <v>2687</v>
      </c>
      <c r="U126" t="s">
        <v>2688</v>
      </c>
      <c r="V126" t="s">
        <v>2689</v>
      </c>
      <c r="W126" t="s">
        <v>2690</v>
      </c>
      <c r="X126" t="s">
        <v>2691</v>
      </c>
      <c r="Y126" t="s">
        <v>2692</v>
      </c>
      <c r="Z126" t="s">
        <v>2693</v>
      </c>
      <c r="AA126" t="s">
        <v>2694</v>
      </c>
      <c r="AB126" t="s">
        <v>2695</v>
      </c>
      <c r="AC126" t="s">
        <v>2696</v>
      </c>
      <c r="AD126" t="s">
        <v>2697</v>
      </c>
      <c r="AE126" t="s">
        <v>2698</v>
      </c>
      <c r="AF126" t="s">
        <v>74</v>
      </c>
      <c r="AG126">
        <v>43</v>
      </c>
      <c r="AH126">
        <v>2</v>
      </c>
      <c r="AI126">
        <v>5</v>
      </c>
      <c r="AJ126">
        <v>6</v>
      </c>
      <c r="AK126">
        <v>32</v>
      </c>
      <c r="AL126" t="s">
        <v>1407</v>
      </c>
      <c r="AM126" t="s">
        <v>1408</v>
      </c>
      <c r="AN126" t="s">
        <v>1409</v>
      </c>
      <c r="AO126" t="s">
        <v>2699</v>
      </c>
      <c r="AP126" t="s">
        <v>2700</v>
      </c>
      <c r="AQ126" t="s">
        <v>74</v>
      </c>
      <c r="AR126" t="s">
        <v>2701</v>
      </c>
      <c r="AS126" t="s">
        <v>2702</v>
      </c>
      <c r="AT126" t="s">
        <v>1487</v>
      </c>
      <c r="AU126">
        <v>2019</v>
      </c>
      <c r="AV126">
        <v>42</v>
      </c>
      <c r="AW126">
        <v>5</v>
      </c>
      <c r="AX126" t="s">
        <v>74</v>
      </c>
      <c r="AY126" t="s">
        <v>74</v>
      </c>
      <c r="AZ126" t="s">
        <v>74</v>
      </c>
      <c r="BA126" t="s">
        <v>74</v>
      </c>
      <c r="BB126">
        <v>422</v>
      </c>
      <c r="BC126">
        <v>446</v>
      </c>
      <c r="BD126" t="s">
        <v>74</v>
      </c>
      <c r="BE126" t="s">
        <v>2703</v>
      </c>
      <c r="BF126" t="str">
        <f>HYPERLINK("http://dx.doi.org/10.1080/01490419.2019.1645770","http://dx.doi.org/10.1080/01490419.2019.1645770")</f>
        <v>http://dx.doi.org/10.1080/01490419.2019.1645770</v>
      </c>
      <c r="BG126" t="s">
        <v>74</v>
      </c>
      <c r="BH126" t="s">
        <v>1149</v>
      </c>
      <c r="BI126">
        <v>25</v>
      </c>
      <c r="BJ126" t="s">
        <v>2704</v>
      </c>
      <c r="BK126" t="s">
        <v>101</v>
      </c>
      <c r="BL126" t="s">
        <v>2704</v>
      </c>
      <c r="BM126" t="s">
        <v>2705</v>
      </c>
      <c r="BN126" t="s">
        <v>74</v>
      </c>
      <c r="BO126" t="s">
        <v>74</v>
      </c>
      <c r="BP126" t="s">
        <v>74</v>
      </c>
      <c r="BQ126" t="s">
        <v>74</v>
      </c>
      <c r="BR126" t="s">
        <v>103</v>
      </c>
      <c r="BS126" t="s">
        <v>2706</v>
      </c>
      <c r="BT126" t="str">
        <f>HYPERLINK("https%3A%2F%2Fwww.webofscience.com%2Fwos%2Fwoscc%2Ffull-record%2FWOS:000480163900001","View Full Record in Web of Science")</f>
        <v>View Full Record in Web of Science</v>
      </c>
    </row>
    <row r="127" spans="1:72" x14ac:dyDescent="0.15">
      <c r="A127" t="s">
        <v>72</v>
      </c>
      <c r="B127" t="s">
        <v>2707</v>
      </c>
      <c r="C127" t="s">
        <v>74</v>
      </c>
      <c r="D127" t="s">
        <v>74</v>
      </c>
      <c r="E127" t="s">
        <v>74</v>
      </c>
      <c r="F127" t="s">
        <v>2708</v>
      </c>
      <c r="G127" t="s">
        <v>74</v>
      </c>
      <c r="H127" t="s">
        <v>74</v>
      </c>
      <c r="I127" t="s">
        <v>2709</v>
      </c>
      <c r="J127" t="s">
        <v>2710</v>
      </c>
      <c r="K127" t="s">
        <v>74</v>
      </c>
      <c r="L127" t="s">
        <v>74</v>
      </c>
      <c r="M127" t="s">
        <v>78</v>
      </c>
      <c r="N127" t="s">
        <v>2711</v>
      </c>
      <c r="O127" t="s">
        <v>74</v>
      </c>
      <c r="P127" t="s">
        <v>74</v>
      </c>
      <c r="Q127" t="s">
        <v>74</v>
      </c>
      <c r="R127" t="s">
        <v>74</v>
      </c>
      <c r="S127" t="s">
        <v>74</v>
      </c>
      <c r="T127" t="s">
        <v>2712</v>
      </c>
      <c r="U127" t="s">
        <v>2713</v>
      </c>
      <c r="V127" t="s">
        <v>2714</v>
      </c>
      <c r="W127" t="s">
        <v>2715</v>
      </c>
      <c r="X127" t="s">
        <v>2716</v>
      </c>
      <c r="Y127" t="s">
        <v>2717</v>
      </c>
      <c r="Z127" t="s">
        <v>2718</v>
      </c>
      <c r="AA127" t="s">
        <v>74</v>
      </c>
      <c r="AB127" t="s">
        <v>2719</v>
      </c>
      <c r="AC127" t="s">
        <v>2720</v>
      </c>
      <c r="AD127" t="s">
        <v>2721</v>
      </c>
      <c r="AE127" t="s">
        <v>2722</v>
      </c>
      <c r="AF127" t="s">
        <v>74</v>
      </c>
      <c r="AG127">
        <v>40</v>
      </c>
      <c r="AH127">
        <v>13</v>
      </c>
      <c r="AI127">
        <v>13</v>
      </c>
      <c r="AJ127">
        <v>0</v>
      </c>
      <c r="AK127">
        <v>47</v>
      </c>
      <c r="AL127" t="s">
        <v>2723</v>
      </c>
      <c r="AM127" t="s">
        <v>657</v>
      </c>
      <c r="AN127" t="s">
        <v>2724</v>
      </c>
      <c r="AO127" t="s">
        <v>2725</v>
      </c>
      <c r="AP127" t="s">
        <v>2726</v>
      </c>
      <c r="AQ127" t="s">
        <v>74</v>
      </c>
      <c r="AR127" t="s">
        <v>2727</v>
      </c>
      <c r="AS127" t="s">
        <v>2728</v>
      </c>
      <c r="AT127" t="s">
        <v>2729</v>
      </c>
      <c r="AU127">
        <v>2019</v>
      </c>
      <c r="AV127">
        <v>374</v>
      </c>
      <c r="AW127">
        <v>1778</v>
      </c>
      <c r="AX127" t="s">
        <v>74</v>
      </c>
      <c r="AY127" t="s">
        <v>74</v>
      </c>
      <c r="AZ127" t="s">
        <v>74</v>
      </c>
      <c r="BA127" t="s">
        <v>74</v>
      </c>
      <c r="BB127" t="s">
        <v>74</v>
      </c>
      <c r="BC127" t="s">
        <v>74</v>
      </c>
      <c r="BD127">
        <v>20190032</v>
      </c>
      <c r="BE127" t="s">
        <v>2730</v>
      </c>
      <c r="BF127" t="str">
        <f>HYPERLINK("http://dx.doi.org/10.1098/rstb.2019.0032","http://dx.doi.org/10.1098/rstb.2019.0032")</f>
        <v>http://dx.doi.org/10.1098/rstb.2019.0032</v>
      </c>
      <c r="BG127" t="s">
        <v>74</v>
      </c>
      <c r="BH127" t="s">
        <v>74</v>
      </c>
      <c r="BI127">
        <v>4</v>
      </c>
      <c r="BJ127" t="s">
        <v>1558</v>
      </c>
      <c r="BK127" t="s">
        <v>101</v>
      </c>
      <c r="BL127" t="s">
        <v>1559</v>
      </c>
      <c r="BM127" t="s">
        <v>2731</v>
      </c>
      <c r="BN127">
        <v>31203758</v>
      </c>
      <c r="BO127" t="s">
        <v>2732</v>
      </c>
      <c r="BP127" t="s">
        <v>74</v>
      </c>
      <c r="BQ127" t="s">
        <v>74</v>
      </c>
      <c r="BR127" t="s">
        <v>103</v>
      </c>
      <c r="BS127" t="s">
        <v>2733</v>
      </c>
      <c r="BT127" t="str">
        <f>HYPERLINK("https%3A%2F%2Fwww.webofscience.com%2Fwos%2Fwoscc%2Ffull-record%2FWOS:000473329200009","View Full Record in Web of Science")</f>
        <v>View Full Record in Web of Science</v>
      </c>
    </row>
    <row r="128" spans="1:72" x14ac:dyDescent="0.15">
      <c r="A128" t="s">
        <v>72</v>
      </c>
      <c r="B128" t="s">
        <v>2734</v>
      </c>
      <c r="C128" t="s">
        <v>74</v>
      </c>
      <c r="D128" t="s">
        <v>74</v>
      </c>
      <c r="E128" t="s">
        <v>74</v>
      </c>
      <c r="F128" t="s">
        <v>2735</v>
      </c>
      <c r="G128" t="s">
        <v>74</v>
      </c>
      <c r="H128" t="s">
        <v>74</v>
      </c>
      <c r="I128" t="s">
        <v>2736</v>
      </c>
      <c r="J128" t="s">
        <v>2737</v>
      </c>
      <c r="K128" t="s">
        <v>74</v>
      </c>
      <c r="L128" t="s">
        <v>74</v>
      </c>
      <c r="M128" t="s">
        <v>78</v>
      </c>
      <c r="N128" t="s">
        <v>108</v>
      </c>
      <c r="O128" t="s">
        <v>74</v>
      </c>
      <c r="P128" t="s">
        <v>74</v>
      </c>
      <c r="Q128" t="s">
        <v>74</v>
      </c>
      <c r="R128" t="s">
        <v>74</v>
      </c>
      <c r="S128" t="s">
        <v>74</v>
      </c>
      <c r="T128" t="s">
        <v>2738</v>
      </c>
      <c r="U128" t="s">
        <v>2739</v>
      </c>
      <c r="V128" t="s">
        <v>2740</v>
      </c>
      <c r="W128" t="s">
        <v>2741</v>
      </c>
      <c r="X128" t="s">
        <v>2742</v>
      </c>
      <c r="Y128" t="s">
        <v>2743</v>
      </c>
      <c r="Z128" t="s">
        <v>2744</v>
      </c>
      <c r="AA128" t="s">
        <v>2745</v>
      </c>
      <c r="AB128" t="s">
        <v>74</v>
      </c>
      <c r="AC128" t="s">
        <v>2746</v>
      </c>
      <c r="AD128" t="s">
        <v>2747</v>
      </c>
      <c r="AE128" t="s">
        <v>2748</v>
      </c>
      <c r="AF128" t="s">
        <v>74</v>
      </c>
      <c r="AG128">
        <v>41</v>
      </c>
      <c r="AH128">
        <v>10</v>
      </c>
      <c r="AI128">
        <v>11</v>
      </c>
      <c r="AJ128">
        <v>2</v>
      </c>
      <c r="AK128">
        <v>15</v>
      </c>
      <c r="AL128" t="s">
        <v>2749</v>
      </c>
      <c r="AM128" t="s">
        <v>2750</v>
      </c>
      <c r="AN128" t="s">
        <v>2751</v>
      </c>
      <c r="AO128" t="s">
        <v>2752</v>
      </c>
      <c r="AP128" t="s">
        <v>2753</v>
      </c>
      <c r="AQ128" t="s">
        <v>74</v>
      </c>
      <c r="AR128" t="s">
        <v>2754</v>
      </c>
      <c r="AS128" t="s">
        <v>2755</v>
      </c>
      <c r="AT128" t="s">
        <v>2729</v>
      </c>
      <c r="AU128">
        <v>2019</v>
      </c>
      <c r="AV128">
        <v>38</v>
      </c>
      <c r="AW128" t="s">
        <v>74</v>
      </c>
      <c r="AX128" t="s">
        <v>74</v>
      </c>
      <c r="AY128" t="s">
        <v>74</v>
      </c>
      <c r="AZ128" t="s">
        <v>74</v>
      </c>
      <c r="BA128" t="s">
        <v>74</v>
      </c>
      <c r="BB128" t="s">
        <v>74</v>
      </c>
      <c r="BC128" t="s">
        <v>74</v>
      </c>
      <c r="BD128">
        <v>3390</v>
      </c>
      <c r="BE128" t="s">
        <v>2756</v>
      </c>
      <c r="BF128" t="str">
        <f>HYPERLINK("http://dx.doi.org/10.33265/polar.v38.3390","http://dx.doi.org/10.33265/polar.v38.3390")</f>
        <v>http://dx.doi.org/10.33265/polar.v38.3390</v>
      </c>
      <c r="BG128" t="s">
        <v>74</v>
      </c>
      <c r="BH128" t="s">
        <v>74</v>
      </c>
      <c r="BI128">
        <v>11</v>
      </c>
      <c r="BJ128" t="s">
        <v>2757</v>
      </c>
      <c r="BK128" t="s">
        <v>101</v>
      </c>
      <c r="BL128" t="s">
        <v>2758</v>
      </c>
      <c r="BM128" t="s">
        <v>2759</v>
      </c>
      <c r="BN128" t="s">
        <v>74</v>
      </c>
      <c r="BO128" t="s">
        <v>2270</v>
      </c>
      <c r="BP128" t="s">
        <v>74</v>
      </c>
      <c r="BQ128" t="s">
        <v>74</v>
      </c>
      <c r="BR128" t="s">
        <v>103</v>
      </c>
      <c r="BS128" t="s">
        <v>2760</v>
      </c>
      <c r="BT128" t="str">
        <f>HYPERLINK("https%3A%2F%2Fwww.webofscience.com%2Fwos%2Fwoscc%2Ffull-record%2FWOS:000481904100001","View Full Record in Web of Science")</f>
        <v>View Full Record in Web of Science</v>
      </c>
    </row>
    <row r="129" spans="1:72" x14ac:dyDescent="0.15">
      <c r="A129" t="s">
        <v>72</v>
      </c>
      <c r="B129" t="s">
        <v>2761</v>
      </c>
      <c r="C129" t="s">
        <v>74</v>
      </c>
      <c r="D129" t="s">
        <v>74</v>
      </c>
      <c r="E129" t="s">
        <v>74</v>
      </c>
      <c r="F129" t="s">
        <v>2762</v>
      </c>
      <c r="G129" t="s">
        <v>74</v>
      </c>
      <c r="H129" t="s">
        <v>74</v>
      </c>
      <c r="I129" t="s">
        <v>2763</v>
      </c>
      <c r="J129" t="s">
        <v>2710</v>
      </c>
      <c r="K129" t="s">
        <v>74</v>
      </c>
      <c r="L129" t="s">
        <v>74</v>
      </c>
      <c r="M129" t="s">
        <v>78</v>
      </c>
      <c r="N129" t="s">
        <v>108</v>
      </c>
      <c r="O129" t="s">
        <v>74</v>
      </c>
      <c r="P129" t="s">
        <v>74</v>
      </c>
      <c r="Q129" t="s">
        <v>74</v>
      </c>
      <c r="R129" t="s">
        <v>74</v>
      </c>
      <c r="S129" t="s">
        <v>74</v>
      </c>
      <c r="T129" t="s">
        <v>2764</v>
      </c>
      <c r="U129" t="s">
        <v>2765</v>
      </c>
      <c r="V129" t="s">
        <v>2766</v>
      </c>
      <c r="W129" t="s">
        <v>2767</v>
      </c>
      <c r="X129" t="s">
        <v>2768</v>
      </c>
      <c r="Y129" t="s">
        <v>2717</v>
      </c>
      <c r="Z129" t="s">
        <v>2718</v>
      </c>
      <c r="AA129" t="s">
        <v>74</v>
      </c>
      <c r="AB129" t="s">
        <v>2719</v>
      </c>
      <c r="AC129" t="s">
        <v>2769</v>
      </c>
      <c r="AD129" t="s">
        <v>2770</v>
      </c>
      <c r="AE129" t="s">
        <v>2771</v>
      </c>
      <c r="AF129" t="s">
        <v>74</v>
      </c>
      <c r="AG129">
        <v>40</v>
      </c>
      <c r="AH129">
        <v>8</v>
      </c>
      <c r="AI129">
        <v>8</v>
      </c>
      <c r="AJ129">
        <v>1</v>
      </c>
      <c r="AK129">
        <v>16</v>
      </c>
      <c r="AL129" t="s">
        <v>2723</v>
      </c>
      <c r="AM129" t="s">
        <v>657</v>
      </c>
      <c r="AN129" t="s">
        <v>2724</v>
      </c>
      <c r="AO129" t="s">
        <v>2725</v>
      </c>
      <c r="AP129" t="s">
        <v>2726</v>
      </c>
      <c r="AQ129" t="s">
        <v>74</v>
      </c>
      <c r="AR129" t="s">
        <v>2727</v>
      </c>
      <c r="AS129" t="s">
        <v>2728</v>
      </c>
      <c r="AT129" t="s">
        <v>2729</v>
      </c>
      <c r="AU129">
        <v>2019</v>
      </c>
      <c r="AV129">
        <v>374</v>
      </c>
      <c r="AW129">
        <v>1778</v>
      </c>
      <c r="AX129" t="s">
        <v>74</v>
      </c>
      <c r="AY129" t="s">
        <v>74</v>
      </c>
      <c r="AZ129" t="s">
        <v>74</v>
      </c>
      <c r="BA129" t="s">
        <v>74</v>
      </c>
      <c r="BB129" t="s">
        <v>74</v>
      </c>
      <c r="BC129" t="s">
        <v>74</v>
      </c>
      <c r="BD129">
        <v>20190034</v>
      </c>
      <c r="BE129" t="s">
        <v>2772</v>
      </c>
      <c r="BF129" t="str">
        <f>HYPERLINK("http://dx.doi.org/10.1098/rstb.2019.0034","http://dx.doi.org/10.1098/rstb.2019.0034")</f>
        <v>http://dx.doi.org/10.1098/rstb.2019.0034</v>
      </c>
      <c r="BG129" t="s">
        <v>74</v>
      </c>
      <c r="BH129" t="s">
        <v>74</v>
      </c>
      <c r="BI129">
        <v>8</v>
      </c>
      <c r="BJ129" t="s">
        <v>1558</v>
      </c>
      <c r="BK129" t="s">
        <v>101</v>
      </c>
      <c r="BL129" t="s">
        <v>1559</v>
      </c>
      <c r="BM129" t="s">
        <v>2731</v>
      </c>
      <c r="BN129">
        <v>31203754</v>
      </c>
      <c r="BO129" t="s">
        <v>2773</v>
      </c>
      <c r="BP129" t="s">
        <v>74</v>
      </c>
      <c r="BQ129" t="s">
        <v>74</v>
      </c>
      <c r="BR129" t="s">
        <v>103</v>
      </c>
      <c r="BS129" t="s">
        <v>2774</v>
      </c>
      <c r="BT129" t="str">
        <f>HYPERLINK("https%3A%2F%2Fwww.webofscience.com%2Fwos%2Fwoscc%2Ffull-record%2FWOS:000473329200010","View Full Record in Web of Science")</f>
        <v>View Full Record in Web of Science</v>
      </c>
    </row>
    <row r="130" spans="1:72" x14ac:dyDescent="0.15">
      <c r="A130" t="s">
        <v>72</v>
      </c>
      <c r="B130" t="s">
        <v>2775</v>
      </c>
      <c r="C130" t="s">
        <v>74</v>
      </c>
      <c r="D130" t="s">
        <v>74</v>
      </c>
      <c r="E130" t="s">
        <v>74</v>
      </c>
      <c r="F130" t="s">
        <v>2776</v>
      </c>
      <c r="G130" t="s">
        <v>74</v>
      </c>
      <c r="H130" t="s">
        <v>74</v>
      </c>
      <c r="I130" t="s">
        <v>2777</v>
      </c>
      <c r="J130" t="s">
        <v>2778</v>
      </c>
      <c r="K130" t="s">
        <v>74</v>
      </c>
      <c r="L130" t="s">
        <v>74</v>
      </c>
      <c r="M130" t="s">
        <v>78</v>
      </c>
      <c r="N130" t="s">
        <v>2711</v>
      </c>
      <c r="O130" t="s">
        <v>74</v>
      </c>
      <c r="P130" t="s">
        <v>74</v>
      </c>
      <c r="Q130" t="s">
        <v>74</v>
      </c>
      <c r="R130" t="s">
        <v>74</v>
      </c>
      <c r="S130" t="s">
        <v>74</v>
      </c>
      <c r="T130" t="s">
        <v>74</v>
      </c>
      <c r="U130" t="s">
        <v>74</v>
      </c>
      <c r="V130" t="s">
        <v>74</v>
      </c>
      <c r="W130" t="s">
        <v>2779</v>
      </c>
      <c r="X130" t="s">
        <v>2780</v>
      </c>
      <c r="Y130" t="s">
        <v>2781</v>
      </c>
      <c r="Z130" t="s">
        <v>2782</v>
      </c>
      <c r="AA130" t="s">
        <v>2783</v>
      </c>
      <c r="AB130" t="s">
        <v>2784</v>
      </c>
      <c r="AC130" t="s">
        <v>74</v>
      </c>
      <c r="AD130" t="s">
        <v>74</v>
      </c>
      <c r="AE130" t="s">
        <v>74</v>
      </c>
      <c r="AF130" t="s">
        <v>74</v>
      </c>
      <c r="AG130">
        <v>3</v>
      </c>
      <c r="AH130">
        <v>1</v>
      </c>
      <c r="AI130">
        <v>1</v>
      </c>
      <c r="AJ130">
        <v>0</v>
      </c>
      <c r="AK130">
        <v>5</v>
      </c>
      <c r="AL130" t="s">
        <v>1274</v>
      </c>
      <c r="AM130" t="s">
        <v>1275</v>
      </c>
      <c r="AN130" t="s">
        <v>1276</v>
      </c>
      <c r="AO130" t="s">
        <v>2785</v>
      </c>
      <c r="AP130" t="s">
        <v>2786</v>
      </c>
      <c r="AQ130" t="s">
        <v>74</v>
      </c>
      <c r="AR130" t="s">
        <v>2787</v>
      </c>
      <c r="AS130" t="s">
        <v>2788</v>
      </c>
      <c r="AT130" t="s">
        <v>2789</v>
      </c>
      <c r="AU130">
        <v>2019</v>
      </c>
      <c r="AV130">
        <v>12</v>
      </c>
      <c r="AW130">
        <v>8</v>
      </c>
      <c r="AX130" t="s">
        <v>74</v>
      </c>
      <c r="AY130" t="s">
        <v>74</v>
      </c>
      <c r="AZ130" t="s">
        <v>730</v>
      </c>
      <c r="BA130" t="s">
        <v>74</v>
      </c>
      <c r="BB130">
        <v>858</v>
      </c>
      <c r="BC130">
        <v>859</v>
      </c>
      <c r="BD130" t="s">
        <v>74</v>
      </c>
      <c r="BE130" t="s">
        <v>2790</v>
      </c>
      <c r="BF130" t="str">
        <f>HYPERLINK("http://dx.doi.org/10.1080/17538947.2019.1633737","http://dx.doi.org/10.1080/17538947.2019.1633737")</f>
        <v>http://dx.doi.org/10.1080/17538947.2019.1633737</v>
      </c>
      <c r="BG130" t="s">
        <v>74</v>
      </c>
      <c r="BH130" t="s">
        <v>74</v>
      </c>
      <c r="BI130">
        <v>2</v>
      </c>
      <c r="BJ130" t="s">
        <v>2791</v>
      </c>
      <c r="BK130" t="s">
        <v>101</v>
      </c>
      <c r="BL130" t="s">
        <v>2792</v>
      </c>
      <c r="BM130" t="s">
        <v>2793</v>
      </c>
      <c r="BN130" t="s">
        <v>74</v>
      </c>
      <c r="BO130" t="s">
        <v>1308</v>
      </c>
      <c r="BP130" t="s">
        <v>74</v>
      </c>
      <c r="BQ130" t="s">
        <v>74</v>
      </c>
      <c r="BR130" t="s">
        <v>103</v>
      </c>
      <c r="BS130" t="s">
        <v>2794</v>
      </c>
      <c r="BT130" t="str">
        <f>HYPERLINK("https%3A%2F%2Fwww.webofscience.com%2Fwos%2Fwoscc%2Ffull-record%2FWOS:000476572000001","View Full Record in Web of Science")</f>
        <v>View Full Record in Web of Science</v>
      </c>
    </row>
    <row r="131" spans="1:72" x14ac:dyDescent="0.15">
      <c r="A131" t="s">
        <v>72</v>
      </c>
      <c r="B131" t="s">
        <v>2795</v>
      </c>
      <c r="C131" t="s">
        <v>74</v>
      </c>
      <c r="D131" t="s">
        <v>74</v>
      </c>
      <c r="E131" t="s">
        <v>74</v>
      </c>
      <c r="F131" t="s">
        <v>2796</v>
      </c>
      <c r="G131" t="s">
        <v>74</v>
      </c>
      <c r="H131" t="s">
        <v>74</v>
      </c>
      <c r="I131" t="s">
        <v>2797</v>
      </c>
      <c r="J131" t="s">
        <v>2778</v>
      </c>
      <c r="K131" t="s">
        <v>74</v>
      </c>
      <c r="L131" t="s">
        <v>74</v>
      </c>
      <c r="M131" t="s">
        <v>78</v>
      </c>
      <c r="N131" t="s">
        <v>108</v>
      </c>
      <c r="O131" t="s">
        <v>74</v>
      </c>
      <c r="P131" t="s">
        <v>74</v>
      </c>
      <c r="Q131" t="s">
        <v>74</v>
      </c>
      <c r="R131" t="s">
        <v>74</v>
      </c>
      <c r="S131" t="s">
        <v>74</v>
      </c>
      <c r="T131" t="s">
        <v>2798</v>
      </c>
      <c r="U131" t="s">
        <v>2799</v>
      </c>
      <c r="V131" t="s">
        <v>2800</v>
      </c>
      <c r="W131" t="s">
        <v>2801</v>
      </c>
      <c r="X131" t="s">
        <v>2802</v>
      </c>
      <c r="Y131" t="s">
        <v>2803</v>
      </c>
      <c r="Z131" t="s">
        <v>2804</v>
      </c>
      <c r="AA131" t="s">
        <v>2805</v>
      </c>
      <c r="AB131" t="s">
        <v>2806</v>
      </c>
      <c r="AC131" t="s">
        <v>2807</v>
      </c>
      <c r="AD131" t="s">
        <v>2808</v>
      </c>
      <c r="AE131" t="s">
        <v>2809</v>
      </c>
      <c r="AF131" t="s">
        <v>74</v>
      </c>
      <c r="AG131">
        <v>37</v>
      </c>
      <c r="AH131">
        <v>12</v>
      </c>
      <c r="AI131">
        <v>14</v>
      </c>
      <c r="AJ131">
        <v>0</v>
      </c>
      <c r="AK131">
        <v>19</v>
      </c>
      <c r="AL131" t="s">
        <v>1274</v>
      </c>
      <c r="AM131" t="s">
        <v>1275</v>
      </c>
      <c r="AN131" t="s">
        <v>1276</v>
      </c>
      <c r="AO131" t="s">
        <v>2785</v>
      </c>
      <c r="AP131" t="s">
        <v>2786</v>
      </c>
      <c r="AQ131" t="s">
        <v>74</v>
      </c>
      <c r="AR131" t="s">
        <v>2787</v>
      </c>
      <c r="AS131" t="s">
        <v>2788</v>
      </c>
      <c r="AT131" t="s">
        <v>2789</v>
      </c>
      <c r="AU131">
        <v>2019</v>
      </c>
      <c r="AV131">
        <v>12</v>
      </c>
      <c r="AW131">
        <v>8</v>
      </c>
      <c r="AX131" t="s">
        <v>74</v>
      </c>
      <c r="AY131" t="s">
        <v>74</v>
      </c>
      <c r="AZ131" t="s">
        <v>730</v>
      </c>
      <c r="BA131" t="s">
        <v>74</v>
      </c>
      <c r="BB131">
        <v>860</v>
      </c>
      <c r="BC131">
        <v>877</v>
      </c>
      <c r="BD131" t="s">
        <v>74</v>
      </c>
      <c r="BE131" t="s">
        <v>2810</v>
      </c>
      <c r="BF131" t="str">
        <f>HYPERLINK("http://dx.doi.org/10.1080/17538947.2017.1304458","http://dx.doi.org/10.1080/17538947.2017.1304458")</f>
        <v>http://dx.doi.org/10.1080/17538947.2017.1304458</v>
      </c>
      <c r="BG131" t="s">
        <v>74</v>
      </c>
      <c r="BH131" t="s">
        <v>74</v>
      </c>
      <c r="BI131">
        <v>18</v>
      </c>
      <c r="BJ131" t="s">
        <v>2791</v>
      </c>
      <c r="BK131" t="s">
        <v>101</v>
      </c>
      <c r="BL131" t="s">
        <v>2792</v>
      </c>
      <c r="BM131" t="s">
        <v>2793</v>
      </c>
      <c r="BN131" t="s">
        <v>74</v>
      </c>
      <c r="BO131" t="s">
        <v>74</v>
      </c>
      <c r="BP131" t="s">
        <v>74</v>
      </c>
      <c r="BQ131" t="s">
        <v>74</v>
      </c>
      <c r="BR131" t="s">
        <v>103</v>
      </c>
      <c r="BS131" t="s">
        <v>2811</v>
      </c>
      <c r="BT131" t="str">
        <f>HYPERLINK("https%3A%2F%2Fwww.webofscience.com%2Fwos%2Fwoscc%2Ffull-record%2FWOS:000476572000002","View Full Record in Web of Science")</f>
        <v>View Full Record in Web of Science</v>
      </c>
    </row>
    <row r="132" spans="1:72" x14ac:dyDescent="0.15">
      <c r="A132" t="s">
        <v>72</v>
      </c>
      <c r="B132" t="s">
        <v>2812</v>
      </c>
      <c r="C132" t="s">
        <v>74</v>
      </c>
      <c r="D132" t="s">
        <v>74</v>
      </c>
      <c r="E132" t="s">
        <v>74</v>
      </c>
      <c r="F132" t="s">
        <v>2813</v>
      </c>
      <c r="G132" t="s">
        <v>74</v>
      </c>
      <c r="H132" t="s">
        <v>74</v>
      </c>
      <c r="I132" t="s">
        <v>2814</v>
      </c>
      <c r="J132" t="s">
        <v>2778</v>
      </c>
      <c r="K132" t="s">
        <v>74</v>
      </c>
      <c r="L132" t="s">
        <v>74</v>
      </c>
      <c r="M132" t="s">
        <v>78</v>
      </c>
      <c r="N132" t="s">
        <v>108</v>
      </c>
      <c r="O132" t="s">
        <v>74</v>
      </c>
      <c r="P132" t="s">
        <v>74</v>
      </c>
      <c r="Q132" t="s">
        <v>74</v>
      </c>
      <c r="R132" t="s">
        <v>74</v>
      </c>
      <c r="S132" t="s">
        <v>74</v>
      </c>
      <c r="T132" t="s">
        <v>2815</v>
      </c>
      <c r="U132" t="s">
        <v>2816</v>
      </c>
      <c r="V132" t="s">
        <v>2817</v>
      </c>
      <c r="W132" t="s">
        <v>2818</v>
      </c>
      <c r="X132" t="s">
        <v>2819</v>
      </c>
      <c r="Y132" t="s">
        <v>2820</v>
      </c>
      <c r="Z132" t="s">
        <v>2821</v>
      </c>
      <c r="AA132" t="s">
        <v>2822</v>
      </c>
      <c r="AB132" t="s">
        <v>2823</v>
      </c>
      <c r="AC132" t="s">
        <v>2824</v>
      </c>
      <c r="AD132" t="s">
        <v>2825</v>
      </c>
      <c r="AE132" t="s">
        <v>2826</v>
      </c>
      <c r="AF132" t="s">
        <v>74</v>
      </c>
      <c r="AG132">
        <v>38</v>
      </c>
      <c r="AH132">
        <v>22</v>
      </c>
      <c r="AI132">
        <v>25</v>
      </c>
      <c r="AJ132">
        <v>3</v>
      </c>
      <c r="AK132">
        <v>40</v>
      </c>
      <c r="AL132" t="s">
        <v>1274</v>
      </c>
      <c r="AM132" t="s">
        <v>1275</v>
      </c>
      <c r="AN132" t="s">
        <v>1276</v>
      </c>
      <c r="AO132" t="s">
        <v>2785</v>
      </c>
      <c r="AP132" t="s">
        <v>2786</v>
      </c>
      <c r="AQ132" t="s">
        <v>74</v>
      </c>
      <c r="AR132" t="s">
        <v>2787</v>
      </c>
      <c r="AS132" t="s">
        <v>2788</v>
      </c>
      <c r="AT132" t="s">
        <v>2789</v>
      </c>
      <c r="AU132">
        <v>2019</v>
      </c>
      <c r="AV132">
        <v>12</v>
      </c>
      <c r="AW132">
        <v>8</v>
      </c>
      <c r="AX132" t="s">
        <v>74</v>
      </c>
      <c r="AY132" t="s">
        <v>74</v>
      </c>
      <c r="AZ132" t="s">
        <v>730</v>
      </c>
      <c r="BA132" t="s">
        <v>74</v>
      </c>
      <c r="BB132">
        <v>893</v>
      </c>
      <c r="BC132">
        <v>909</v>
      </c>
      <c r="BD132" t="s">
        <v>74</v>
      </c>
      <c r="BE132" t="s">
        <v>2827</v>
      </c>
      <c r="BF132" t="str">
        <f>HYPERLINK("http://dx.doi.org/10.1080/17538947.2017.1365957","http://dx.doi.org/10.1080/17538947.2017.1365957")</f>
        <v>http://dx.doi.org/10.1080/17538947.2017.1365957</v>
      </c>
      <c r="BG132" t="s">
        <v>74</v>
      </c>
      <c r="BH132" t="s">
        <v>74</v>
      </c>
      <c r="BI132">
        <v>17</v>
      </c>
      <c r="BJ132" t="s">
        <v>2791</v>
      </c>
      <c r="BK132" t="s">
        <v>101</v>
      </c>
      <c r="BL132" t="s">
        <v>2792</v>
      </c>
      <c r="BM132" t="s">
        <v>2793</v>
      </c>
      <c r="BN132" t="s">
        <v>74</v>
      </c>
      <c r="BO132" t="s">
        <v>74</v>
      </c>
      <c r="BP132" t="s">
        <v>74</v>
      </c>
      <c r="BQ132" t="s">
        <v>74</v>
      </c>
      <c r="BR132" t="s">
        <v>103</v>
      </c>
      <c r="BS132" t="s">
        <v>2828</v>
      </c>
      <c r="BT132" t="str">
        <f>HYPERLINK("https%3A%2F%2Fwww.webofscience.com%2Fwos%2Fwoscc%2Ffull-record%2FWOS:000476572000004","View Full Record in Web of Science")</f>
        <v>View Full Record in Web of Science</v>
      </c>
    </row>
    <row r="133" spans="1:72" x14ac:dyDescent="0.15">
      <c r="A133" t="s">
        <v>72</v>
      </c>
      <c r="B133" t="s">
        <v>2829</v>
      </c>
      <c r="C133" t="s">
        <v>74</v>
      </c>
      <c r="D133" t="s">
        <v>74</v>
      </c>
      <c r="E133" t="s">
        <v>74</v>
      </c>
      <c r="F133" t="s">
        <v>2830</v>
      </c>
      <c r="G133" t="s">
        <v>74</v>
      </c>
      <c r="H133" t="s">
        <v>74</v>
      </c>
      <c r="I133" t="s">
        <v>2831</v>
      </c>
      <c r="J133" t="s">
        <v>828</v>
      </c>
      <c r="K133" t="s">
        <v>74</v>
      </c>
      <c r="L133" t="s">
        <v>74</v>
      </c>
      <c r="M133" t="s">
        <v>78</v>
      </c>
      <c r="N133" t="s">
        <v>108</v>
      </c>
      <c r="O133" t="s">
        <v>74</v>
      </c>
      <c r="P133" t="s">
        <v>74</v>
      </c>
      <c r="Q133" t="s">
        <v>74</v>
      </c>
      <c r="R133" t="s">
        <v>74</v>
      </c>
      <c r="S133" t="s">
        <v>74</v>
      </c>
      <c r="T133" t="s">
        <v>74</v>
      </c>
      <c r="U133" t="s">
        <v>2832</v>
      </c>
      <c r="V133" t="s">
        <v>2833</v>
      </c>
      <c r="W133" t="s">
        <v>2834</v>
      </c>
      <c r="X133" t="s">
        <v>2835</v>
      </c>
      <c r="Y133" t="s">
        <v>2836</v>
      </c>
      <c r="Z133" t="s">
        <v>2837</v>
      </c>
      <c r="AA133" t="s">
        <v>2838</v>
      </c>
      <c r="AB133" t="s">
        <v>2839</v>
      </c>
      <c r="AC133" t="s">
        <v>2840</v>
      </c>
      <c r="AD133" t="s">
        <v>74</v>
      </c>
      <c r="AE133" t="s">
        <v>2841</v>
      </c>
      <c r="AF133" t="s">
        <v>74</v>
      </c>
      <c r="AG133">
        <v>109</v>
      </c>
      <c r="AH133">
        <v>15</v>
      </c>
      <c r="AI133">
        <v>16</v>
      </c>
      <c r="AJ133">
        <v>1</v>
      </c>
      <c r="AK133">
        <v>23</v>
      </c>
      <c r="AL133" t="s">
        <v>839</v>
      </c>
      <c r="AM133" t="s">
        <v>840</v>
      </c>
      <c r="AN133" t="s">
        <v>841</v>
      </c>
      <c r="AO133" t="s">
        <v>842</v>
      </c>
      <c r="AP133" t="s">
        <v>843</v>
      </c>
      <c r="AQ133" t="s">
        <v>74</v>
      </c>
      <c r="AR133" t="s">
        <v>828</v>
      </c>
      <c r="AS133" t="s">
        <v>844</v>
      </c>
      <c r="AT133" t="s">
        <v>2842</v>
      </c>
      <c r="AU133">
        <v>2019</v>
      </c>
      <c r="AV133">
        <v>16</v>
      </c>
      <c r="AW133">
        <v>15</v>
      </c>
      <c r="AX133" t="s">
        <v>74</v>
      </c>
      <c r="AY133" t="s">
        <v>74</v>
      </c>
      <c r="AZ133" t="s">
        <v>74</v>
      </c>
      <c r="BA133" t="s">
        <v>74</v>
      </c>
      <c r="BB133">
        <v>2961</v>
      </c>
      <c r="BC133">
        <v>2981</v>
      </c>
      <c r="BD133" t="s">
        <v>74</v>
      </c>
      <c r="BE133" t="s">
        <v>2843</v>
      </c>
      <c r="BF133" t="str">
        <f>HYPERLINK("http://dx.doi.org/10.5194/bg-16-2961-2019","http://dx.doi.org/10.5194/bg-16-2961-2019")</f>
        <v>http://dx.doi.org/10.5194/bg-16-2961-2019</v>
      </c>
      <c r="BG133" t="s">
        <v>74</v>
      </c>
      <c r="BH133" t="s">
        <v>74</v>
      </c>
      <c r="BI133">
        <v>21</v>
      </c>
      <c r="BJ133" t="s">
        <v>847</v>
      </c>
      <c r="BK133" t="s">
        <v>101</v>
      </c>
      <c r="BL133" t="s">
        <v>848</v>
      </c>
      <c r="BM133" t="s">
        <v>2844</v>
      </c>
      <c r="BN133" t="s">
        <v>74</v>
      </c>
      <c r="BO133" t="s">
        <v>2270</v>
      </c>
      <c r="BP133" t="s">
        <v>74</v>
      </c>
      <c r="BQ133" t="s">
        <v>74</v>
      </c>
      <c r="BR133" t="s">
        <v>103</v>
      </c>
      <c r="BS133" t="s">
        <v>2845</v>
      </c>
      <c r="BT133" t="str">
        <f>HYPERLINK("https%3A%2F%2Fwww.webofscience.com%2Fwos%2Fwoscc%2Ffull-record%2FWOS:000478618200001","View Full Record in Web of Science")</f>
        <v>View Full Record in Web of Science</v>
      </c>
    </row>
    <row r="134" spans="1:72" x14ac:dyDescent="0.15">
      <c r="A134" t="s">
        <v>72</v>
      </c>
      <c r="B134" t="s">
        <v>2846</v>
      </c>
      <c r="C134" t="s">
        <v>74</v>
      </c>
      <c r="D134" t="s">
        <v>74</v>
      </c>
      <c r="E134" t="s">
        <v>74</v>
      </c>
      <c r="F134" t="s">
        <v>2847</v>
      </c>
      <c r="G134" t="s">
        <v>74</v>
      </c>
      <c r="H134" t="s">
        <v>74</v>
      </c>
      <c r="I134" t="s">
        <v>2848</v>
      </c>
      <c r="J134" t="s">
        <v>855</v>
      </c>
      <c r="K134" t="s">
        <v>74</v>
      </c>
      <c r="L134" t="s">
        <v>74</v>
      </c>
      <c r="M134" t="s">
        <v>78</v>
      </c>
      <c r="N134" t="s">
        <v>108</v>
      </c>
      <c r="O134" t="s">
        <v>74</v>
      </c>
      <c r="P134" t="s">
        <v>74</v>
      </c>
      <c r="Q134" t="s">
        <v>74</v>
      </c>
      <c r="R134" t="s">
        <v>74</v>
      </c>
      <c r="S134" t="s">
        <v>74</v>
      </c>
      <c r="T134" t="s">
        <v>2849</v>
      </c>
      <c r="U134" t="s">
        <v>2850</v>
      </c>
      <c r="V134" t="s">
        <v>2851</v>
      </c>
      <c r="W134" t="s">
        <v>2852</v>
      </c>
      <c r="X134" t="s">
        <v>2853</v>
      </c>
      <c r="Y134" t="s">
        <v>2854</v>
      </c>
      <c r="Z134" t="s">
        <v>2855</v>
      </c>
      <c r="AA134" t="s">
        <v>2856</v>
      </c>
      <c r="AB134" t="s">
        <v>2857</v>
      </c>
      <c r="AC134" t="s">
        <v>2858</v>
      </c>
      <c r="AD134" t="s">
        <v>2859</v>
      </c>
      <c r="AE134" t="s">
        <v>2860</v>
      </c>
      <c r="AF134" t="s">
        <v>74</v>
      </c>
      <c r="AG134">
        <v>109</v>
      </c>
      <c r="AH134">
        <v>32</v>
      </c>
      <c r="AI134">
        <v>34</v>
      </c>
      <c r="AJ134">
        <v>7</v>
      </c>
      <c r="AK134">
        <v>54</v>
      </c>
      <c r="AL134" t="s">
        <v>868</v>
      </c>
      <c r="AM134" t="s">
        <v>869</v>
      </c>
      <c r="AN134" t="s">
        <v>870</v>
      </c>
      <c r="AO134" t="s">
        <v>74</v>
      </c>
      <c r="AP134" t="s">
        <v>871</v>
      </c>
      <c r="AQ134" t="s">
        <v>74</v>
      </c>
      <c r="AR134" t="s">
        <v>872</v>
      </c>
      <c r="AS134" t="s">
        <v>873</v>
      </c>
      <c r="AT134" t="s">
        <v>2842</v>
      </c>
      <c r="AU134">
        <v>2019</v>
      </c>
      <c r="AV134">
        <v>6</v>
      </c>
      <c r="AW134" t="s">
        <v>74</v>
      </c>
      <c r="AX134" t="s">
        <v>74</v>
      </c>
      <c r="AY134" t="s">
        <v>74</v>
      </c>
      <c r="AZ134" t="s">
        <v>74</v>
      </c>
      <c r="BA134" t="s">
        <v>74</v>
      </c>
      <c r="BB134" t="s">
        <v>74</v>
      </c>
      <c r="BC134" t="s">
        <v>74</v>
      </c>
      <c r="BD134">
        <v>469</v>
      </c>
      <c r="BE134" t="s">
        <v>2861</v>
      </c>
      <c r="BF134" t="str">
        <f>HYPERLINK("http://dx.doi.org/10.3389/fmars.2019.00469","http://dx.doi.org/10.3389/fmars.2019.00469")</f>
        <v>http://dx.doi.org/10.3389/fmars.2019.00469</v>
      </c>
      <c r="BG134" t="s">
        <v>74</v>
      </c>
      <c r="BH134" t="s">
        <v>74</v>
      </c>
      <c r="BI134">
        <v>16</v>
      </c>
      <c r="BJ134" t="s">
        <v>876</v>
      </c>
      <c r="BK134" t="s">
        <v>101</v>
      </c>
      <c r="BL134" t="s">
        <v>877</v>
      </c>
      <c r="BM134" t="s">
        <v>2862</v>
      </c>
      <c r="BN134" t="s">
        <v>74</v>
      </c>
      <c r="BO134" t="s">
        <v>402</v>
      </c>
      <c r="BP134" t="s">
        <v>74</v>
      </c>
      <c r="BQ134" t="s">
        <v>74</v>
      </c>
      <c r="BR134" t="s">
        <v>103</v>
      </c>
      <c r="BS134" t="s">
        <v>2863</v>
      </c>
      <c r="BT134" t="str">
        <f>HYPERLINK("https%3A%2F%2Fwww.webofscience.com%2Fwos%2Fwoscc%2Ffull-record%2FWOS:000478732900002","View Full Record in Web of Science")</f>
        <v>View Full Record in Web of Science</v>
      </c>
    </row>
    <row r="135" spans="1:72" x14ac:dyDescent="0.15">
      <c r="A135" t="s">
        <v>72</v>
      </c>
      <c r="B135" t="s">
        <v>2864</v>
      </c>
      <c r="C135" t="s">
        <v>74</v>
      </c>
      <c r="D135" t="s">
        <v>74</v>
      </c>
      <c r="E135" t="s">
        <v>74</v>
      </c>
      <c r="F135" t="s">
        <v>2865</v>
      </c>
      <c r="G135" t="s">
        <v>74</v>
      </c>
      <c r="H135" t="s">
        <v>74</v>
      </c>
      <c r="I135" t="s">
        <v>2866</v>
      </c>
      <c r="J135" t="s">
        <v>2867</v>
      </c>
      <c r="K135" t="s">
        <v>74</v>
      </c>
      <c r="L135" t="s">
        <v>74</v>
      </c>
      <c r="M135" t="s">
        <v>78</v>
      </c>
      <c r="N135" t="s">
        <v>108</v>
      </c>
      <c r="O135" t="s">
        <v>74</v>
      </c>
      <c r="P135" t="s">
        <v>74</v>
      </c>
      <c r="Q135" t="s">
        <v>74</v>
      </c>
      <c r="R135" t="s">
        <v>74</v>
      </c>
      <c r="S135" t="s">
        <v>74</v>
      </c>
      <c r="T135" t="s">
        <v>2868</v>
      </c>
      <c r="U135" t="s">
        <v>2869</v>
      </c>
      <c r="V135" t="s">
        <v>2870</v>
      </c>
      <c r="W135" t="s">
        <v>2871</v>
      </c>
      <c r="X135" t="s">
        <v>2872</v>
      </c>
      <c r="Y135" t="s">
        <v>2873</v>
      </c>
      <c r="Z135" t="s">
        <v>2874</v>
      </c>
      <c r="AA135" t="s">
        <v>74</v>
      </c>
      <c r="AB135" t="s">
        <v>2875</v>
      </c>
      <c r="AC135" t="s">
        <v>2876</v>
      </c>
      <c r="AD135" t="s">
        <v>2877</v>
      </c>
      <c r="AE135" t="s">
        <v>2878</v>
      </c>
      <c r="AF135" t="s">
        <v>74</v>
      </c>
      <c r="AG135">
        <v>34</v>
      </c>
      <c r="AH135">
        <v>15</v>
      </c>
      <c r="AI135">
        <v>20</v>
      </c>
      <c r="AJ135">
        <v>5</v>
      </c>
      <c r="AK135">
        <v>58</v>
      </c>
      <c r="AL135" t="s">
        <v>1140</v>
      </c>
      <c r="AM135" t="s">
        <v>1141</v>
      </c>
      <c r="AN135" t="s">
        <v>1142</v>
      </c>
      <c r="AO135" t="s">
        <v>2879</v>
      </c>
      <c r="AP135" t="s">
        <v>74</v>
      </c>
      <c r="AQ135" t="s">
        <v>74</v>
      </c>
      <c r="AR135" t="s">
        <v>2880</v>
      </c>
      <c r="AS135" t="s">
        <v>2881</v>
      </c>
      <c r="AT135" t="s">
        <v>98</v>
      </c>
      <c r="AU135">
        <v>2019</v>
      </c>
      <c r="AV135">
        <v>9</v>
      </c>
      <c r="AW135">
        <v>17</v>
      </c>
      <c r="AX135" t="s">
        <v>74</v>
      </c>
      <c r="AY135" t="s">
        <v>74</v>
      </c>
      <c r="AZ135" t="s">
        <v>74</v>
      </c>
      <c r="BA135" t="s">
        <v>74</v>
      </c>
      <c r="BB135">
        <v>9511</v>
      </c>
      <c r="BC135">
        <v>9531</v>
      </c>
      <c r="BD135" t="s">
        <v>74</v>
      </c>
      <c r="BE135" t="s">
        <v>2882</v>
      </c>
      <c r="BF135" t="str">
        <f>HYPERLINK("http://dx.doi.org/10.1002/ece3.5459","http://dx.doi.org/10.1002/ece3.5459")</f>
        <v>http://dx.doi.org/10.1002/ece3.5459</v>
      </c>
      <c r="BG135" t="s">
        <v>74</v>
      </c>
      <c r="BH135" t="s">
        <v>1149</v>
      </c>
      <c r="BI135">
        <v>21</v>
      </c>
      <c r="BJ135" t="s">
        <v>2883</v>
      </c>
      <c r="BK135" t="s">
        <v>101</v>
      </c>
      <c r="BL135" t="s">
        <v>2884</v>
      </c>
      <c r="BM135" t="s">
        <v>2885</v>
      </c>
      <c r="BN135">
        <v>31534672</v>
      </c>
      <c r="BO135" t="s">
        <v>261</v>
      </c>
      <c r="BP135" t="s">
        <v>74</v>
      </c>
      <c r="BQ135" t="s">
        <v>74</v>
      </c>
      <c r="BR135" t="s">
        <v>103</v>
      </c>
      <c r="BS135" t="s">
        <v>2886</v>
      </c>
      <c r="BT135" t="str">
        <f>HYPERLINK("https%3A%2F%2Fwww.webofscience.com%2Fwos%2Fwoscc%2Ffull-record%2FWOS:000479975100001","View Full Record in Web of Science")</f>
        <v>View Full Record in Web of Science</v>
      </c>
    </row>
    <row r="136" spans="1:72" x14ac:dyDescent="0.15">
      <c r="A136" t="s">
        <v>72</v>
      </c>
      <c r="B136" t="s">
        <v>2887</v>
      </c>
      <c r="C136" t="s">
        <v>74</v>
      </c>
      <c r="D136" t="s">
        <v>74</v>
      </c>
      <c r="E136" t="s">
        <v>74</v>
      </c>
      <c r="F136" t="s">
        <v>2888</v>
      </c>
      <c r="G136" t="s">
        <v>74</v>
      </c>
      <c r="H136" t="s">
        <v>74</v>
      </c>
      <c r="I136" t="s">
        <v>2889</v>
      </c>
      <c r="J136" t="s">
        <v>2890</v>
      </c>
      <c r="K136" t="s">
        <v>74</v>
      </c>
      <c r="L136" t="s">
        <v>74</v>
      </c>
      <c r="M136" t="s">
        <v>78</v>
      </c>
      <c r="N136" t="s">
        <v>108</v>
      </c>
      <c r="O136" t="s">
        <v>74</v>
      </c>
      <c r="P136" t="s">
        <v>74</v>
      </c>
      <c r="Q136" t="s">
        <v>74</v>
      </c>
      <c r="R136" t="s">
        <v>74</v>
      </c>
      <c r="S136" t="s">
        <v>74</v>
      </c>
      <c r="T136" t="s">
        <v>2891</v>
      </c>
      <c r="U136" t="s">
        <v>2892</v>
      </c>
      <c r="V136" t="s">
        <v>2893</v>
      </c>
      <c r="W136" t="s">
        <v>2894</v>
      </c>
      <c r="X136" t="s">
        <v>2895</v>
      </c>
      <c r="Y136" t="s">
        <v>2896</v>
      </c>
      <c r="Z136" t="s">
        <v>2897</v>
      </c>
      <c r="AA136" t="s">
        <v>2898</v>
      </c>
      <c r="AB136" t="s">
        <v>2899</v>
      </c>
      <c r="AC136" t="s">
        <v>2900</v>
      </c>
      <c r="AD136" t="s">
        <v>2901</v>
      </c>
      <c r="AE136" t="s">
        <v>2902</v>
      </c>
      <c r="AF136" t="s">
        <v>74</v>
      </c>
      <c r="AG136">
        <v>57</v>
      </c>
      <c r="AH136">
        <v>7</v>
      </c>
      <c r="AI136">
        <v>7</v>
      </c>
      <c r="AJ136">
        <v>0</v>
      </c>
      <c r="AK136">
        <v>22</v>
      </c>
      <c r="AL136" t="s">
        <v>868</v>
      </c>
      <c r="AM136" t="s">
        <v>869</v>
      </c>
      <c r="AN136" t="s">
        <v>870</v>
      </c>
      <c r="AO136" t="s">
        <v>2903</v>
      </c>
      <c r="AP136" t="s">
        <v>74</v>
      </c>
      <c r="AQ136" t="s">
        <v>74</v>
      </c>
      <c r="AR136" t="s">
        <v>2904</v>
      </c>
      <c r="AS136" t="s">
        <v>2905</v>
      </c>
      <c r="AT136" t="s">
        <v>2842</v>
      </c>
      <c r="AU136">
        <v>2019</v>
      </c>
      <c r="AV136">
        <v>10</v>
      </c>
      <c r="AW136" t="s">
        <v>74</v>
      </c>
      <c r="AX136" t="s">
        <v>74</v>
      </c>
      <c r="AY136" t="s">
        <v>74</v>
      </c>
      <c r="AZ136" t="s">
        <v>74</v>
      </c>
      <c r="BA136" t="s">
        <v>74</v>
      </c>
      <c r="BB136" t="s">
        <v>74</v>
      </c>
      <c r="BC136" t="s">
        <v>74</v>
      </c>
      <c r="BD136">
        <v>998</v>
      </c>
      <c r="BE136" t="s">
        <v>2906</v>
      </c>
      <c r="BF136" t="str">
        <f>HYPERLINK("http://dx.doi.org/10.3389/fpls.2019.00998","http://dx.doi.org/10.3389/fpls.2019.00998")</f>
        <v>http://dx.doi.org/10.3389/fpls.2019.00998</v>
      </c>
      <c r="BG136" t="s">
        <v>74</v>
      </c>
      <c r="BH136" t="s">
        <v>74</v>
      </c>
      <c r="BI136">
        <v>16</v>
      </c>
      <c r="BJ136" t="s">
        <v>2907</v>
      </c>
      <c r="BK136" t="s">
        <v>101</v>
      </c>
      <c r="BL136" t="s">
        <v>2907</v>
      </c>
      <c r="BM136" t="s">
        <v>2908</v>
      </c>
      <c r="BN136">
        <v>31428117</v>
      </c>
      <c r="BO136" t="s">
        <v>313</v>
      </c>
      <c r="BP136" t="s">
        <v>74</v>
      </c>
      <c r="BQ136" t="s">
        <v>74</v>
      </c>
      <c r="BR136" t="s">
        <v>103</v>
      </c>
      <c r="BS136" t="s">
        <v>2909</v>
      </c>
      <c r="BT136" t="str">
        <f>HYPERLINK("https%3A%2F%2Fwww.webofscience.com%2Fwos%2Fwoscc%2Ffull-record%2FWOS:000478605400001","View Full Record in Web of Science")</f>
        <v>View Full Record in Web of Science</v>
      </c>
    </row>
    <row r="137" spans="1:72" x14ac:dyDescent="0.15">
      <c r="A137" t="s">
        <v>72</v>
      </c>
      <c r="B137" t="s">
        <v>2910</v>
      </c>
      <c r="C137" t="s">
        <v>74</v>
      </c>
      <c r="D137" t="s">
        <v>74</v>
      </c>
      <c r="E137" t="s">
        <v>74</v>
      </c>
      <c r="F137" t="s">
        <v>2911</v>
      </c>
      <c r="G137" t="s">
        <v>74</v>
      </c>
      <c r="H137" t="s">
        <v>74</v>
      </c>
      <c r="I137" t="s">
        <v>2912</v>
      </c>
      <c r="J137" t="s">
        <v>2913</v>
      </c>
      <c r="K137" t="s">
        <v>74</v>
      </c>
      <c r="L137" t="s">
        <v>74</v>
      </c>
      <c r="M137" t="s">
        <v>78</v>
      </c>
      <c r="N137" t="s">
        <v>108</v>
      </c>
      <c r="O137" t="s">
        <v>74</v>
      </c>
      <c r="P137" t="s">
        <v>74</v>
      </c>
      <c r="Q137" t="s">
        <v>74</v>
      </c>
      <c r="R137" t="s">
        <v>74</v>
      </c>
      <c r="S137" t="s">
        <v>74</v>
      </c>
      <c r="T137" t="s">
        <v>2914</v>
      </c>
      <c r="U137" t="s">
        <v>2915</v>
      </c>
      <c r="V137" t="s">
        <v>2916</v>
      </c>
      <c r="W137" t="s">
        <v>2917</v>
      </c>
      <c r="X137" t="s">
        <v>2918</v>
      </c>
      <c r="Y137" t="s">
        <v>2919</v>
      </c>
      <c r="Z137" t="s">
        <v>2920</v>
      </c>
      <c r="AA137" t="s">
        <v>2921</v>
      </c>
      <c r="AB137" t="s">
        <v>2922</v>
      </c>
      <c r="AC137" t="s">
        <v>2923</v>
      </c>
      <c r="AD137" t="s">
        <v>2924</v>
      </c>
      <c r="AE137" t="s">
        <v>2925</v>
      </c>
      <c r="AF137" t="s">
        <v>74</v>
      </c>
      <c r="AG137">
        <v>53</v>
      </c>
      <c r="AH137">
        <v>7</v>
      </c>
      <c r="AI137">
        <v>11</v>
      </c>
      <c r="AJ137">
        <v>2</v>
      </c>
      <c r="AK137">
        <v>55</v>
      </c>
      <c r="AL137" t="s">
        <v>438</v>
      </c>
      <c r="AM137" t="s">
        <v>439</v>
      </c>
      <c r="AN137" t="s">
        <v>440</v>
      </c>
      <c r="AO137" t="s">
        <v>2926</v>
      </c>
      <c r="AP137" t="s">
        <v>2927</v>
      </c>
      <c r="AQ137" t="s">
        <v>74</v>
      </c>
      <c r="AR137" t="s">
        <v>2928</v>
      </c>
      <c r="AS137" t="s">
        <v>2929</v>
      </c>
      <c r="AT137" t="s">
        <v>2930</v>
      </c>
      <c r="AU137">
        <v>2019</v>
      </c>
      <c r="AV137">
        <v>157</v>
      </c>
      <c r="AW137" t="s">
        <v>74</v>
      </c>
      <c r="AX137" t="s">
        <v>74</v>
      </c>
      <c r="AY137" t="s">
        <v>74</v>
      </c>
      <c r="AZ137" t="s">
        <v>74</v>
      </c>
      <c r="BA137" t="s">
        <v>74</v>
      </c>
      <c r="BB137">
        <v>33</v>
      </c>
      <c r="BC137">
        <v>41</v>
      </c>
      <c r="BD137" t="s">
        <v>74</v>
      </c>
      <c r="BE137" t="s">
        <v>2931</v>
      </c>
      <c r="BF137" t="str">
        <f>HYPERLINK("http://dx.doi.org/10.1016/j.aquabot.2019.06.001","http://dx.doi.org/10.1016/j.aquabot.2019.06.001")</f>
        <v>http://dx.doi.org/10.1016/j.aquabot.2019.06.001</v>
      </c>
      <c r="BG137" t="s">
        <v>74</v>
      </c>
      <c r="BH137" t="s">
        <v>74</v>
      </c>
      <c r="BI137">
        <v>9</v>
      </c>
      <c r="BJ137" t="s">
        <v>1283</v>
      </c>
      <c r="BK137" t="s">
        <v>101</v>
      </c>
      <c r="BL137" t="s">
        <v>1283</v>
      </c>
      <c r="BM137" t="s">
        <v>2932</v>
      </c>
      <c r="BN137" t="s">
        <v>74</v>
      </c>
      <c r="BO137" t="s">
        <v>74</v>
      </c>
      <c r="BP137" t="s">
        <v>74</v>
      </c>
      <c r="BQ137" t="s">
        <v>74</v>
      </c>
      <c r="BR137" t="s">
        <v>103</v>
      </c>
      <c r="BS137" t="s">
        <v>2933</v>
      </c>
      <c r="BT137" t="str">
        <f>HYPERLINK("https%3A%2F%2Fwww.webofscience.com%2Fwos%2Fwoscc%2Ffull-record%2FWOS:000518578100005","View Full Record in Web of Science")</f>
        <v>View Full Record in Web of Science</v>
      </c>
    </row>
    <row r="138" spans="1:72" x14ac:dyDescent="0.15">
      <c r="A138" t="s">
        <v>72</v>
      </c>
      <c r="B138" t="s">
        <v>2934</v>
      </c>
      <c r="C138" t="s">
        <v>74</v>
      </c>
      <c r="D138" t="s">
        <v>74</v>
      </c>
      <c r="E138" t="s">
        <v>74</v>
      </c>
      <c r="F138" t="s">
        <v>2935</v>
      </c>
      <c r="G138" t="s">
        <v>74</v>
      </c>
      <c r="H138" t="s">
        <v>74</v>
      </c>
      <c r="I138" t="s">
        <v>2936</v>
      </c>
      <c r="J138" t="s">
        <v>2937</v>
      </c>
      <c r="K138" t="s">
        <v>74</v>
      </c>
      <c r="L138" t="s">
        <v>74</v>
      </c>
      <c r="M138" t="s">
        <v>78</v>
      </c>
      <c r="N138" t="s">
        <v>108</v>
      </c>
      <c r="O138" t="s">
        <v>74</v>
      </c>
      <c r="P138" t="s">
        <v>74</v>
      </c>
      <c r="Q138" t="s">
        <v>74</v>
      </c>
      <c r="R138" t="s">
        <v>74</v>
      </c>
      <c r="S138" t="s">
        <v>74</v>
      </c>
      <c r="T138" t="s">
        <v>2938</v>
      </c>
      <c r="U138" t="s">
        <v>2939</v>
      </c>
      <c r="V138" t="s">
        <v>2940</v>
      </c>
      <c r="W138" t="s">
        <v>2941</v>
      </c>
      <c r="X138" t="s">
        <v>2942</v>
      </c>
      <c r="Y138" t="s">
        <v>2943</v>
      </c>
      <c r="Z138" t="s">
        <v>2944</v>
      </c>
      <c r="AA138" t="s">
        <v>2945</v>
      </c>
      <c r="AB138" t="s">
        <v>2946</v>
      </c>
      <c r="AC138" t="s">
        <v>2947</v>
      </c>
      <c r="AD138" t="s">
        <v>2948</v>
      </c>
      <c r="AE138" t="s">
        <v>2949</v>
      </c>
      <c r="AF138" t="s">
        <v>74</v>
      </c>
      <c r="AG138">
        <v>58</v>
      </c>
      <c r="AH138">
        <v>10</v>
      </c>
      <c r="AI138">
        <v>13</v>
      </c>
      <c r="AJ138">
        <v>6</v>
      </c>
      <c r="AK138">
        <v>29</v>
      </c>
      <c r="AL138" t="s">
        <v>1140</v>
      </c>
      <c r="AM138" t="s">
        <v>1141</v>
      </c>
      <c r="AN138" t="s">
        <v>1142</v>
      </c>
      <c r="AO138" t="s">
        <v>2950</v>
      </c>
      <c r="AP138" t="s">
        <v>2951</v>
      </c>
      <c r="AQ138" t="s">
        <v>74</v>
      </c>
      <c r="AR138" t="s">
        <v>2952</v>
      </c>
      <c r="AS138" t="s">
        <v>2953</v>
      </c>
      <c r="AT138" t="s">
        <v>2930</v>
      </c>
      <c r="AU138">
        <v>2019</v>
      </c>
      <c r="AV138">
        <v>25</v>
      </c>
      <c r="AW138">
        <v>4</v>
      </c>
      <c r="AX138" t="s">
        <v>74</v>
      </c>
      <c r="AY138" t="s">
        <v>74</v>
      </c>
      <c r="AZ138" t="s">
        <v>74</v>
      </c>
      <c r="BA138" t="s">
        <v>74</v>
      </c>
      <c r="BB138">
        <v>862</v>
      </c>
      <c r="BC138">
        <v>872</v>
      </c>
      <c r="BD138" t="s">
        <v>74</v>
      </c>
      <c r="BE138" t="s">
        <v>2954</v>
      </c>
      <c r="BF138" t="str">
        <f>HYPERLINK("http://dx.doi.org/10.1111/anu.12906","http://dx.doi.org/10.1111/anu.12906")</f>
        <v>http://dx.doi.org/10.1111/anu.12906</v>
      </c>
      <c r="BG138" t="s">
        <v>74</v>
      </c>
      <c r="BH138" t="s">
        <v>74</v>
      </c>
      <c r="BI138">
        <v>11</v>
      </c>
      <c r="BJ138" t="s">
        <v>732</v>
      </c>
      <c r="BK138" t="s">
        <v>101</v>
      </c>
      <c r="BL138" t="s">
        <v>732</v>
      </c>
      <c r="BM138" t="s">
        <v>2955</v>
      </c>
      <c r="BN138" t="s">
        <v>74</v>
      </c>
      <c r="BO138" t="s">
        <v>366</v>
      </c>
      <c r="BP138" t="s">
        <v>74</v>
      </c>
      <c r="BQ138" t="s">
        <v>74</v>
      </c>
      <c r="BR138" t="s">
        <v>103</v>
      </c>
      <c r="BS138" t="s">
        <v>2956</v>
      </c>
      <c r="BT138" t="str">
        <f>HYPERLINK("https%3A%2F%2Fwww.webofscience.com%2Fwos%2Fwoscc%2Ffull-record%2FWOS:000491285400011","View Full Record in Web of Science")</f>
        <v>View Full Record in Web of Science</v>
      </c>
    </row>
    <row r="139" spans="1:72" x14ac:dyDescent="0.15">
      <c r="A139" t="s">
        <v>72</v>
      </c>
      <c r="B139" t="s">
        <v>2957</v>
      </c>
      <c r="C139" t="s">
        <v>74</v>
      </c>
      <c r="D139" t="s">
        <v>74</v>
      </c>
      <c r="E139" t="s">
        <v>74</v>
      </c>
      <c r="F139" t="s">
        <v>2958</v>
      </c>
      <c r="G139" t="s">
        <v>74</v>
      </c>
      <c r="H139" t="s">
        <v>74</v>
      </c>
      <c r="I139" t="s">
        <v>2959</v>
      </c>
      <c r="J139" t="s">
        <v>2960</v>
      </c>
      <c r="K139" t="s">
        <v>74</v>
      </c>
      <c r="L139" t="s">
        <v>74</v>
      </c>
      <c r="M139" t="s">
        <v>78</v>
      </c>
      <c r="N139" t="s">
        <v>2961</v>
      </c>
      <c r="O139" t="s">
        <v>74</v>
      </c>
      <c r="P139" t="s">
        <v>74</v>
      </c>
      <c r="Q139" t="s">
        <v>74</v>
      </c>
      <c r="R139" t="s">
        <v>74</v>
      </c>
      <c r="S139" t="s">
        <v>74</v>
      </c>
      <c r="T139" t="s">
        <v>2962</v>
      </c>
      <c r="U139" t="s">
        <v>2963</v>
      </c>
      <c r="V139" t="s">
        <v>2964</v>
      </c>
      <c r="W139" t="s">
        <v>2965</v>
      </c>
      <c r="X139" t="s">
        <v>2966</v>
      </c>
      <c r="Y139" t="s">
        <v>2967</v>
      </c>
      <c r="Z139" t="s">
        <v>2968</v>
      </c>
      <c r="AA139" t="s">
        <v>2969</v>
      </c>
      <c r="AB139" t="s">
        <v>2970</v>
      </c>
      <c r="AC139" t="s">
        <v>2971</v>
      </c>
      <c r="AD139" t="s">
        <v>2972</v>
      </c>
      <c r="AE139" t="s">
        <v>2973</v>
      </c>
      <c r="AF139" t="s">
        <v>74</v>
      </c>
      <c r="AG139">
        <v>34</v>
      </c>
      <c r="AH139">
        <v>4</v>
      </c>
      <c r="AI139">
        <v>6</v>
      </c>
      <c r="AJ139">
        <v>3</v>
      </c>
      <c r="AK139">
        <v>6</v>
      </c>
      <c r="AL139" t="s">
        <v>438</v>
      </c>
      <c r="AM139" t="s">
        <v>439</v>
      </c>
      <c r="AN139" t="s">
        <v>440</v>
      </c>
      <c r="AO139" t="s">
        <v>2974</v>
      </c>
      <c r="AP139" t="s">
        <v>74</v>
      </c>
      <c r="AQ139" t="s">
        <v>74</v>
      </c>
      <c r="AR139" t="s">
        <v>2975</v>
      </c>
      <c r="AS139" t="s">
        <v>2976</v>
      </c>
      <c r="AT139" t="s">
        <v>2930</v>
      </c>
      <c r="AU139">
        <v>2019</v>
      </c>
      <c r="AV139">
        <v>25</v>
      </c>
      <c r="AW139" t="s">
        <v>74</v>
      </c>
      <c r="AX139" t="s">
        <v>74</v>
      </c>
      <c r="AY139" t="s">
        <v>74</v>
      </c>
      <c r="AZ139" t="s">
        <v>74</v>
      </c>
      <c r="BA139" t="s">
        <v>74</v>
      </c>
      <c r="BB139" t="s">
        <v>74</v>
      </c>
      <c r="BC139" t="s">
        <v>74</v>
      </c>
      <c r="BD139">
        <v>104267</v>
      </c>
      <c r="BE139" t="s">
        <v>2977</v>
      </c>
      <c r="BF139" t="str">
        <f>HYPERLINK("http://dx.doi.org/10.1016/j.dib.2019.104267","http://dx.doi.org/10.1016/j.dib.2019.104267")</f>
        <v>http://dx.doi.org/10.1016/j.dib.2019.104267</v>
      </c>
      <c r="BG139" t="s">
        <v>74</v>
      </c>
      <c r="BH139" t="s">
        <v>74</v>
      </c>
      <c r="BI139">
        <v>35</v>
      </c>
      <c r="BJ139" t="s">
        <v>1004</v>
      </c>
      <c r="BK139" t="s">
        <v>2978</v>
      </c>
      <c r="BL139" t="s">
        <v>1005</v>
      </c>
      <c r="BM139" t="s">
        <v>2979</v>
      </c>
      <c r="BN139">
        <v>31388521</v>
      </c>
      <c r="BO139" t="s">
        <v>313</v>
      </c>
      <c r="BP139" t="s">
        <v>74</v>
      </c>
      <c r="BQ139" t="s">
        <v>74</v>
      </c>
      <c r="BR139" t="s">
        <v>103</v>
      </c>
      <c r="BS139" t="s">
        <v>2980</v>
      </c>
      <c r="BT139" t="str">
        <f>HYPERLINK("https%3A%2F%2Fwww.webofscience.com%2Fwos%2Fwoscc%2Ffull-record%2FWOS:000495104500290","View Full Record in Web of Science")</f>
        <v>View Full Record in Web of Science</v>
      </c>
    </row>
    <row r="140" spans="1:72" x14ac:dyDescent="0.15">
      <c r="A140" t="s">
        <v>72</v>
      </c>
      <c r="B140" t="s">
        <v>2981</v>
      </c>
      <c r="C140" t="s">
        <v>74</v>
      </c>
      <c r="D140" t="s">
        <v>74</v>
      </c>
      <c r="E140" t="s">
        <v>74</v>
      </c>
      <c r="F140" t="s">
        <v>2982</v>
      </c>
      <c r="G140" t="s">
        <v>74</v>
      </c>
      <c r="H140" t="s">
        <v>74</v>
      </c>
      <c r="I140" t="s">
        <v>2983</v>
      </c>
      <c r="J140" t="s">
        <v>2960</v>
      </c>
      <c r="K140" t="s">
        <v>74</v>
      </c>
      <c r="L140" t="s">
        <v>74</v>
      </c>
      <c r="M140" t="s">
        <v>78</v>
      </c>
      <c r="N140" t="s">
        <v>2961</v>
      </c>
      <c r="O140" t="s">
        <v>74</v>
      </c>
      <c r="P140" t="s">
        <v>74</v>
      </c>
      <c r="Q140" t="s">
        <v>74</v>
      </c>
      <c r="R140" t="s">
        <v>74</v>
      </c>
      <c r="S140" t="s">
        <v>74</v>
      </c>
      <c r="T140" t="s">
        <v>2984</v>
      </c>
      <c r="U140" t="s">
        <v>74</v>
      </c>
      <c r="V140" t="s">
        <v>2985</v>
      </c>
      <c r="W140" t="s">
        <v>2986</v>
      </c>
      <c r="X140" t="s">
        <v>2987</v>
      </c>
      <c r="Y140" t="s">
        <v>2988</v>
      </c>
      <c r="Z140" t="s">
        <v>2989</v>
      </c>
      <c r="AA140" t="s">
        <v>2990</v>
      </c>
      <c r="AB140" t="s">
        <v>2991</v>
      </c>
      <c r="AC140" t="s">
        <v>2992</v>
      </c>
      <c r="AD140" t="s">
        <v>2992</v>
      </c>
      <c r="AE140" t="s">
        <v>2993</v>
      </c>
      <c r="AF140" t="s">
        <v>74</v>
      </c>
      <c r="AG140">
        <v>6</v>
      </c>
      <c r="AH140">
        <v>2</v>
      </c>
      <c r="AI140">
        <v>2</v>
      </c>
      <c r="AJ140">
        <v>1</v>
      </c>
      <c r="AK140">
        <v>6</v>
      </c>
      <c r="AL140" t="s">
        <v>438</v>
      </c>
      <c r="AM140" t="s">
        <v>439</v>
      </c>
      <c r="AN140" t="s">
        <v>440</v>
      </c>
      <c r="AO140" t="s">
        <v>2974</v>
      </c>
      <c r="AP140" t="s">
        <v>74</v>
      </c>
      <c r="AQ140" t="s">
        <v>74</v>
      </c>
      <c r="AR140" t="s">
        <v>2975</v>
      </c>
      <c r="AS140" t="s">
        <v>2976</v>
      </c>
      <c r="AT140" t="s">
        <v>2930</v>
      </c>
      <c r="AU140">
        <v>2019</v>
      </c>
      <c r="AV140">
        <v>25</v>
      </c>
      <c r="AW140" t="s">
        <v>74</v>
      </c>
      <c r="AX140" t="s">
        <v>74</v>
      </c>
      <c r="AY140" t="s">
        <v>74</v>
      </c>
      <c r="AZ140" t="s">
        <v>74</v>
      </c>
      <c r="BA140" t="s">
        <v>74</v>
      </c>
      <c r="BB140" t="s">
        <v>74</v>
      </c>
      <c r="BC140" t="s">
        <v>74</v>
      </c>
      <c r="BD140">
        <v>104327</v>
      </c>
      <c r="BE140" t="s">
        <v>2994</v>
      </c>
      <c r="BF140" t="str">
        <f>HYPERLINK("http://dx.doi.org/10.1016/j.dib.2019.104327","http://dx.doi.org/10.1016/j.dib.2019.104327")</f>
        <v>http://dx.doi.org/10.1016/j.dib.2019.104327</v>
      </c>
      <c r="BG140" t="s">
        <v>74</v>
      </c>
      <c r="BH140" t="s">
        <v>74</v>
      </c>
      <c r="BI140">
        <v>12</v>
      </c>
      <c r="BJ140" t="s">
        <v>1004</v>
      </c>
      <c r="BK140" t="s">
        <v>2978</v>
      </c>
      <c r="BL140" t="s">
        <v>1005</v>
      </c>
      <c r="BM140" t="s">
        <v>2979</v>
      </c>
      <c r="BN140">
        <v>31467951</v>
      </c>
      <c r="BO140" t="s">
        <v>313</v>
      </c>
      <c r="BP140" t="s">
        <v>74</v>
      </c>
      <c r="BQ140" t="s">
        <v>74</v>
      </c>
      <c r="BR140" t="s">
        <v>103</v>
      </c>
      <c r="BS140" t="s">
        <v>2995</v>
      </c>
      <c r="BT140" t="str">
        <f>HYPERLINK("https%3A%2F%2Fwww.webofscience.com%2Fwos%2Fwoscc%2Ffull-record%2FWOS:000495104500345","View Full Record in Web of Science")</f>
        <v>View Full Record in Web of Science</v>
      </c>
    </row>
    <row r="141" spans="1:72" x14ac:dyDescent="0.15">
      <c r="A141" t="s">
        <v>72</v>
      </c>
      <c r="B141" t="s">
        <v>2996</v>
      </c>
      <c r="C141" t="s">
        <v>74</v>
      </c>
      <c r="D141" t="s">
        <v>74</v>
      </c>
      <c r="E141" t="s">
        <v>74</v>
      </c>
      <c r="F141" t="s">
        <v>2997</v>
      </c>
      <c r="G141" t="s">
        <v>74</v>
      </c>
      <c r="H141" t="s">
        <v>74</v>
      </c>
      <c r="I141" t="s">
        <v>2998</v>
      </c>
      <c r="J141" t="s">
        <v>2960</v>
      </c>
      <c r="K141" t="s">
        <v>74</v>
      </c>
      <c r="L141" t="s">
        <v>74</v>
      </c>
      <c r="M141" t="s">
        <v>78</v>
      </c>
      <c r="N141" t="s">
        <v>2961</v>
      </c>
      <c r="O141" t="s">
        <v>74</v>
      </c>
      <c r="P141" t="s">
        <v>74</v>
      </c>
      <c r="Q141" t="s">
        <v>74</v>
      </c>
      <c r="R141" t="s">
        <v>74</v>
      </c>
      <c r="S141" t="s">
        <v>74</v>
      </c>
      <c r="T141" t="s">
        <v>2999</v>
      </c>
      <c r="U141" t="s">
        <v>3000</v>
      </c>
      <c r="V141" t="s">
        <v>3001</v>
      </c>
      <c r="W141" t="s">
        <v>3002</v>
      </c>
      <c r="X141" t="s">
        <v>3003</v>
      </c>
      <c r="Y141" t="s">
        <v>3004</v>
      </c>
      <c r="Z141" t="s">
        <v>3005</v>
      </c>
      <c r="AA141" t="s">
        <v>3006</v>
      </c>
      <c r="AB141" t="s">
        <v>3007</v>
      </c>
      <c r="AC141" t="s">
        <v>3008</v>
      </c>
      <c r="AD141" t="s">
        <v>3009</v>
      </c>
      <c r="AE141" t="s">
        <v>3010</v>
      </c>
      <c r="AF141" t="s">
        <v>74</v>
      </c>
      <c r="AG141">
        <v>3</v>
      </c>
      <c r="AH141">
        <v>1</v>
      </c>
      <c r="AI141">
        <v>1</v>
      </c>
      <c r="AJ141">
        <v>0</v>
      </c>
      <c r="AK141">
        <v>2</v>
      </c>
      <c r="AL141" t="s">
        <v>438</v>
      </c>
      <c r="AM141" t="s">
        <v>439</v>
      </c>
      <c r="AN141" t="s">
        <v>440</v>
      </c>
      <c r="AO141" t="s">
        <v>2974</v>
      </c>
      <c r="AP141" t="s">
        <v>74</v>
      </c>
      <c r="AQ141" t="s">
        <v>74</v>
      </c>
      <c r="AR141" t="s">
        <v>2975</v>
      </c>
      <c r="AS141" t="s">
        <v>2976</v>
      </c>
      <c r="AT141" t="s">
        <v>2930</v>
      </c>
      <c r="AU141">
        <v>2019</v>
      </c>
      <c r="AV141">
        <v>25</v>
      </c>
      <c r="AW141" t="s">
        <v>74</v>
      </c>
      <c r="AX141" t="s">
        <v>74</v>
      </c>
      <c r="AY141" t="s">
        <v>74</v>
      </c>
      <c r="AZ141" t="s">
        <v>74</v>
      </c>
      <c r="BA141" t="s">
        <v>74</v>
      </c>
      <c r="BB141" t="s">
        <v>74</v>
      </c>
      <c r="BC141" t="s">
        <v>74</v>
      </c>
      <c r="BD141">
        <v>104245</v>
      </c>
      <c r="BE141" t="s">
        <v>3011</v>
      </c>
      <c r="BF141" t="str">
        <f>HYPERLINK("http://dx.doi.org/10.1016/j.dib.2019.104245","http://dx.doi.org/10.1016/j.dib.2019.104245")</f>
        <v>http://dx.doi.org/10.1016/j.dib.2019.104245</v>
      </c>
      <c r="BG141" t="s">
        <v>74</v>
      </c>
      <c r="BH141" t="s">
        <v>74</v>
      </c>
      <c r="BI141">
        <v>5</v>
      </c>
      <c r="BJ141" t="s">
        <v>1004</v>
      </c>
      <c r="BK141" t="s">
        <v>2978</v>
      </c>
      <c r="BL141" t="s">
        <v>1005</v>
      </c>
      <c r="BM141" t="s">
        <v>2979</v>
      </c>
      <c r="BN141">
        <v>31497627</v>
      </c>
      <c r="BO141" t="s">
        <v>331</v>
      </c>
      <c r="BP141" t="s">
        <v>74</v>
      </c>
      <c r="BQ141" t="s">
        <v>74</v>
      </c>
      <c r="BR141" t="s">
        <v>103</v>
      </c>
      <c r="BS141" t="s">
        <v>3012</v>
      </c>
      <c r="BT141" t="str">
        <f>HYPERLINK("https%3A%2F%2Fwww.webofscience.com%2Fwos%2Fwoscc%2Ffull-record%2FWOS:000495104500270","View Full Record in Web of Science")</f>
        <v>View Full Record in Web of Science</v>
      </c>
    </row>
    <row r="142" spans="1:72" x14ac:dyDescent="0.15">
      <c r="A142" t="s">
        <v>72</v>
      </c>
      <c r="B142" t="s">
        <v>3013</v>
      </c>
      <c r="C142" t="s">
        <v>74</v>
      </c>
      <c r="D142" t="s">
        <v>74</v>
      </c>
      <c r="E142" t="s">
        <v>74</v>
      </c>
      <c r="F142" t="s">
        <v>3014</v>
      </c>
      <c r="G142" t="s">
        <v>74</v>
      </c>
      <c r="H142" t="s">
        <v>74</v>
      </c>
      <c r="I142" t="s">
        <v>3015</v>
      </c>
      <c r="J142" t="s">
        <v>3016</v>
      </c>
      <c r="K142" t="s">
        <v>74</v>
      </c>
      <c r="L142" t="s">
        <v>74</v>
      </c>
      <c r="M142" t="s">
        <v>78</v>
      </c>
      <c r="N142" t="s">
        <v>108</v>
      </c>
      <c r="O142" t="s">
        <v>74</v>
      </c>
      <c r="P142" t="s">
        <v>74</v>
      </c>
      <c r="Q142" t="s">
        <v>74</v>
      </c>
      <c r="R142" t="s">
        <v>74</v>
      </c>
      <c r="S142" t="s">
        <v>74</v>
      </c>
      <c r="T142" t="s">
        <v>74</v>
      </c>
      <c r="U142" t="s">
        <v>3017</v>
      </c>
      <c r="V142" t="s">
        <v>3018</v>
      </c>
      <c r="W142" t="s">
        <v>3019</v>
      </c>
      <c r="X142" t="s">
        <v>3020</v>
      </c>
      <c r="Y142" t="s">
        <v>3021</v>
      </c>
      <c r="Z142" t="s">
        <v>3022</v>
      </c>
      <c r="AA142" t="s">
        <v>3023</v>
      </c>
      <c r="AB142" t="s">
        <v>3024</v>
      </c>
      <c r="AC142" t="s">
        <v>3025</v>
      </c>
      <c r="AD142" t="s">
        <v>3026</v>
      </c>
      <c r="AE142" t="s">
        <v>3027</v>
      </c>
      <c r="AF142" t="s">
        <v>74</v>
      </c>
      <c r="AG142">
        <v>66</v>
      </c>
      <c r="AH142">
        <v>20</v>
      </c>
      <c r="AI142">
        <v>20</v>
      </c>
      <c r="AJ142">
        <v>0</v>
      </c>
      <c r="AK142">
        <v>18</v>
      </c>
      <c r="AL142" t="s">
        <v>182</v>
      </c>
      <c r="AM142" t="s">
        <v>183</v>
      </c>
      <c r="AN142" t="s">
        <v>184</v>
      </c>
      <c r="AO142" t="s">
        <v>3028</v>
      </c>
      <c r="AP142" t="s">
        <v>3029</v>
      </c>
      <c r="AQ142" t="s">
        <v>74</v>
      </c>
      <c r="AR142" t="s">
        <v>3030</v>
      </c>
      <c r="AS142" t="s">
        <v>3031</v>
      </c>
      <c r="AT142" t="s">
        <v>2930</v>
      </c>
      <c r="AU142">
        <v>2019</v>
      </c>
      <c r="AV142">
        <v>34</v>
      </c>
      <c r="AW142">
        <v>8</v>
      </c>
      <c r="AX142" t="s">
        <v>74</v>
      </c>
      <c r="AY142" t="s">
        <v>74</v>
      </c>
      <c r="AZ142" t="s">
        <v>74</v>
      </c>
      <c r="BA142" t="s">
        <v>74</v>
      </c>
      <c r="BB142">
        <v>1328</v>
      </c>
      <c r="BC142">
        <v>1343</v>
      </c>
      <c r="BD142" t="s">
        <v>74</v>
      </c>
      <c r="BE142" t="s">
        <v>3032</v>
      </c>
      <c r="BF142" t="str">
        <f>HYPERLINK("http://dx.doi.org/10.1029/2019PA003638","http://dx.doi.org/10.1029/2019PA003638")</f>
        <v>http://dx.doi.org/10.1029/2019PA003638</v>
      </c>
      <c r="BG142" t="s">
        <v>74</v>
      </c>
      <c r="BH142" t="s">
        <v>74</v>
      </c>
      <c r="BI142">
        <v>16</v>
      </c>
      <c r="BJ142" t="s">
        <v>3033</v>
      </c>
      <c r="BK142" t="s">
        <v>101</v>
      </c>
      <c r="BL142" t="s">
        <v>3034</v>
      </c>
      <c r="BM142" t="s">
        <v>3035</v>
      </c>
      <c r="BN142" t="s">
        <v>74</v>
      </c>
      <c r="BO142" t="s">
        <v>74</v>
      </c>
      <c r="BP142" t="s">
        <v>74</v>
      </c>
      <c r="BQ142" t="s">
        <v>74</v>
      </c>
      <c r="BR142" t="s">
        <v>103</v>
      </c>
      <c r="BS142" t="s">
        <v>3036</v>
      </c>
      <c r="BT142" t="str">
        <f>HYPERLINK("https%3A%2F%2Fwww.webofscience.com%2Fwos%2Fwoscc%2Ffull-record%2FWOS:000495384600005","View Full Record in Web of Science")</f>
        <v>View Full Record in Web of Science</v>
      </c>
    </row>
    <row r="143" spans="1:72" x14ac:dyDescent="0.15">
      <c r="A143" t="s">
        <v>72</v>
      </c>
      <c r="B143" t="s">
        <v>3037</v>
      </c>
      <c r="C143" t="s">
        <v>74</v>
      </c>
      <c r="D143" t="s">
        <v>74</v>
      </c>
      <c r="E143" t="s">
        <v>74</v>
      </c>
      <c r="F143" t="s">
        <v>3038</v>
      </c>
      <c r="G143" t="s">
        <v>74</v>
      </c>
      <c r="H143" t="s">
        <v>74</v>
      </c>
      <c r="I143" t="s">
        <v>3039</v>
      </c>
      <c r="J143" t="s">
        <v>3016</v>
      </c>
      <c r="K143" t="s">
        <v>74</v>
      </c>
      <c r="L143" t="s">
        <v>74</v>
      </c>
      <c r="M143" t="s">
        <v>78</v>
      </c>
      <c r="N143" t="s">
        <v>108</v>
      </c>
      <c r="O143" t="s">
        <v>74</v>
      </c>
      <c r="P143" t="s">
        <v>74</v>
      </c>
      <c r="Q143" t="s">
        <v>74</v>
      </c>
      <c r="R143" t="s">
        <v>74</v>
      </c>
      <c r="S143" t="s">
        <v>74</v>
      </c>
      <c r="T143" t="s">
        <v>74</v>
      </c>
      <c r="U143" t="s">
        <v>3040</v>
      </c>
      <c r="V143" t="s">
        <v>3041</v>
      </c>
      <c r="W143" t="s">
        <v>3042</v>
      </c>
      <c r="X143" t="s">
        <v>3043</v>
      </c>
      <c r="Y143" t="s">
        <v>3044</v>
      </c>
      <c r="Z143" t="s">
        <v>3045</v>
      </c>
      <c r="AA143" t="s">
        <v>3046</v>
      </c>
      <c r="AB143" t="s">
        <v>3047</v>
      </c>
      <c r="AC143" t="s">
        <v>3048</v>
      </c>
      <c r="AD143" t="s">
        <v>3049</v>
      </c>
      <c r="AE143" t="s">
        <v>3050</v>
      </c>
      <c r="AF143" t="s">
        <v>74</v>
      </c>
      <c r="AG143">
        <v>72</v>
      </c>
      <c r="AH143">
        <v>20</v>
      </c>
      <c r="AI143">
        <v>20</v>
      </c>
      <c r="AJ143">
        <v>0</v>
      </c>
      <c r="AK143">
        <v>8</v>
      </c>
      <c r="AL143" t="s">
        <v>182</v>
      </c>
      <c r="AM143" t="s">
        <v>183</v>
      </c>
      <c r="AN143" t="s">
        <v>184</v>
      </c>
      <c r="AO143" t="s">
        <v>3028</v>
      </c>
      <c r="AP143" t="s">
        <v>3029</v>
      </c>
      <c r="AQ143" t="s">
        <v>74</v>
      </c>
      <c r="AR143" t="s">
        <v>3030</v>
      </c>
      <c r="AS143" t="s">
        <v>3031</v>
      </c>
      <c r="AT143" t="s">
        <v>2930</v>
      </c>
      <c r="AU143">
        <v>2019</v>
      </c>
      <c r="AV143">
        <v>34</v>
      </c>
      <c r="AW143">
        <v>8</v>
      </c>
      <c r="AX143" t="s">
        <v>74</v>
      </c>
      <c r="AY143" t="s">
        <v>74</v>
      </c>
      <c r="AZ143" t="s">
        <v>74</v>
      </c>
      <c r="BA143" t="s">
        <v>74</v>
      </c>
      <c r="BB143">
        <v>1437</v>
      </c>
      <c r="BC143">
        <v>1454</v>
      </c>
      <c r="BD143" t="s">
        <v>74</v>
      </c>
      <c r="BE143" t="s">
        <v>3051</v>
      </c>
      <c r="BF143" t="str">
        <f>HYPERLINK("http://dx.doi.org/10.1029/2019PA003644","http://dx.doi.org/10.1029/2019PA003644")</f>
        <v>http://dx.doi.org/10.1029/2019PA003644</v>
      </c>
      <c r="BG143" t="s">
        <v>74</v>
      </c>
      <c r="BH143" t="s">
        <v>74</v>
      </c>
      <c r="BI143">
        <v>18</v>
      </c>
      <c r="BJ143" t="s">
        <v>3033</v>
      </c>
      <c r="BK143" t="s">
        <v>101</v>
      </c>
      <c r="BL143" t="s">
        <v>3034</v>
      </c>
      <c r="BM143" t="s">
        <v>3035</v>
      </c>
      <c r="BN143" t="s">
        <v>74</v>
      </c>
      <c r="BO143" t="s">
        <v>1465</v>
      </c>
      <c r="BP143" t="s">
        <v>74</v>
      </c>
      <c r="BQ143" t="s">
        <v>74</v>
      </c>
      <c r="BR143" t="s">
        <v>103</v>
      </c>
      <c r="BS143" t="s">
        <v>3052</v>
      </c>
      <c r="BT143" t="str">
        <f>HYPERLINK("https%3A%2F%2Fwww.webofscience.com%2Fwos%2Fwoscc%2Ffull-record%2FWOS:000495384600010","View Full Record in Web of Science")</f>
        <v>View Full Record in Web of Science</v>
      </c>
    </row>
    <row r="144" spans="1:72" x14ac:dyDescent="0.15">
      <c r="A144" t="s">
        <v>72</v>
      </c>
      <c r="B144" t="s">
        <v>3053</v>
      </c>
      <c r="C144" t="s">
        <v>74</v>
      </c>
      <c r="D144" t="s">
        <v>74</v>
      </c>
      <c r="E144" t="s">
        <v>74</v>
      </c>
      <c r="F144" t="s">
        <v>3054</v>
      </c>
      <c r="G144" t="s">
        <v>74</v>
      </c>
      <c r="H144" t="s">
        <v>74</v>
      </c>
      <c r="I144" t="s">
        <v>3055</v>
      </c>
      <c r="J144" t="s">
        <v>3016</v>
      </c>
      <c r="K144" t="s">
        <v>74</v>
      </c>
      <c r="L144" t="s">
        <v>74</v>
      </c>
      <c r="M144" t="s">
        <v>78</v>
      </c>
      <c r="N144" t="s">
        <v>108</v>
      </c>
      <c r="O144" t="s">
        <v>74</v>
      </c>
      <c r="P144" t="s">
        <v>74</v>
      </c>
      <c r="Q144" t="s">
        <v>74</v>
      </c>
      <c r="R144" t="s">
        <v>74</v>
      </c>
      <c r="S144" t="s">
        <v>74</v>
      </c>
      <c r="T144" t="s">
        <v>74</v>
      </c>
      <c r="U144" t="s">
        <v>3056</v>
      </c>
      <c r="V144" t="s">
        <v>3057</v>
      </c>
      <c r="W144" t="s">
        <v>3058</v>
      </c>
      <c r="X144" t="s">
        <v>3059</v>
      </c>
      <c r="Y144" t="s">
        <v>3060</v>
      </c>
      <c r="Z144" t="s">
        <v>3061</v>
      </c>
      <c r="AA144" t="s">
        <v>3062</v>
      </c>
      <c r="AB144" t="s">
        <v>3063</v>
      </c>
      <c r="AC144" t="s">
        <v>3064</v>
      </c>
      <c r="AD144" t="s">
        <v>3065</v>
      </c>
      <c r="AE144" t="s">
        <v>3066</v>
      </c>
      <c r="AF144" t="s">
        <v>74</v>
      </c>
      <c r="AG144">
        <v>49</v>
      </c>
      <c r="AH144">
        <v>13</v>
      </c>
      <c r="AI144">
        <v>14</v>
      </c>
      <c r="AJ144">
        <v>1</v>
      </c>
      <c r="AK144">
        <v>15</v>
      </c>
      <c r="AL144" t="s">
        <v>182</v>
      </c>
      <c r="AM144" t="s">
        <v>183</v>
      </c>
      <c r="AN144" t="s">
        <v>184</v>
      </c>
      <c r="AO144" t="s">
        <v>3028</v>
      </c>
      <c r="AP144" t="s">
        <v>3029</v>
      </c>
      <c r="AQ144" t="s">
        <v>74</v>
      </c>
      <c r="AR144" t="s">
        <v>3030</v>
      </c>
      <c r="AS144" t="s">
        <v>3031</v>
      </c>
      <c r="AT144" t="s">
        <v>2930</v>
      </c>
      <c r="AU144">
        <v>2019</v>
      </c>
      <c r="AV144">
        <v>34</v>
      </c>
      <c r="AW144">
        <v>8</v>
      </c>
      <c r="AX144" t="s">
        <v>74</v>
      </c>
      <c r="AY144" t="s">
        <v>74</v>
      </c>
      <c r="AZ144" t="s">
        <v>74</v>
      </c>
      <c r="BA144" t="s">
        <v>74</v>
      </c>
      <c r="BB144">
        <v>1476</v>
      </c>
      <c r="BC144">
        <v>1486</v>
      </c>
      <c r="BD144" t="s">
        <v>74</v>
      </c>
      <c r="BE144" t="s">
        <v>3067</v>
      </c>
      <c r="BF144" t="str">
        <f>HYPERLINK("http://dx.doi.org/10.1029/2019PA003691","http://dx.doi.org/10.1029/2019PA003691")</f>
        <v>http://dx.doi.org/10.1029/2019PA003691</v>
      </c>
      <c r="BG144" t="s">
        <v>74</v>
      </c>
      <c r="BH144" t="s">
        <v>74</v>
      </c>
      <c r="BI144">
        <v>11</v>
      </c>
      <c r="BJ144" t="s">
        <v>3033</v>
      </c>
      <c r="BK144" t="s">
        <v>101</v>
      </c>
      <c r="BL144" t="s">
        <v>3034</v>
      </c>
      <c r="BM144" t="s">
        <v>3035</v>
      </c>
      <c r="BN144" t="s">
        <v>74</v>
      </c>
      <c r="BO144" t="s">
        <v>164</v>
      </c>
      <c r="BP144" t="s">
        <v>74</v>
      </c>
      <c r="BQ144" t="s">
        <v>74</v>
      </c>
      <c r="BR144" t="s">
        <v>103</v>
      </c>
      <c r="BS144" t="s">
        <v>3068</v>
      </c>
      <c r="BT144" t="str">
        <f>HYPERLINK("https%3A%2F%2Fwww.webofscience.com%2Fwos%2Fwoscc%2Ffull-record%2FWOS:000495384600012","View Full Record in Web of Science")</f>
        <v>View Full Record in Web of Science</v>
      </c>
    </row>
    <row r="145" spans="1:72" x14ac:dyDescent="0.15">
      <c r="A145" t="s">
        <v>72</v>
      </c>
      <c r="B145" t="s">
        <v>3069</v>
      </c>
      <c r="C145" t="s">
        <v>74</v>
      </c>
      <c r="D145" t="s">
        <v>74</v>
      </c>
      <c r="E145" t="s">
        <v>74</v>
      </c>
      <c r="F145" t="s">
        <v>3070</v>
      </c>
      <c r="G145" t="s">
        <v>74</v>
      </c>
      <c r="H145" t="s">
        <v>74</v>
      </c>
      <c r="I145" t="s">
        <v>3071</v>
      </c>
      <c r="J145" t="s">
        <v>3072</v>
      </c>
      <c r="K145" t="s">
        <v>74</v>
      </c>
      <c r="L145" t="s">
        <v>74</v>
      </c>
      <c r="M145" t="s">
        <v>78</v>
      </c>
      <c r="N145" t="s">
        <v>108</v>
      </c>
      <c r="O145" t="s">
        <v>74</v>
      </c>
      <c r="P145" t="s">
        <v>74</v>
      </c>
      <c r="Q145" t="s">
        <v>74</v>
      </c>
      <c r="R145" t="s">
        <v>74</v>
      </c>
      <c r="S145" t="s">
        <v>74</v>
      </c>
      <c r="T145" t="s">
        <v>74</v>
      </c>
      <c r="U145" t="s">
        <v>3073</v>
      </c>
      <c r="V145" t="s">
        <v>3074</v>
      </c>
      <c r="W145" t="s">
        <v>3075</v>
      </c>
      <c r="X145" t="s">
        <v>3076</v>
      </c>
      <c r="Y145" t="s">
        <v>3077</v>
      </c>
      <c r="Z145" t="s">
        <v>3078</v>
      </c>
      <c r="AA145" t="s">
        <v>3079</v>
      </c>
      <c r="AB145" t="s">
        <v>3080</v>
      </c>
      <c r="AC145" t="s">
        <v>3081</v>
      </c>
      <c r="AD145" t="s">
        <v>3082</v>
      </c>
      <c r="AE145" t="s">
        <v>3083</v>
      </c>
      <c r="AF145" t="s">
        <v>74</v>
      </c>
      <c r="AG145">
        <v>56</v>
      </c>
      <c r="AH145">
        <v>8</v>
      </c>
      <c r="AI145">
        <v>8</v>
      </c>
      <c r="AJ145">
        <v>1</v>
      </c>
      <c r="AK145">
        <v>6</v>
      </c>
      <c r="AL145" t="s">
        <v>3084</v>
      </c>
      <c r="AM145" t="s">
        <v>93</v>
      </c>
      <c r="AN145" t="s">
        <v>3085</v>
      </c>
      <c r="AO145" t="s">
        <v>3086</v>
      </c>
      <c r="AP145" t="s">
        <v>3087</v>
      </c>
      <c r="AQ145" t="s">
        <v>74</v>
      </c>
      <c r="AR145" t="s">
        <v>3088</v>
      </c>
      <c r="AS145" t="s">
        <v>3089</v>
      </c>
      <c r="AT145" t="s">
        <v>2930</v>
      </c>
      <c r="AU145">
        <v>2019</v>
      </c>
      <c r="AV145">
        <v>85</v>
      </c>
      <c r="AW145" t="s">
        <v>74</v>
      </c>
      <c r="AX145">
        <v>3</v>
      </c>
      <c r="AY145" t="s">
        <v>74</v>
      </c>
      <c r="AZ145" t="s">
        <v>74</v>
      </c>
      <c r="BA145" t="s">
        <v>74</v>
      </c>
      <c r="BB145">
        <v>319</v>
      </c>
      <c r="BC145">
        <v>326</v>
      </c>
      <c r="BD145" t="s">
        <v>74</v>
      </c>
      <c r="BE145" t="s">
        <v>3090</v>
      </c>
      <c r="BF145" t="str">
        <f>HYPERLINK("http://dx.doi.org/10.1093/mollus/eyz015","http://dx.doi.org/10.1093/mollus/eyz015")</f>
        <v>http://dx.doi.org/10.1093/mollus/eyz015</v>
      </c>
      <c r="BG145" t="s">
        <v>74</v>
      </c>
      <c r="BH145" t="s">
        <v>74</v>
      </c>
      <c r="BI145">
        <v>8</v>
      </c>
      <c r="BJ145" t="s">
        <v>3091</v>
      </c>
      <c r="BK145" t="s">
        <v>101</v>
      </c>
      <c r="BL145" t="s">
        <v>3091</v>
      </c>
      <c r="BM145" t="s">
        <v>3092</v>
      </c>
      <c r="BN145" t="s">
        <v>74</v>
      </c>
      <c r="BO145" t="s">
        <v>1308</v>
      </c>
      <c r="BP145" t="s">
        <v>74</v>
      </c>
      <c r="BQ145" t="s">
        <v>74</v>
      </c>
      <c r="BR145" t="s">
        <v>103</v>
      </c>
      <c r="BS145" t="s">
        <v>3093</v>
      </c>
      <c r="BT145" t="str">
        <f>HYPERLINK("https%3A%2F%2Fwww.webofscience.com%2Fwos%2Fwoscc%2Ffull-record%2FWOS:000493561900004","View Full Record in Web of Science")</f>
        <v>View Full Record in Web of Science</v>
      </c>
    </row>
    <row r="146" spans="1:72" x14ac:dyDescent="0.15">
      <c r="A146" t="s">
        <v>72</v>
      </c>
      <c r="B146" t="s">
        <v>3094</v>
      </c>
      <c r="C146" t="s">
        <v>74</v>
      </c>
      <c r="D146" t="s">
        <v>74</v>
      </c>
      <c r="E146" t="s">
        <v>74</v>
      </c>
      <c r="F146" t="s">
        <v>3095</v>
      </c>
      <c r="G146" t="s">
        <v>74</v>
      </c>
      <c r="H146" t="s">
        <v>74</v>
      </c>
      <c r="I146" t="s">
        <v>3096</v>
      </c>
      <c r="J146" t="s">
        <v>3097</v>
      </c>
      <c r="K146" t="s">
        <v>74</v>
      </c>
      <c r="L146" t="s">
        <v>74</v>
      </c>
      <c r="M146" t="s">
        <v>78</v>
      </c>
      <c r="N146" t="s">
        <v>108</v>
      </c>
      <c r="O146" t="s">
        <v>74</v>
      </c>
      <c r="P146" t="s">
        <v>74</v>
      </c>
      <c r="Q146" t="s">
        <v>74</v>
      </c>
      <c r="R146" t="s">
        <v>74</v>
      </c>
      <c r="S146" t="s">
        <v>74</v>
      </c>
      <c r="T146" t="s">
        <v>3098</v>
      </c>
      <c r="U146" t="s">
        <v>3099</v>
      </c>
      <c r="V146" t="s">
        <v>3100</v>
      </c>
      <c r="W146" t="s">
        <v>3101</v>
      </c>
      <c r="X146" t="s">
        <v>3102</v>
      </c>
      <c r="Y146" t="s">
        <v>3103</v>
      </c>
      <c r="Z146" t="s">
        <v>3104</v>
      </c>
      <c r="AA146" t="s">
        <v>3105</v>
      </c>
      <c r="AB146" t="s">
        <v>3106</v>
      </c>
      <c r="AC146" t="s">
        <v>3107</v>
      </c>
      <c r="AD146" t="s">
        <v>3108</v>
      </c>
      <c r="AE146" t="s">
        <v>3109</v>
      </c>
      <c r="AF146" t="s">
        <v>74</v>
      </c>
      <c r="AG146">
        <v>115</v>
      </c>
      <c r="AH146">
        <v>15</v>
      </c>
      <c r="AI146">
        <v>16</v>
      </c>
      <c r="AJ146">
        <v>0</v>
      </c>
      <c r="AK146">
        <v>41</v>
      </c>
      <c r="AL146" t="s">
        <v>3084</v>
      </c>
      <c r="AM146" t="s">
        <v>93</v>
      </c>
      <c r="AN146" t="s">
        <v>3085</v>
      </c>
      <c r="AO146" t="s">
        <v>3110</v>
      </c>
      <c r="AP146" t="s">
        <v>3111</v>
      </c>
      <c r="AQ146" t="s">
        <v>74</v>
      </c>
      <c r="AR146" t="s">
        <v>3112</v>
      </c>
      <c r="AS146" t="s">
        <v>3113</v>
      </c>
      <c r="AT146" t="s">
        <v>2930</v>
      </c>
      <c r="AU146">
        <v>2019</v>
      </c>
      <c r="AV146">
        <v>36</v>
      </c>
      <c r="AW146">
        <v>8</v>
      </c>
      <c r="AX146" t="s">
        <v>74</v>
      </c>
      <c r="AY146" t="s">
        <v>74</v>
      </c>
      <c r="AZ146" t="s">
        <v>74</v>
      </c>
      <c r="BA146" t="s">
        <v>74</v>
      </c>
      <c r="BB146">
        <v>1671</v>
      </c>
      <c r="BC146">
        <v>1685</v>
      </c>
      <c r="BD146" t="s">
        <v>74</v>
      </c>
      <c r="BE146" t="s">
        <v>3114</v>
      </c>
      <c r="BF146" t="str">
        <f>HYPERLINK("http://dx.doi.org/10.1093/molbev/msz090","http://dx.doi.org/10.1093/molbev/msz090")</f>
        <v>http://dx.doi.org/10.1093/molbev/msz090</v>
      </c>
      <c r="BG146" t="s">
        <v>74</v>
      </c>
      <c r="BH146" t="s">
        <v>74</v>
      </c>
      <c r="BI146">
        <v>15</v>
      </c>
      <c r="BJ146" t="s">
        <v>3115</v>
      </c>
      <c r="BK146" t="s">
        <v>101</v>
      </c>
      <c r="BL146" t="s">
        <v>3115</v>
      </c>
      <c r="BM146" t="s">
        <v>3116</v>
      </c>
      <c r="BN146">
        <v>31028398</v>
      </c>
      <c r="BO146" t="s">
        <v>3117</v>
      </c>
      <c r="BP146" t="s">
        <v>74</v>
      </c>
      <c r="BQ146" t="s">
        <v>74</v>
      </c>
      <c r="BR146" t="s">
        <v>103</v>
      </c>
      <c r="BS146" t="s">
        <v>3118</v>
      </c>
      <c r="BT146" t="str">
        <f>HYPERLINK("https%3A%2F%2Fwww.webofscience.com%2Fwos%2Fwoscc%2Ffull-record%2FWOS:000493042600007","View Full Record in Web of Science")</f>
        <v>View Full Record in Web of Science</v>
      </c>
    </row>
    <row r="147" spans="1:72" x14ac:dyDescent="0.15">
      <c r="A147" t="s">
        <v>72</v>
      </c>
      <c r="B147" t="s">
        <v>3119</v>
      </c>
      <c r="C147" t="s">
        <v>74</v>
      </c>
      <c r="D147" t="s">
        <v>74</v>
      </c>
      <c r="E147" t="s">
        <v>74</v>
      </c>
      <c r="F147" t="s">
        <v>3120</v>
      </c>
      <c r="G147" t="s">
        <v>74</v>
      </c>
      <c r="H147" t="s">
        <v>74</v>
      </c>
      <c r="I147" t="s">
        <v>3121</v>
      </c>
      <c r="J147" t="s">
        <v>3122</v>
      </c>
      <c r="K147" t="s">
        <v>74</v>
      </c>
      <c r="L147" t="s">
        <v>74</v>
      </c>
      <c r="M147" t="s">
        <v>78</v>
      </c>
      <c r="N147" t="s">
        <v>108</v>
      </c>
      <c r="O147" t="s">
        <v>74</v>
      </c>
      <c r="P147" t="s">
        <v>74</v>
      </c>
      <c r="Q147" t="s">
        <v>74</v>
      </c>
      <c r="R147" t="s">
        <v>74</v>
      </c>
      <c r="S147" t="s">
        <v>74</v>
      </c>
      <c r="T147" t="s">
        <v>3123</v>
      </c>
      <c r="U147" t="s">
        <v>3124</v>
      </c>
      <c r="V147" t="s">
        <v>3125</v>
      </c>
      <c r="W147" t="s">
        <v>3126</v>
      </c>
      <c r="X147" t="s">
        <v>3127</v>
      </c>
      <c r="Y147" t="s">
        <v>3128</v>
      </c>
      <c r="Z147" t="s">
        <v>3129</v>
      </c>
      <c r="AA147" t="s">
        <v>3130</v>
      </c>
      <c r="AB147" t="s">
        <v>3131</v>
      </c>
      <c r="AC147" t="s">
        <v>3132</v>
      </c>
      <c r="AD147" t="s">
        <v>3133</v>
      </c>
      <c r="AE147" t="s">
        <v>3134</v>
      </c>
      <c r="AF147" t="s">
        <v>74</v>
      </c>
      <c r="AG147">
        <v>72</v>
      </c>
      <c r="AH147">
        <v>5</v>
      </c>
      <c r="AI147">
        <v>6</v>
      </c>
      <c r="AJ147">
        <v>3</v>
      </c>
      <c r="AK147">
        <v>18</v>
      </c>
      <c r="AL147" t="s">
        <v>3135</v>
      </c>
      <c r="AM147" t="s">
        <v>3136</v>
      </c>
      <c r="AN147" t="s">
        <v>3137</v>
      </c>
      <c r="AO147" t="s">
        <v>3138</v>
      </c>
      <c r="AP147" t="s">
        <v>3139</v>
      </c>
      <c r="AQ147" t="s">
        <v>74</v>
      </c>
      <c r="AR147" t="s">
        <v>3140</v>
      </c>
      <c r="AS147" t="s">
        <v>3141</v>
      </c>
      <c r="AT147" t="s">
        <v>2930</v>
      </c>
      <c r="AU147">
        <v>2019</v>
      </c>
      <c r="AV147">
        <v>48</v>
      </c>
      <c r="AW147">
        <v>4</v>
      </c>
      <c r="AX147" t="s">
        <v>74</v>
      </c>
      <c r="AY147" t="s">
        <v>74</v>
      </c>
      <c r="AZ147" t="s">
        <v>74</v>
      </c>
      <c r="BA147" t="s">
        <v>74</v>
      </c>
      <c r="BB147">
        <v>911</v>
      </c>
      <c r="BC147">
        <v>922</v>
      </c>
      <c r="BD147" t="s">
        <v>74</v>
      </c>
      <c r="BE147" t="s">
        <v>3142</v>
      </c>
      <c r="BF147" t="str">
        <f>HYPERLINK("http://dx.doi.org/10.1093/ee/nvz065","http://dx.doi.org/10.1093/ee/nvz065")</f>
        <v>http://dx.doi.org/10.1093/ee/nvz065</v>
      </c>
      <c r="BG147" t="s">
        <v>74</v>
      </c>
      <c r="BH147" t="s">
        <v>74</v>
      </c>
      <c r="BI147">
        <v>12</v>
      </c>
      <c r="BJ147" t="s">
        <v>3143</v>
      </c>
      <c r="BK147" t="s">
        <v>101</v>
      </c>
      <c r="BL147" t="s">
        <v>3143</v>
      </c>
      <c r="BM147" t="s">
        <v>3144</v>
      </c>
      <c r="BN147">
        <v>31177281</v>
      </c>
      <c r="BO147" t="s">
        <v>74</v>
      </c>
      <c r="BP147" t="s">
        <v>74</v>
      </c>
      <c r="BQ147" t="s">
        <v>74</v>
      </c>
      <c r="BR147" t="s">
        <v>103</v>
      </c>
      <c r="BS147" t="s">
        <v>3145</v>
      </c>
      <c r="BT147" t="str">
        <f>HYPERLINK("https%3A%2F%2Fwww.webofscience.com%2Fwos%2Fwoscc%2Ffull-record%2FWOS:000493086500015","View Full Record in Web of Science")</f>
        <v>View Full Record in Web of Science</v>
      </c>
    </row>
    <row r="148" spans="1:72" x14ac:dyDescent="0.15">
      <c r="A148" t="s">
        <v>72</v>
      </c>
      <c r="B148" t="s">
        <v>3146</v>
      </c>
      <c r="C148" t="s">
        <v>74</v>
      </c>
      <c r="D148" t="s">
        <v>74</v>
      </c>
      <c r="E148" t="s">
        <v>74</v>
      </c>
      <c r="F148" t="s">
        <v>3147</v>
      </c>
      <c r="G148" t="s">
        <v>74</v>
      </c>
      <c r="H148" t="s">
        <v>74</v>
      </c>
      <c r="I148" t="s">
        <v>3148</v>
      </c>
      <c r="J148" t="s">
        <v>3149</v>
      </c>
      <c r="K148" t="s">
        <v>74</v>
      </c>
      <c r="L148" t="s">
        <v>74</v>
      </c>
      <c r="M148" t="s">
        <v>78</v>
      </c>
      <c r="N148" t="s">
        <v>108</v>
      </c>
      <c r="O148" t="s">
        <v>74</v>
      </c>
      <c r="P148" t="s">
        <v>74</v>
      </c>
      <c r="Q148" t="s">
        <v>74</v>
      </c>
      <c r="R148" t="s">
        <v>74</v>
      </c>
      <c r="S148" t="s">
        <v>74</v>
      </c>
      <c r="T148" t="s">
        <v>3150</v>
      </c>
      <c r="U148" t="s">
        <v>3151</v>
      </c>
      <c r="V148" t="s">
        <v>3152</v>
      </c>
      <c r="W148" t="s">
        <v>3153</v>
      </c>
      <c r="X148" t="s">
        <v>3154</v>
      </c>
      <c r="Y148" t="s">
        <v>3155</v>
      </c>
      <c r="Z148" t="s">
        <v>3156</v>
      </c>
      <c r="AA148" t="s">
        <v>3157</v>
      </c>
      <c r="AB148" t="s">
        <v>3158</v>
      </c>
      <c r="AC148" t="s">
        <v>3159</v>
      </c>
      <c r="AD148" t="s">
        <v>3160</v>
      </c>
      <c r="AE148" t="s">
        <v>3161</v>
      </c>
      <c r="AF148" t="s">
        <v>74</v>
      </c>
      <c r="AG148">
        <v>144</v>
      </c>
      <c r="AH148">
        <v>24</v>
      </c>
      <c r="AI148">
        <v>24</v>
      </c>
      <c r="AJ148">
        <v>0</v>
      </c>
      <c r="AK148">
        <v>9</v>
      </c>
      <c r="AL148" t="s">
        <v>182</v>
      </c>
      <c r="AM148" t="s">
        <v>183</v>
      </c>
      <c r="AN148" t="s">
        <v>184</v>
      </c>
      <c r="AO148" t="s">
        <v>3162</v>
      </c>
      <c r="AP148" t="s">
        <v>3163</v>
      </c>
      <c r="AQ148" t="s">
        <v>74</v>
      </c>
      <c r="AR148" t="s">
        <v>3164</v>
      </c>
      <c r="AS148" t="s">
        <v>3165</v>
      </c>
      <c r="AT148" t="s">
        <v>2930</v>
      </c>
      <c r="AU148">
        <v>2019</v>
      </c>
      <c r="AV148">
        <v>124</v>
      </c>
      <c r="AW148">
        <v>8</v>
      </c>
      <c r="AX148" t="s">
        <v>74</v>
      </c>
      <c r="AY148" t="s">
        <v>74</v>
      </c>
      <c r="AZ148" t="s">
        <v>74</v>
      </c>
      <c r="BA148" t="s">
        <v>74</v>
      </c>
      <c r="BB148">
        <v>7699</v>
      </c>
      <c r="BC148">
        <v>7724</v>
      </c>
      <c r="BD148" t="s">
        <v>74</v>
      </c>
      <c r="BE148" t="s">
        <v>3166</v>
      </c>
      <c r="BF148" t="str">
        <f>HYPERLINK("http://dx.doi.org/10.1029/2018JB016683","http://dx.doi.org/10.1029/2018JB016683")</f>
        <v>http://dx.doi.org/10.1029/2018JB016683</v>
      </c>
      <c r="BG148" t="s">
        <v>74</v>
      </c>
      <c r="BH148" t="s">
        <v>74</v>
      </c>
      <c r="BI148">
        <v>26</v>
      </c>
      <c r="BJ148" t="s">
        <v>190</v>
      </c>
      <c r="BK148" t="s">
        <v>101</v>
      </c>
      <c r="BL148" t="s">
        <v>190</v>
      </c>
      <c r="BM148" t="s">
        <v>3167</v>
      </c>
      <c r="BN148" t="s">
        <v>74</v>
      </c>
      <c r="BO148" t="s">
        <v>1256</v>
      </c>
      <c r="BP148" t="s">
        <v>74</v>
      </c>
      <c r="BQ148" t="s">
        <v>74</v>
      </c>
      <c r="BR148" t="s">
        <v>103</v>
      </c>
      <c r="BS148" t="s">
        <v>3168</v>
      </c>
      <c r="BT148" t="str">
        <f>HYPERLINK("https%3A%2F%2Fwww.webofscience.com%2Fwos%2Fwoscc%2Ffull-record%2FWOS:000491283500010","View Full Record in Web of Science")</f>
        <v>View Full Record in Web of Science</v>
      </c>
    </row>
    <row r="149" spans="1:72" x14ac:dyDescent="0.15">
      <c r="A149" t="s">
        <v>72</v>
      </c>
      <c r="B149" t="s">
        <v>3169</v>
      </c>
      <c r="C149" t="s">
        <v>74</v>
      </c>
      <c r="D149" t="s">
        <v>74</v>
      </c>
      <c r="E149" t="s">
        <v>74</v>
      </c>
      <c r="F149" t="s">
        <v>3170</v>
      </c>
      <c r="G149" t="s">
        <v>74</v>
      </c>
      <c r="H149" t="s">
        <v>74</v>
      </c>
      <c r="I149" t="s">
        <v>3171</v>
      </c>
      <c r="J149" t="s">
        <v>3172</v>
      </c>
      <c r="K149" t="s">
        <v>74</v>
      </c>
      <c r="L149" t="s">
        <v>74</v>
      </c>
      <c r="M149" t="s">
        <v>78</v>
      </c>
      <c r="N149" t="s">
        <v>108</v>
      </c>
      <c r="O149" t="s">
        <v>74</v>
      </c>
      <c r="P149" t="s">
        <v>74</v>
      </c>
      <c r="Q149" t="s">
        <v>74</v>
      </c>
      <c r="R149" t="s">
        <v>74</v>
      </c>
      <c r="S149" t="s">
        <v>74</v>
      </c>
      <c r="T149" t="s">
        <v>74</v>
      </c>
      <c r="U149" t="s">
        <v>3173</v>
      </c>
      <c r="V149" t="s">
        <v>3174</v>
      </c>
      <c r="W149" t="s">
        <v>3175</v>
      </c>
      <c r="X149" t="s">
        <v>3176</v>
      </c>
      <c r="Y149" t="s">
        <v>3177</v>
      </c>
      <c r="Z149" t="s">
        <v>3178</v>
      </c>
      <c r="AA149" t="s">
        <v>3179</v>
      </c>
      <c r="AB149" t="s">
        <v>3180</v>
      </c>
      <c r="AC149" t="s">
        <v>3181</v>
      </c>
      <c r="AD149" t="s">
        <v>3182</v>
      </c>
      <c r="AE149" t="s">
        <v>3183</v>
      </c>
      <c r="AF149" t="s">
        <v>74</v>
      </c>
      <c r="AG149">
        <v>109</v>
      </c>
      <c r="AH149">
        <v>7</v>
      </c>
      <c r="AI149">
        <v>7</v>
      </c>
      <c r="AJ149">
        <v>0</v>
      </c>
      <c r="AK149">
        <v>11</v>
      </c>
      <c r="AL149" t="s">
        <v>182</v>
      </c>
      <c r="AM149" t="s">
        <v>183</v>
      </c>
      <c r="AN149" t="s">
        <v>184</v>
      </c>
      <c r="AO149" t="s">
        <v>74</v>
      </c>
      <c r="AP149" t="s">
        <v>3184</v>
      </c>
      <c r="AQ149" t="s">
        <v>74</v>
      </c>
      <c r="AR149" t="s">
        <v>3185</v>
      </c>
      <c r="AS149" t="s">
        <v>3186</v>
      </c>
      <c r="AT149" t="s">
        <v>2930</v>
      </c>
      <c r="AU149">
        <v>2019</v>
      </c>
      <c r="AV149">
        <v>11</v>
      </c>
      <c r="AW149">
        <v>8</v>
      </c>
      <c r="AX149" t="s">
        <v>74</v>
      </c>
      <c r="AY149" t="s">
        <v>74</v>
      </c>
      <c r="AZ149" t="s">
        <v>74</v>
      </c>
      <c r="BA149" t="s">
        <v>74</v>
      </c>
      <c r="BB149">
        <v>2814</v>
      </c>
      <c r="BC149">
        <v>2843</v>
      </c>
      <c r="BD149" t="s">
        <v>74</v>
      </c>
      <c r="BE149" t="s">
        <v>3187</v>
      </c>
      <c r="BF149" t="str">
        <f>HYPERLINK("http://dx.doi.org/10.1029/2018MS001524","http://dx.doi.org/10.1029/2018MS001524")</f>
        <v>http://dx.doi.org/10.1029/2018MS001524</v>
      </c>
      <c r="BG149" t="s">
        <v>74</v>
      </c>
      <c r="BH149" t="s">
        <v>74</v>
      </c>
      <c r="BI149">
        <v>30</v>
      </c>
      <c r="BJ149" t="s">
        <v>259</v>
      </c>
      <c r="BK149" t="s">
        <v>101</v>
      </c>
      <c r="BL149" t="s">
        <v>259</v>
      </c>
      <c r="BM149" t="s">
        <v>3188</v>
      </c>
      <c r="BN149" t="s">
        <v>74</v>
      </c>
      <c r="BO149" t="s">
        <v>366</v>
      </c>
      <c r="BP149" t="s">
        <v>74</v>
      </c>
      <c r="BQ149" t="s">
        <v>74</v>
      </c>
      <c r="BR149" t="s">
        <v>103</v>
      </c>
      <c r="BS149" t="s">
        <v>3189</v>
      </c>
      <c r="BT149" t="str">
        <f>HYPERLINK("https%3A%2F%2Fwww.webofscience.com%2Fwos%2Fwoscc%2Ffull-record%2FWOS:000490949100021","View Full Record in Web of Science")</f>
        <v>View Full Record in Web of Science</v>
      </c>
    </row>
    <row r="150" spans="1:72" x14ac:dyDescent="0.15">
      <c r="A150" t="s">
        <v>72</v>
      </c>
      <c r="B150" t="s">
        <v>3190</v>
      </c>
      <c r="C150" t="s">
        <v>74</v>
      </c>
      <c r="D150" t="s">
        <v>74</v>
      </c>
      <c r="E150" t="s">
        <v>74</v>
      </c>
      <c r="F150" t="s">
        <v>3191</v>
      </c>
      <c r="G150" t="s">
        <v>74</v>
      </c>
      <c r="H150" t="s">
        <v>74</v>
      </c>
      <c r="I150" t="s">
        <v>3192</v>
      </c>
      <c r="J150" t="s">
        <v>3193</v>
      </c>
      <c r="K150" t="s">
        <v>74</v>
      </c>
      <c r="L150" t="s">
        <v>74</v>
      </c>
      <c r="M150" t="s">
        <v>78</v>
      </c>
      <c r="N150" t="s">
        <v>108</v>
      </c>
      <c r="O150" t="s">
        <v>74</v>
      </c>
      <c r="P150" t="s">
        <v>74</v>
      </c>
      <c r="Q150" t="s">
        <v>74</v>
      </c>
      <c r="R150" t="s">
        <v>74</v>
      </c>
      <c r="S150" t="s">
        <v>74</v>
      </c>
      <c r="T150" t="s">
        <v>3194</v>
      </c>
      <c r="U150" t="s">
        <v>3195</v>
      </c>
      <c r="V150" t="s">
        <v>3196</v>
      </c>
      <c r="W150" t="s">
        <v>3197</v>
      </c>
      <c r="X150" t="s">
        <v>3198</v>
      </c>
      <c r="Y150" t="s">
        <v>3199</v>
      </c>
      <c r="Z150" t="s">
        <v>3200</v>
      </c>
      <c r="AA150" t="s">
        <v>3201</v>
      </c>
      <c r="AB150" t="s">
        <v>3202</v>
      </c>
      <c r="AC150" t="s">
        <v>3203</v>
      </c>
      <c r="AD150" t="s">
        <v>3204</v>
      </c>
      <c r="AE150" t="s">
        <v>3205</v>
      </c>
      <c r="AF150" t="s">
        <v>74</v>
      </c>
      <c r="AG150">
        <v>80</v>
      </c>
      <c r="AH150">
        <v>8</v>
      </c>
      <c r="AI150">
        <v>8</v>
      </c>
      <c r="AJ150">
        <v>0</v>
      </c>
      <c r="AK150">
        <v>7</v>
      </c>
      <c r="AL150" t="s">
        <v>182</v>
      </c>
      <c r="AM150" t="s">
        <v>183</v>
      </c>
      <c r="AN150" t="s">
        <v>184</v>
      </c>
      <c r="AO150" t="s">
        <v>3206</v>
      </c>
      <c r="AP150" t="s">
        <v>3207</v>
      </c>
      <c r="AQ150" t="s">
        <v>74</v>
      </c>
      <c r="AR150" t="s">
        <v>3208</v>
      </c>
      <c r="AS150" t="s">
        <v>3209</v>
      </c>
      <c r="AT150" t="s">
        <v>2930</v>
      </c>
      <c r="AU150">
        <v>2019</v>
      </c>
      <c r="AV150">
        <v>124</v>
      </c>
      <c r="AW150">
        <v>8</v>
      </c>
      <c r="AX150" t="s">
        <v>74</v>
      </c>
      <c r="AY150" t="s">
        <v>74</v>
      </c>
      <c r="AZ150" t="s">
        <v>74</v>
      </c>
      <c r="BA150" t="s">
        <v>74</v>
      </c>
      <c r="BB150">
        <v>6776</v>
      </c>
      <c r="BC150">
        <v>6791</v>
      </c>
      <c r="BD150" t="s">
        <v>74</v>
      </c>
      <c r="BE150" t="s">
        <v>3210</v>
      </c>
      <c r="BF150" t="str">
        <f>HYPERLINK("http://dx.doi.org/10.1029/2019JA026766","http://dx.doi.org/10.1029/2019JA026766")</f>
        <v>http://dx.doi.org/10.1029/2019JA026766</v>
      </c>
      <c r="BG150" t="s">
        <v>74</v>
      </c>
      <c r="BH150" t="s">
        <v>74</v>
      </c>
      <c r="BI150">
        <v>16</v>
      </c>
      <c r="BJ150" t="s">
        <v>1696</v>
      </c>
      <c r="BK150" t="s">
        <v>101</v>
      </c>
      <c r="BL150" t="s">
        <v>1696</v>
      </c>
      <c r="BM150" t="s">
        <v>3211</v>
      </c>
      <c r="BN150" t="s">
        <v>74</v>
      </c>
      <c r="BO150" t="s">
        <v>3212</v>
      </c>
      <c r="BP150" t="s">
        <v>74</v>
      </c>
      <c r="BQ150" t="s">
        <v>74</v>
      </c>
      <c r="BR150" t="s">
        <v>103</v>
      </c>
      <c r="BS150" t="s">
        <v>3213</v>
      </c>
      <c r="BT150" t="str">
        <f>HYPERLINK("https%3A%2F%2Fwww.webofscience.com%2Fwos%2Fwoscc%2Ffull-record%2FWOS:000490956600025","View Full Record in Web of Science")</f>
        <v>View Full Record in Web of Science</v>
      </c>
    </row>
    <row r="151" spans="1:72" x14ac:dyDescent="0.15">
      <c r="A151" t="s">
        <v>72</v>
      </c>
      <c r="B151" t="s">
        <v>3214</v>
      </c>
      <c r="C151" t="s">
        <v>74</v>
      </c>
      <c r="D151" t="s">
        <v>74</v>
      </c>
      <c r="E151" t="s">
        <v>74</v>
      </c>
      <c r="F151" t="s">
        <v>3215</v>
      </c>
      <c r="G151" t="s">
        <v>74</v>
      </c>
      <c r="H151" t="s">
        <v>74</v>
      </c>
      <c r="I151" t="s">
        <v>3216</v>
      </c>
      <c r="J151" t="s">
        <v>3193</v>
      </c>
      <c r="K151" t="s">
        <v>74</v>
      </c>
      <c r="L151" t="s">
        <v>74</v>
      </c>
      <c r="M151" t="s">
        <v>78</v>
      </c>
      <c r="N151" t="s">
        <v>108</v>
      </c>
      <c r="O151" t="s">
        <v>74</v>
      </c>
      <c r="P151" t="s">
        <v>74</v>
      </c>
      <c r="Q151" t="s">
        <v>74</v>
      </c>
      <c r="R151" t="s">
        <v>74</v>
      </c>
      <c r="S151" t="s">
        <v>74</v>
      </c>
      <c r="T151" t="s">
        <v>3217</v>
      </c>
      <c r="U151" t="s">
        <v>3218</v>
      </c>
      <c r="V151" t="s">
        <v>3219</v>
      </c>
      <c r="W151" t="s">
        <v>3220</v>
      </c>
      <c r="X151" t="s">
        <v>3221</v>
      </c>
      <c r="Y151" t="s">
        <v>3222</v>
      </c>
      <c r="Z151" t="s">
        <v>3223</v>
      </c>
      <c r="AA151" t="s">
        <v>3224</v>
      </c>
      <c r="AB151" t="s">
        <v>3225</v>
      </c>
      <c r="AC151" t="s">
        <v>3226</v>
      </c>
      <c r="AD151" t="s">
        <v>3227</v>
      </c>
      <c r="AE151" t="s">
        <v>3228</v>
      </c>
      <c r="AF151" t="s">
        <v>74</v>
      </c>
      <c r="AG151">
        <v>96</v>
      </c>
      <c r="AH151">
        <v>20</v>
      </c>
      <c r="AI151">
        <v>20</v>
      </c>
      <c r="AJ151">
        <v>1</v>
      </c>
      <c r="AK151">
        <v>9</v>
      </c>
      <c r="AL151" t="s">
        <v>182</v>
      </c>
      <c r="AM151" t="s">
        <v>183</v>
      </c>
      <c r="AN151" t="s">
        <v>184</v>
      </c>
      <c r="AO151" t="s">
        <v>3206</v>
      </c>
      <c r="AP151" t="s">
        <v>3207</v>
      </c>
      <c r="AQ151" t="s">
        <v>74</v>
      </c>
      <c r="AR151" t="s">
        <v>3208</v>
      </c>
      <c r="AS151" t="s">
        <v>3209</v>
      </c>
      <c r="AT151" t="s">
        <v>2930</v>
      </c>
      <c r="AU151">
        <v>2019</v>
      </c>
      <c r="AV151">
        <v>124</v>
      </c>
      <c r="AW151">
        <v>8</v>
      </c>
      <c r="AX151" t="s">
        <v>74</v>
      </c>
      <c r="AY151" t="s">
        <v>74</v>
      </c>
      <c r="AZ151" t="s">
        <v>74</v>
      </c>
      <c r="BA151" t="s">
        <v>74</v>
      </c>
      <c r="BB151">
        <v>6792</v>
      </c>
      <c r="BC151">
        <v>6811</v>
      </c>
      <c r="BD151" t="s">
        <v>74</v>
      </c>
      <c r="BE151" t="s">
        <v>3229</v>
      </c>
      <c r="BF151" t="str">
        <f>HYPERLINK("http://dx.doi.org/10.1029/2019JA026668","http://dx.doi.org/10.1029/2019JA026668")</f>
        <v>http://dx.doi.org/10.1029/2019JA026668</v>
      </c>
      <c r="BG151" t="s">
        <v>74</v>
      </c>
      <c r="BH151" t="s">
        <v>74</v>
      </c>
      <c r="BI151">
        <v>20</v>
      </c>
      <c r="BJ151" t="s">
        <v>1696</v>
      </c>
      <c r="BK151" t="s">
        <v>101</v>
      </c>
      <c r="BL151" t="s">
        <v>1696</v>
      </c>
      <c r="BM151" t="s">
        <v>3211</v>
      </c>
      <c r="BN151" t="s">
        <v>74</v>
      </c>
      <c r="BO151" t="s">
        <v>1308</v>
      </c>
      <c r="BP151" t="s">
        <v>74</v>
      </c>
      <c r="BQ151" t="s">
        <v>74</v>
      </c>
      <c r="BR151" t="s">
        <v>103</v>
      </c>
      <c r="BS151" t="s">
        <v>3230</v>
      </c>
      <c r="BT151" t="str">
        <f>HYPERLINK("https%3A%2F%2Fwww.webofscience.com%2Fwos%2Fwoscc%2Ffull-record%2FWOS:000490956600026","View Full Record in Web of Science")</f>
        <v>View Full Record in Web of Science</v>
      </c>
    </row>
    <row r="152" spans="1:72" x14ac:dyDescent="0.15">
      <c r="A152" t="s">
        <v>72</v>
      </c>
      <c r="B152" t="s">
        <v>3231</v>
      </c>
      <c r="C152" t="s">
        <v>74</v>
      </c>
      <c r="D152" t="s">
        <v>74</v>
      </c>
      <c r="E152" t="s">
        <v>74</v>
      </c>
      <c r="F152" t="s">
        <v>3232</v>
      </c>
      <c r="G152" t="s">
        <v>74</v>
      </c>
      <c r="H152" t="s">
        <v>74</v>
      </c>
      <c r="I152" t="s">
        <v>3233</v>
      </c>
      <c r="J152" t="s">
        <v>3193</v>
      </c>
      <c r="K152" t="s">
        <v>74</v>
      </c>
      <c r="L152" t="s">
        <v>74</v>
      </c>
      <c r="M152" t="s">
        <v>78</v>
      </c>
      <c r="N152" t="s">
        <v>108</v>
      </c>
      <c r="O152" t="s">
        <v>74</v>
      </c>
      <c r="P152" t="s">
        <v>74</v>
      </c>
      <c r="Q152" t="s">
        <v>74</v>
      </c>
      <c r="R152" t="s">
        <v>74</v>
      </c>
      <c r="S152" t="s">
        <v>74</v>
      </c>
      <c r="T152" t="s">
        <v>3234</v>
      </c>
      <c r="U152" t="s">
        <v>74</v>
      </c>
      <c r="V152" t="s">
        <v>3235</v>
      </c>
      <c r="W152" t="s">
        <v>3236</v>
      </c>
      <c r="X152" t="s">
        <v>3237</v>
      </c>
      <c r="Y152" t="s">
        <v>3238</v>
      </c>
      <c r="Z152" t="s">
        <v>3239</v>
      </c>
      <c r="AA152" t="s">
        <v>3240</v>
      </c>
      <c r="AB152" t="s">
        <v>3241</v>
      </c>
      <c r="AC152" t="s">
        <v>3242</v>
      </c>
      <c r="AD152" t="s">
        <v>3243</v>
      </c>
      <c r="AE152" t="s">
        <v>3244</v>
      </c>
      <c r="AF152" t="s">
        <v>74</v>
      </c>
      <c r="AG152">
        <v>23</v>
      </c>
      <c r="AH152">
        <v>28</v>
      </c>
      <c r="AI152">
        <v>28</v>
      </c>
      <c r="AJ152">
        <v>0</v>
      </c>
      <c r="AK152">
        <v>21</v>
      </c>
      <c r="AL152" t="s">
        <v>182</v>
      </c>
      <c r="AM152" t="s">
        <v>183</v>
      </c>
      <c r="AN152" t="s">
        <v>184</v>
      </c>
      <c r="AO152" t="s">
        <v>3206</v>
      </c>
      <c r="AP152" t="s">
        <v>3207</v>
      </c>
      <c r="AQ152" t="s">
        <v>74</v>
      </c>
      <c r="AR152" t="s">
        <v>3208</v>
      </c>
      <c r="AS152" t="s">
        <v>3209</v>
      </c>
      <c r="AT152" t="s">
        <v>2930</v>
      </c>
      <c r="AU152">
        <v>2019</v>
      </c>
      <c r="AV152">
        <v>124</v>
      </c>
      <c r="AW152">
        <v>8</v>
      </c>
      <c r="AX152" t="s">
        <v>74</v>
      </c>
      <c r="AY152" t="s">
        <v>74</v>
      </c>
      <c r="AZ152" t="s">
        <v>74</v>
      </c>
      <c r="BA152" t="s">
        <v>74</v>
      </c>
      <c r="BB152">
        <v>7341</v>
      </c>
      <c r="BC152">
        <v>7355</v>
      </c>
      <c r="BD152" t="s">
        <v>74</v>
      </c>
      <c r="BE152" t="s">
        <v>3245</v>
      </c>
      <c r="BF152" t="str">
        <f>HYPERLINK("http://dx.doi.org/10.1029/2018JA026402","http://dx.doi.org/10.1029/2018JA026402")</f>
        <v>http://dx.doi.org/10.1029/2018JA026402</v>
      </c>
      <c r="BG152" t="s">
        <v>74</v>
      </c>
      <c r="BH152" t="s">
        <v>74</v>
      </c>
      <c r="BI152">
        <v>15</v>
      </c>
      <c r="BJ152" t="s">
        <v>1696</v>
      </c>
      <c r="BK152" t="s">
        <v>101</v>
      </c>
      <c r="BL152" t="s">
        <v>1696</v>
      </c>
      <c r="BM152" t="s">
        <v>3211</v>
      </c>
      <c r="BN152" t="s">
        <v>74</v>
      </c>
      <c r="BO152" t="s">
        <v>3246</v>
      </c>
      <c r="BP152" t="s">
        <v>74</v>
      </c>
      <c r="BQ152" t="s">
        <v>74</v>
      </c>
      <c r="BR152" t="s">
        <v>103</v>
      </c>
      <c r="BS152" t="s">
        <v>3247</v>
      </c>
      <c r="BT152" t="str">
        <f>HYPERLINK("https%3A%2F%2Fwww.webofscience.com%2Fwos%2Fwoscc%2Ffull-record%2FWOS:000490956600062","View Full Record in Web of Science")</f>
        <v>View Full Record in Web of Science</v>
      </c>
    </row>
    <row r="153" spans="1:72" x14ac:dyDescent="0.15">
      <c r="A153" t="s">
        <v>72</v>
      </c>
      <c r="B153" t="s">
        <v>3248</v>
      </c>
      <c r="C153" t="s">
        <v>74</v>
      </c>
      <c r="D153" t="s">
        <v>74</v>
      </c>
      <c r="E153" t="s">
        <v>74</v>
      </c>
      <c r="F153" t="s">
        <v>3249</v>
      </c>
      <c r="G153" t="s">
        <v>74</v>
      </c>
      <c r="H153" t="s">
        <v>74</v>
      </c>
      <c r="I153" t="s">
        <v>3250</v>
      </c>
      <c r="J153" t="s">
        <v>3251</v>
      </c>
      <c r="K153" t="s">
        <v>74</v>
      </c>
      <c r="L153" t="s">
        <v>74</v>
      </c>
      <c r="M153" t="s">
        <v>78</v>
      </c>
      <c r="N153" t="s">
        <v>108</v>
      </c>
      <c r="O153" t="s">
        <v>74</v>
      </c>
      <c r="P153" t="s">
        <v>74</v>
      </c>
      <c r="Q153" t="s">
        <v>74</v>
      </c>
      <c r="R153" t="s">
        <v>74</v>
      </c>
      <c r="S153" t="s">
        <v>74</v>
      </c>
      <c r="T153" t="s">
        <v>3252</v>
      </c>
      <c r="U153" t="s">
        <v>3253</v>
      </c>
      <c r="V153" t="s">
        <v>3254</v>
      </c>
      <c r="W153" t="s">
        <v>3255</v>
      </c>
      <c r="X153" t="s">
        <v>3256</v>
      </c>
      <c r="Y153" t="s">
        <v>3257</v>
      </c>
      <c r="Z153" t="s">
        <v>3258</v>
      </c>
      <c r="AA153" t="s">
        <v>3259</v>
      </c>
      <c r="AB153" t="s">
        <v>3260</v>
      </c>
      <c r="AC153" t="s">
        <v>3261</v>
      </c>
      <c r="AD153" t="s">
        <v>3262</v>
      </c>
      <c r="AE153" t="s">
        <v>3263</v>
      </c>
      <c r="AF153" t="s">
        <v>74</v>
      </c>
      <c r="AG153">
        <v>51</v>
      </c>
      <c r="AH153">
        <v>0</v>
      </c>
      <c r="AI153">
        <v>0</v>
      </c>
      <c r="AJ153">
        <v>0</v>
      </c>
      <c r="AK153">
        <v>8</v>
      </c>
      <c r="AL153" t="s">
        <v>182</v>
      </c>
      <c r="AM153" t="s">
        <v>183</v>
      </c>
      <c r="AN153" t="s">
        <v>184</v>
      </c>
      <c r="AO153" t="s">
        <v>74</v>
      </c>
      <c r="AP153" t="s">
        <v>3264</v>
      </c>
      <c r="AQ153" t="s">
        <v>74</v>
      </c>
      <c r="AR153" t="s">
        <v>3265</v>
      </c>
      <c r="AS153" t="s">
        <v>3266</v>
      </c>
      <c r="AT153" t="s">
        <v>2930</v>
      </c>
      <c r="AU153">
        <v>2019</v>
      </c>
      <c r="AV153">
        <v>6</v>
      </c>
      <c r="AW153">
        <v>8</v>
      </c>
      <c r="AX153" t="s">
        <v>74</v>
      </c>
      <c r="AY153" t="s">
        <v>74</v>
      </c>
      <c r="AZ153" t="s">
        <v>74</v>
      </c>
      <c r="BA153" t="s">
        <v>74</v>
      </c>
      <c r="BB153">
        <v>1498</v>
      </c>
      <c r="BC153">
        <v>1511</v>
      </c>
      <c r="BD153" t="s">
        <v>74</v>
      </c>
      <c r="BE153" t="s">
        <v>3267</v>
      </c>
      <c r="BF153" t="str">
        <f>HYPERLINK("http://dx.doi.org/10.1029/2019EA000721","http://dx.doi.org/10.1029/2019EA000721")</f>
        <v>http://dx.doi.org/10.1029/2019EA000721</v>
      </c>
      <c r="BG153" t="s">
        <v>74</v>
      </c>
      <c r="BH153" t="s">
        <v>74</v>
      </c>
      <c r="BI153">
        <v>14</v>
      </c>
      <c r="BJ153" t="s">
        <v>3268</v>
      </c>
      <c r="BK153" t="s">
        <v>101</v>
      </c>
      <c r="BL153" t="s">
        <v>3269</v>
      </c>
      <c r="BM153" t="s">
        <v>3270</v>
      </c>
      <c r="BN153" t="s">
        <v>74</v>
      </c>
      <c r="BO153" t="s">
        <v>74</v>
      </c>
      <c r="BP153" t="s">
        <v>74</v>
      </c>
      <c r="BQ153" t="s">
        <v>74</v>
      </c>
      <c r="BR153" t="s">
        <v>103</v>
      </c>
      <c r="BS153" t="s">
        <v>3271</v>
      </c>
      <c r="BT153" t="str">
        <f>HYPERLINK("https%3A%2F%2Fwww.webofscience.com%2Fwos%2Fwoscc%2Ffull-record%2FWOS:000490955600014","View Full Record in Web of Science")</f>
        <v>View Full Record in Web of Science</v>
      </c>
    </row>
    <row r="154" spans="1:72" x14ac:dyDescent="0.15">
      <c r="A154" t="s">
        <v>72</v>
      </c>
      <c r="B154" t="s">
        <v>3272</v>
      </c>
      <c r="C154" t="s">
        <v>74</v>
      </c>
      <c r="D154" t="s">
        <v>74</v>
      </c>
      <c r="E154" t="s">
        <v>74</v>
      </c>
      <c r="F154" t="s">
        <v>3273</v>
      </c>
      <c r="G154" t="s">
        <v>74</v>
      </c>
      <c r="H154" t="s">
        <v>74</v>
      </c>
      <c r="I154" t="s">
        <v>3274</v>
      </c>
      <c r="J154" t="s">
        <v>3275</v>
      </c>
      <c r="K154" t="s">
        <v>74</v>
      </c>
      <c r="L154" t="s">
        <v>74</v>
      </c>
      <c r="M154" t="s">
        <v>78</v>
      </c>
      <c r="N154" t="s">
        <v>108</v>
      </c>
      <c r="O154" t="s">
        <v>74</v>
      </c>
      <c r="P154" t="s">
        <v>74</v>
      </c>
      <c r="Q154" t="s">
        <v>74</v>
      </c>
      <c r="R154" t="s">
        <v>74</v>
      </c>
      <c r="S154" t="s">
        <v>74</v>
      </c>
      <c r="T154" t="s">
        <v>74</v>
      </c>
      <c r="U154" t="s">
        <v>3276</v>
      </c>
      <c r="V154" t="s">
        <v>3277</v>
      </c>
      <c r="W154" t="s">
        <v>3278</v>
      </c>
      <c r="X154" t="s">
        <v>3279</v>
      </c>
      <c r="Y154" t="s">
        <v>3280</v>
      </c>
      <c r="Z154" t="s">
        <v>3281</v>
      </c>
      <c r="AA154" t="s">
        <v>3282</v>
      </c>
      <c r="AB154" t="s">
        <v>3283</v>
      </c>
      <c r="AC154" t="s">
        <v>3284</v>
      </c>
      <c r="AD154" t="s">
        <v>3285</v>
      </c>
      <c r="AE154" t="s">
        <v>3286</v>
      </c>
      <c r="AF154" t="s">
        <v>74</v>
      </c>
      <c r="AG154">
        <v>47</v>
      </c>
      <c r="AH154">
        <v>26</v>
      </c>
      <c r="AI154">
        <v>26</v>
      </c>
      <c r="AJ154">
        <v>0</v>
      </c>
      <c r="AK154">
        <v>15</v>
      </c>
      <c r="AL154" t="s">
        <v>3287</v>
      </c>
      <c r="AM154" t="s">
        <v>183</v>
      </c>
      <c r="AN154" t="s">
        <v>3288</v>
      </c>
      <c r="AO154" t="s">
        <v>3289</v>
      </c>
      <c r="AP154" t="s">
        <v>74</v>
      </c>
      <c r="AQ154" t="s">
        <v>74</v>
      </c>
      <c r="AR154" t="s">
        <v>3290</v>
      </c>
      <c r="AS154" t="s">
        <v>3291</v>
      </c>
      <c r="AT154" t="s">
        <v>2930</v>
      </c>
      <c r="AU154">
        <v>2019</v>
      </c>
      <c r="AV154">
        <v>5</v>
      </c>
      <c r="AW154">
        <v>8</v>
      </c>
      <c r="AX154" t="s">
        <v>74</v>
      </c>
      <c r="AY154" t="s">
        <v>74</v>
      </c>
      <c r="AZ154" t="s">
        <v>74</v>
      </c>
      <c r="BA154" t="s">
        <v>74</v>
      </c>
      <c r="BB154" t="s">
        <v>74</v>
      </c>
      <c r="BC154" t="s">
        <v>74</v>
      </c>
      <c r="BD154" t="s">
        <v>3292</v>
      </c>
      <c r="BE154" t="s">
        <v>3293</v>
      </c>
      <c r="BF154" t="str">
        <f>HYPERLINK("http://dx.doi.org/10.1126/sciadv.aav6410","http://dx.doi.org/10.1126/sciadv.aav6410")</f>
        <v>http://dx.doi.org/10.1126/sciadv.aav6410</v>
      </c>
      <c r="BG154" t="s">
        <v>74</v>
      </c>
      <c r="BH154" t="s">
        <v>74</v>
      </c>
      <c r="BI154">
        <v>8</v>
      </c>
      <c r="BJ154" t="s">
        <v>1004</v>
      </c>
      <c r="BK154" t="s">
        <v>101</v>
      </c>
      <c r="BL154" t="s">
        <v>1005</v>
      </c>
      <c r="BM154" t="s">
        <v>3294</v>
      </c>
      <c r="BN154">
        <v>31489364</v>
      </c>
      <c r="BO154" t="s">
        <v>3295</v>
      </c>
      <c r="BP154" t="s">
        <v>74</v>
      </c>
      <c r="BQ154" t="s">
        <v>74</v>
      </c>
      <c r="BR154" t="s">
        <v>103</v>
      </c>
      <c r="BS154" t="s">
        <v>3296</v>
      </c>
      <c r="BT154" t="str">
        <f>HYPERLINK("https%3A%2F%2Fwww.webofscience.com%2Fwos%2Fwoscc%2Ffull-record%2FWOS:000491121200019","View Full Record in Web of Science")</f>
        <v>View Full Record in Web of Science</v>
      </c>
    </row>
    <row r="155" spans="1:72" x14ac:dyDescent="0.15">
      <c r="A155" t="s">
        <v>72</v>
      </c>
      <c r="B155" t="s">
        <v>3297</v>
      </c>
      <c r="C155" t="s">
        <v>74</v>
      </c>
      <c r="D155" t="s">
        <v>74</v>
      </c>
      <c r="E155" t="s">
        <v>74</v>
      </c>
      <c r="F155" t="s">
        <v>3298</v>
      </c>
      <c r="G155" t="s">
        <v>74</v>
      </c>
      <c r="H155" t="s">
        <v>74</v>
      </c>
      <c r="I155" t="s">
        <v>3299</v>
      </c>
      <c r="J155" t="s">
        <v>3300</v>
      </c>
      <c r="K155" t="s">
        <v>74</v>
      </c>
      <c r="L155" t="s">
        <v>74</v>
      </c>
      <c r="M155" t="s">
        <v>78</v>
      </c>
      <c r="N155" t="s">
        <v>108</v>
      </c>
      <c r="O155" t="s">
        <v>74</v>
      </c>
      <c r="P155" t="s">
        <v>74</v>
      </c>
      <c r="Q155" t="s">
        <v>74</v>
      </c>
      <c r="R155" t="s">
        <v>74</v>
      </c>
      <c r="S155" t="s">
        <v>74</v>
      </c>
      <c r="T155" t="s">
        <v>3301</v>
      </c>
      <c r="U155" t="s">
        <v>3302</v>
      </c>
      <c r="V155" t="s">
        <v>3303</v>
      </c>
      <c r="W155" t="s">
        <v>3304</v>
      </c>
      <c r="X155" t="s">
        <v>3305</v>
      </c>
      <c r="Y155" t="s">
        <v>3306</v>
      </c>
      <c r="Z155" t="s">
        <v>3307</v>
      </c>
      <c r="AA155" t="s">
        <v>3308</v>
      </c>
      <c r="AB155" t="s">
        <v>3309</v>
      </c>
      <c r="AC155" t="s">
        <v>3310</v>
      </c>
      <c r="AD155" t="s">
        <v>3311</v>
      </c>
      <c r="AE155" t="s">
        <v>3312</v>
      </c>
      <c r="AF155" t="s">
        <v>74</v>
      </c>
      <c r="AG155">
        <v>43</v>
      </c>
      <c r="AH155">
        <v>2</v>
      </c>
      <c r="AI155">
        <v>3</v>
      </c>
      <c r="AJ155">
        <v>2</v>
      </c>
      <c r="AK155">
        <v>12</v>
      </c>
      <c r="AL155" t="s">
        <v>182</v>
      </c>
      <c r="AM155" t="s">
        <v>183</v>
      </c>
      <c r="AN155" t="s">
        <v>184</v>
      </c>
      <c r="AO155" t="s">
        <v>3313</v>
      </c>
      <c r="AP155" t="s">
        <v>3314</v>
      </c>
      <c r="AQ155" t="s">
        <v>74</v>
      </c>
      <c r="AR155" t="s">
        <v>3315</v>
      </c>
      <c r="AS155" t="s">
        <v>3316</v>
      </c>
      <c r="AT155" t="s">
        <v>2930</v>
      </c>
      <c r="AU155">
        <v>2019</v>
      </c>
      <c r="AV155">
        <v>33</v>
      </c>
      <c r="AW155">
        <v>8</v>
      </c>
      <c r="AX155" t="s">
        <v>74</v>
      </c>
      <c r="AY155" t="s">
        <v>74</v>
      </c>
      <c r="AZ155" t="s">
        <v>74</v>
      </c>
      <c r="BA155" t="s">
        <v>74</v>
      </c>
      <c r="BB155">
        <v>957</v>
      </c>
      <c r="BC155">
        <v>970</v>
      </c>
      <c r="BD155" t="s">
        <v>74</v>
      </c>
      <c r="BE155" t="s">
        <v>3317</v>
      </c>
      <c r="BF155" t="str">
        <f>HYPERLINK("http://dx.doi.org/10.1029/2018GB006115","http://dx.doi.org/10.1029/2018GB006115")</f>
        <v>http://dx.doi.org/10.1029/2018GB006115</v>
      </c>
      <c r="BG155" t="s">
        <v>74</v>
      </c>
      <c r="BH155" t="s">
        <v>74</v>
      </c>
      <c r="BI155">
        <v>14</v>
      </c>
      <c r="BJ155" t="s">
        <v>3318</v>
      </c>
      <c r="BK155" t="s">
        <v>101</v>
      </c>
      <c r="BL155" t="s">
        <v>3319</v>
      </c>
      <c r="BM155" t="s">
        <v>3320</v>
      </c>
      <c r="BN155" t="s">
        <v>74</v>
      </c>
      <c r="BO155" t="s">
        <v>261</v>
      </c>
      <c r="BP155" t="s">
        <v>74</v>
      </c>
      <c r="BQ155" t="s">
        <v>74</v>
      </c>
      <c r="BR155" t="s">
        <v>103</v>
      </c>
      <c r="BS155" t="s">
        <v>3321</v>
      </c>
      <c r="BT155" t="str">
        <f>HYPERLINK("https%3A%2F%2Fwww.webofscience.com%2Fwos%2Fwoscc%2Ffull-record%2FWOS:000490565900002","View Full Record in Web of Science")</f>
        <v>View Full Record in Web of Science</v>
      </c>
    </row>
    <row r="156" spans="1:72" x14ac:dyDescent="0.15">
      <c r="A156" t="s">
        <v>72</v>
      </c>
      <c r="B156" t="s">
        <v>3322</v>
      </c>
      <c r="C156" t="s">
        <v>74</v>
      </c>
      <c r="D156" t="s">
        <v>74</v>
      </c>
      <c r="E156" t="s">
        <v>74</v>
      </c>
      <c r="F156" t="s">
        <v>3323</v>
      </c>
      <c r="G156" t="s">
        <v>74</v>
      </c>
      <c r="H156" t="s">
        <v>74</v>
      </c>
      <c r="I156" t="s">
        <v>3324</v>
      </c>
      <c r="J156" t="s">
        <v>3300</v>
      </c>
      <c r="K156" t="s">
        <v>74</v>
      </c>
      <c r="L156" t="s">
        <v>74</v>
      </c>
      <c r="M156" t="s">
        <v>78</v>
      </c>
      <c r="N156" t="s">
        <v>108</v>
      </c>
      <c r="O156" t="s">
        <v>74</v>
      </c>
      <c r="P156" t="s">
        <v>74</v>
      </c>
      <c r="Q156" t="s">
        <v>74</v>
      </c>
      <c r="R156" t="s">
        <v>74</v>
      </c>
      <c r="S156" t="s">
        <v>74</v>
      </c>
      <c r="T156" t="s">
        <v>3325</v>
      </c>
      <c r="U156" t="s">
        <v>3326</v>
      </c>
      <c r="V156" t="s">
        <v>3327</v>
      </c>
      <c r="W156" t="s">
        <v>3328</v>
      </c>
      <c r="X156" t="s">
        <v>3329</v>
      </c>
      <c r="Y156" t="s">
        <v>3330</v>
      </c>
      <c r="Z156" t="s">
        <v>1066</v>
      </c>
      <c r="AA156" t="s">
        <v>3331</v>
      </c>
      <c r="AB156" t="s">
        <v>3332</v>
      </c>
      <c r="AC156" t="s">
        <v>3333</v>
      </c>
      <c r="AD156" t="s">
        <v>3334</v>
      </c>
      <c r="AE156" t="s">
        <v>3335</v>
      </c>
      <c r="AF156" t="s">
        <v>74</v>
      </c>
      <c r="AG156">
        <v>127</v>
      </c>
      <c r="AH156">
        <v>45</v>
      </c>
      <c r="AI156">
        <v>48</v>
      </c>
      <c r="AJ156">
        <v>4</v>
      </c>
      <c r="AK156">
        <v>52</v>
      </c>
      <c r="AL156" t="s">
        <v>182</v>
      </c>
      <c r="AM156" t="s">
        <v>183</v>
      </c>
      <c r="AN156" t="s">
        <v>184</v>
      </c>
      <c r="AO156" t="s">
        <v>3313</v>
      </c>
      <c r="AP156" t="s">
        <v>3314</v>
      </c>
      <c r="AQ156" t="s">
        <v>74</v>
      </c>
      <c r="AR156" t="s">
        <v>3315</v>
      </c>
      <c r="AS156" t="s">
        <v>3316</v>
      </c>
      <c r="AT156" t="s">
        <v>2930</v>
      </c>
      <c r="AU156">
        <v>2019</v>
      </c>
      <c r="AV156">
        <v>33</v>
      </c>
      <c r="AW156">
        <v>8</v>
      </c>
      <c r="AX156" t="s">
        <v>74</v>
      </c>
      <c r="AY156" t="s">
        <v>74</v>
      </c>
      <c r="AZ156" t="s">
        <v>74</v>
      </c>
      <c r="BA156" t="s">
        <v>74</v>
      </c>
      <c r="BB156">
        <v>971</v>
      </c>
      <c r="BC156">
        <v>994</v>
      </c>
      <c r="BD156" t="s">
        <v>74</v>
      </c>
      <c r="BE156" t="s">
        <v>3336</v>
      </c>
      <c r="BF156" t="str">
        <f>HYPERLINK("http://dx.doi.org/10.1029/2019GB006256","http://dx.doi.org/10.1029/2019GB006256")</f>
        <v>http://dx.doi.org/10.1029/2019GB006256</v>
      </c>
      <c r="BG156" t="s">
        <v>74</v>
      </c>
      <c r="BH156" t="s">
        <v>74</v>
      </c>
      <c r="BI156">
        <v>24</v>
      </c>
      <c r="BJ156" t="s">
        <v>3318</v>
      </c>
      <c r="BK156" t="s">
        <v>101</v>
      </c>
      <c r="BL156" t="s">
        <v>3319</v>
      </c>
      <c r="BM156" t="s">
        <v>3320</v>
      </c>
      <c r="BN156" t="s">
        <v>74</v>
      </c>
      <c r="BO156" t="s">
        <v>2337</v>
      </c>
      <c r="BP156" t="s">
        <v>74</v>
      </c>
      <c r="BQ156" t="s">
        <v>74</v>
      </c>
      <c r="BR156" t="s">
        <v>103</v>
      </c>
      <c r="BS156" t="s">
        <v>3337</v>
      </c>
      <c r="BT156" t="str">
        <f>HYPERLINK("https%3A%2F%2Fwww.webofscience.com%2Fwos%2Fwoscc%2Ffull-record%2FWOS:000490565900003","View Full Record in Web of Science")</f>
        <v>View Full Record in Web of Science</v>
      </c>
    </row>
    <row r="157" spans="1:72" x14ac:dyDescent="0.15">
      <c r="A157" t="s">
        <v>72</v>
      </c>
      <c r="B157" t="s">
        <v>3338</v>
      </c>
      <c r="C157" t="s">
        <v>74</v>
      </c>
      <c r="D157" t="s">
        <v>74</v>
      </c>
      <c r="E157" t="s">
        <v>74</v>
      </c>
      <c r="F157" t="s">
        <v>3339</v>
      </c>
      <c r="G157" t="s">
        <v>74</v>
      </c>
      <c r="H157" t="s">
        <v>74</v>
      </c>
      <c r="I157" t="s">
        <v>3340</v>
      </c>
      <c r="J157" t="s">
        <v>3341</v>
      </c>
      <c r="K157" t="s">
        <v>74</v>
      </c>
      <c r="L157" t="s">
        <v>74</v>
      </c>
      <c r="M157" t="s">
        <v>78</v>
      </c>
      <c r="N157" t="s">
        <v>108</v>
      </c>
      <c r="O157" t="s">
        <v>74</v>
      </c>
      <c r="P157" t="s">
        <v>74</v>
      </c>
      <c r="Q157" t="s">
        <v>74</v>
      </c>
      <c r="R157" t="s">
        <v>74</v>
      </c>
      <c r="S157" t="s">
        <v>74</v>
      </c>
      <c r="T157" t="s">
        <v>3342</v>
      </c>
      <c r="U157" t="s">
        <v>3343</v>
      </c>
      <c r="V157" t="s">
        <v>3344</v>
      </c>
      <c r="W157" t="s">
        <v>3345</v>
      </c>
      <c r="X157" t="s">
        <v>3346</v>
      </c>
      <c r="Y157" t="s">
        <v>3347</v>
      </c>
      <c r="Z157" t="s">
        <v>3348</v>
      </c>
      <c r="AA157" t="s">
        <v>3349</v>
      </c>
      <c r="AB157" t="s">
        <v>3350</v>
      </c>
      <c r="AC157" t="s">
        <v>3351</v>
      </c>
      <c r="AD157" t="s">
        <v>3352</v>
      </c>
      <c r="AE157" t="s">
        <v>3353</v>
      </c>
      <c r="AF157" t="s">
        <v>74</v>
      </c>
      <c r="AG157">
        <v>59</v>
      </c>
      <c r="AH157">
        <v>7</v>
      </c>
      <c r="AI157">
        <v>8</v>
      </c>
      <c r="AJ157">
        <v>4</v>
      </c>
      <c r="AK157">
        <v>22</v>
      </c>
      <c r="AL157" t="s">
        <v>182</v>
      </c>
      <c r="AM157" t="s">
        <v>183</v>
      </c>
      <c r="AN157" t="s">
        <v>184</v>
      </c>
      <c r="AO157" t="s">
        <v>3354</v>
      </c>
      <c r="AP157" t="s">
        <v>3355</v>
      </c>
      <c r="AQ157" t="s">
        <v>74</v>
      </c>
      <c r="AR157" t="s">
        <v>3356</v>
      </c>
      <c r="AS157" t="s">
        <v>3357</v>
      </c>
      <c r="AT157" t="s">
        <v>2930</v>
      </c>
      <c r="AU157">
        <v>2019</v>
      </c>
      <c r="AV157">
        <v>124</v>
      </c>
      <c r="AW157">
        <v>8</v>
      </c>
      <c r="AX157" t="s">
        <v>74</v>
      </c>
      <c r="AY157" t="s">
        <v>74</v>
      </c>
      <c r="AZ157" t="s">
        <v>74</v>
      </c>
      <c r="BA157" t="s">
        <v>74</v>
      </c>
      <c r="BB157">
        <v>2079</v>
      </c>
      <c r="BC157">
        <v>2100</v>
      </c>
      <c r="BD157" t="s">
        <v>74</v>
      </c>
      <c r="BE157" t="s">
        <v>3358</v>
      </c>
      <c r="BF157" t="str">
        <f>HYPERLINK("http://dx.doi.org/10.1029/2018JF004765","http://dx.doi.org/10.1029/2018JF004765")</f>
        <v>http://dx.doi.org/10.1029/2018JF004765</v>
      </c>
      <c r="BG157" t="s">
        <v>74</v>
      </c>
      <c r="BH157" t="s">
        <v>74</v>
      </c>
      <c r="BI157">
        <v>22</v>
      </c>
      <c r="BJ157" t="s">
        <v>471</v>
      </c>
      <c r="BK157" t="s">
        <v>101</v>
      </c>
      <c r="BL157" t="s">
        <v>472</v>
      </c>
      <c r="BM157" t="s">
        <v>3359</v>
      </c>
      <c r="BN157" t="s">
        <v>74</v>
      </c>
      <c r="BO157" t="s">
        <v>74</v>
      </c>
      <c r="BP157" t="s">
        <v>74</v>
      </c>
      <c r="BQ157" t="s">
        <v>74</v>
      </c>
      <c r="BR157" t="s">
        <v>103</v>
      </c>
      <c r="BS157" t="s">
        <v>3360</v>
      </c>
      <c r="BT157" t="str">
        <f>HYPERLINK("https%3A%2F%2Fwww.webofscience.com%2Fwos%2Fwoscc%2Ffull-record%2FWOS:000490932200003","View Full Record in Web of Science")</f>
        <v>View Full Record in Web of Science</v>
      </c>
    </row>
    <row r="158" spans="1:72" x14ac:dyDescent="0.15">
      <c r="A158" t="s">
        <v>72</v>
      </c>
      <c r="B158" t="s">
        <v>3361</v>
      </c>
      <c r="C158" t="s">
        <v>74</v>
      </c>
      <c r="D158" t="s">
        <v>74</v>
      </c>
      <c r="E158" t="s">
        <v>74</v>
      </c>
      <c r="F158" t="s">
        <v>3362</v>
      </c>
      <c r="G158" t="s">
        <v>74</v>
      </c>
      <c r="H158" t="s">
        <v>74</v>
      </c>
      <c r="I158" t="s">
        <v>3363</v>
      </c>
      <c r="J158" t="s">
        <v>3341</v>
      </c>
      <c r="K158" t="s">
        <v>74</v>
      </c>
      <c r="L158" t="s">
        <v>74</v>
      </c>
      <c r="M158" t="s">
        <v>78</v>
      </c>
      <c r="N158" t="s">
        <v>108</v>
      </c>
      <c r="O158" t="s">
        <v>74</v>
      </c>
      <c r="P158" t="s">
        <v>74</v>
      </c>
      <c r="Q158" t="s">
        <v>74</v>
      </c>
      <c r="R158" t="s">
        <v>74</v>
      </c>
      <c r="S158" t="s">
        <v>74</v>
      </c>
      <c r="T158" t="s">
        <v>3364</v>
      </c>
      <c r="U158" t="s">
        <v>3365</v>
      </c>
      <c r="V158" t="s">
        <v>3366</v>
      </c>
      <c r="W158" t="s">
        <v>3367</v>
      </c>
      <c r="X158" t="s">
        <v>3368</v>
      </c>
      <c r="Y158" t="s">
        <v>3369</v>
      </c>
      <c r="Z158" t="s">
        <v>3370</v>
      </c>
      <c r="AA158" t="s">
        <v>74</v>
      </c>
      <c r="AB158" t="s">
        <v>3371</v>
      </c>
      <c r="AC158" t="s">
        <v>3372</v>
      </c>
      <c r="AD158" t="s">
        <v>3373</v>
      </c>
      <c r="AE158" t="s">
        <v>3374</v>
      </c>
      <c r="AF158" t="s">
        <v>74</v>
      </c>
      <c r="AG158">
        <v>64</v>
      </c>
      <c r="AH158">
        <v>13</v>
      </c>
      <c r="AI158">
        <v>13</v>
      </c>
      <c r="AJ158">
        <v>0</v>
      </c>
      <c r="AK158">
        <v>15</v>
      </c>
      <c r="AL158" t="s">
        <v>182</v>
      </c>
      <c r="AM158" t="s">
        <v>183</v>
      </c>
      <c r="AN158" t="s">
        <v>184</v>
      </c>
      <c r="AO158" t="s">
        <v>3354</v>
      </c>
      <c r="AP158" t="s">
        <v>3355</v>
      </c>
      <c r="AQ158" t="s">
        <v>74</v>
      </c>
      <c r="AR158" t="s">
        <v>3356</v>
      </c>
      <c r="AS158" t="s">
        <v>3357</v>
      </c>
      <c r="AT158" t="s">
        <v>2930</v>
      </c>
      <c r="AU158">
        <v>2019</v>
      </c>
      <c r="AV158">
        <v>124</v>
      </c>
      <c r="AW158">
        <v>8</v>
      </c>
      <c r="AX158" t="s">
        <v>74</v>
      </c>
      <c r="AY158" t="s">
        <v>74</v>
      </c>
      <c r="AZ158" t="s">
        <v>74</v>
      </c>
      <c r="BA158" t="s">
        <v>74</v>
      </c>
      <c r="BB158">
        <v>2224</v>
      </c>
      <c r="BC158">
        <v>2240</v>
      </c>
      <c r="BD158" t="s">
        <v>74</v>
      </c>
      <c r="BE158" t="s">
        <v>3375</v>
      </c>
      <c r="BF158" t="str">
        <f>HYPERLINK("http://dx.doi.org/10.1029/2018JF004988","http://dx.doi.org/10.1029/2018JF004988")</f>
        <v>http://dx.doi.org/10.1029/2018JF004988</v>
      </c>
      <c r="BG158" t="s">
        <v>74</v>
      </c>
      <c r="BH158" t="s">
        <v>74</v>
      </c>
      <c r="BI158">
        <v>17</v>
      </c>
      <c r="BJ158" t="s">
        <v>471</v>
      </c>
      <c r="BK158" t="s">
        <v>101</v>
      </c>
      <c r="BL158" t="s">
        <v>472</v>
      </c>
      <c r="BM158" t="s">
        <v>3359</v>
      </c>
      <c r="BN158" t="s">
        <v>74</v>
      </c>
      <c r="BO158" t="s">
        <v>74</v>
      </c>
      <c r="BP158" t="s">
        <v>74</v>
      </c>
      <c r="BQ158" t="s">
        <v>74</v>
      </c>
      <c r="BR158" t="s">
        <v>103</v>
      </c>
      <c r="BS158" t="s">
        <v>3376</v>
      </c>
      <c r="BT158" t="str">
        <f>HYPERLINK("https%3A%2F%2Fwww.webofscience.com%2Fwos%2Fwoscc%2Ffull-record%2FWOS:000490932200010","View Full Record in Web of Science")</f>
        <v>View Full Record in Web of Science</v>
      </c>
    </row>
    <row r="159" spans="1:72" x14ac:dyDescent="0.15">
      <c r="A159" t="s">
        <v>72</v>
      </c>
      <c r="B159" t="s">
        <v>3377</v>
      </c>
      <c r="C159" t="s">
        <v>74</v>
      </c>
      <c r="D159" t="s">
        <v>74</v>
      </c>
      <c r="E159" t="s">
        <v>74</v>
      </c>
      <c r="F159" t="s">
        <v>3378</v>
      </c>
      <c r="G159" t="s">
        <v>74</v>
      </c>
      <c r="H159" t="s">
        <v>74</v>
      </c>
      <c r="I159" t="s">
        <v>3379</v>
      </c>
      <c r="J159" t="s">
        <v>3380</v>
      </c>
      <c r="K159" t="s">
        <v>74</v>
      </c>
      <c r="L159" t="s">
        <v>74</v>
      </c>
      <c r="M159" t="s">
        <v>78</v>
      </c>
      <c r="N159" t="s">
        <v>79</v>
      </c>
      <c r="O159" t="s">
        <v>74</v>
      </c>
      <c r="P159" t="s">
        <v>74</v>
      </c>
      <c r="Q159" t="s">
        <v>74</v>
      </c>
      <c r="R159" t="s">
        <v>74</v>
      </c>
      <c r="S159" t="s">
        <v>74</v>
      </c>
      <c r="T159" t="s">
        <v>3381</v>
      </c>
      <c r="U159" t="s">
        <v>3382</v>
      </c>
      <c r="V159" t="s">
        <v>3383</v>
      </c>
      <c r="W159" t="s">
        <v>3384</v>
      </c>
      <c r="X159" t="s">
        <v>3385</v>
      </c>
      <c r="Y159" t="s">
        <v>3386</v>
      </c>
      <c r="Z159" t="s">
        <v>3387</v>
      </c>
      <c r="AA159" t="s">
        <v>3388</v>
      </c>
      <c r="AB159" t="s">
        <v>3389</v>
      </c>
      <c r="AC159" t="s">
        <v>3390</v>
      </c>
      <c r="AD159" t="s">
        <v>3391</v>
      </c>
      <c r="AE159" t="s">
        <v>3392</v>
      </c>
      <c r="AF159" t="s">
        <v>74</v>
      </c>
      <c r="AG159">
        <v>166</v>
      </c>
      <c r="AH159">
        <v>64</v>
      </c>
      <c r="AI159">
        <v>68</v>
      </c>
      <c r="AJ159">
        <v>2</v>
      </c>
      <c r="AK159">
        <v>22</v>
      </c>
      <c r="AL159" t="s">
        <v>182</v>
      </c>
      <c r="AM159" t="s">
        <v>183</v>
      </c>
      <c r="AN159" t="s">
        <v>184</v>
      </c>
      <c r="AO159" t="s">
        <v>3393</v>
      </c>
      <c r="AP159" t="s">
        <v>3394</v>
      </c>
      <c r="AQ159" t="s">
        <v>74</v>
      </c>
      <c r="AR159" t="s">
        <v>3395</v>
      </c>
      <c r="AS159" t="s">
        <v>3396</v>
      </c>
      <c r="AT159" t="s">
        <v>2930</v>
      </c>
      <c r="AU159">
        <v>2019</v>
      </c>
      <c r="AV159">
        <v>124</v>
      </c>
      <c r="AW159">
        <v>8</v>
      </c>
      <c r="AX159" t="s">
        <v>74</v>
      </c>
      <c r="AY159" t="s">
        <v>74</v>
      </c>
      <c r="AZ159" t="s">
        <v>74</v>
      </c>
      <c r="BA159" t="s">
        <v>74</v>
      </c>
      <c r="BB159">
        <v>5313</v>
      </c>
      <c r="BC159">
        <v>5335</v>
      </c>
      <c r="BD159" t="s">
        <v>74</v>
      </c>
      <c r="BE159" t="s">
        <v>3397</v>
      </c>
      <c r="BF159" t="str">
        <f>HYPERLINK("http://dx.doi.org/10.1029/2019JC015014","http://dx.doi.org/10.1029/2019JC015014")</f>
        <v>http://dx.doi.org/10.1029/2019JC015014</v>
      </c>
      <c r="BG159" t="s">
        <v>74</v>
      </c>
      <c r="BH159" t="s">
        <v>74</v>
      </c>
      <c r="BI159">
        <v>23</v>
      </c>
      <c r="BJ159" t="s">
        <v>100</v>
      </c>
      <c r="BK159" t="s">
        <v>101</v>
      </c>
      <c r="BL159" t="s">
        <v>100</v>
      </c>
      <c r="BM159" t="s">
        <v>3398</v>
      </c>
      <c r="BN159" t="s">
        <v>74</v>
      </c>
      <c r="BO159" t="s">
        <v>3117</v>
      </c>
      <c r="BP159" t="s">
        <v>74</v>
      </c>
      <c r="BQ159" t="s">
        <v>74</v>
      </c>
      <c r="BR159" t="s">
        <v>103</v>
      </c>
      <c r="BS159" t="s">
        <v>3399</v>
      </c>
      <c r="BT159" t="str">
        <f>HYPERLINK("https%3A%2F%2Fwww.webofscience.com%2Fwos%2Fwoscc%2Ffull-record%2FWOS:000490464200001","View Full Record in Web of Science")</f>
        <v>View Full Record in Web of Science</v>
      </c>
    </row>
    <row r="160" spans="1:72" x14ac:dyDescent="0.15">
      <c r="A160" t="s">
        <v>72</v>
      </c>
      <c r="B160" t="s">
        <v>3400</v>
      </c>
      <c r="C160" t="s">
        <v>74</v>
      </c>
      <c r="D160" t="s">
        <v>74</v>
      </c>
      <c r="E160" t="s">
        <v>74</v>
      </c>
      <c r="F160" t="s">
        <v>3401</v>
      </c>
      <c r="G160" t="s">
        <v>74</v>
      </c>
      <c r="H160" t="s">
        <v>74</v>
      </c>
      <c r="I160" t="s">
        <v>3402</v>
      </c>
      <c r="J160" t="s">
        <v>3380</v>
      </c>
      <c r="K160" t="s">
        <v>74</v>
      </c>
      <c r="L160" t="s">
        <v>74</v>
      </c>
      <c r="M160" t="s">
        <v>78</v>
      </c>
      <c r="N160" t="s">
        <v>79</v>
      </c>
      <c r="O160" t="s">
        <v>74</v>
      </c>
      <c r="P160" t="s">
        <v>74</v>
      </c>
      <c r="Q160" t="s">
        <v>74</v>
      </c>
      <c r="R160" t="s">
        <v>74</v>
      </c>
      <c r="S160" t="s">
        <v>74</v>
      </c>
      <c r="T160" t="s">
        <v>3403</v>
      </c>
      <c r="U160" t="s">
        <v>3404</v>
      </c>
      <c r="V160" t="s">
        <v>3405</v>
      </c>
      <c r="W160" t="s">
        <v>3406</v>
      </c>
      <c r="X160" t="s">
        <v>3407</v>
      </c>
      <c r="Y160" t="s">
        <v>3408</v>
      </c>
      <c r="Z160" t="s">
        <v>3409</v>
      </c>
      <c r="AA160" t="s">
        <v>3410</v>
      </c>
      <c r="AB160" t="s">
        <v>3411</v>
      </c>
      <c r="AC160" t="s">
        <v>3412</v>
      </c>
      <c r="AD160" t="s">
        <v>3413</v>
      </c>
      <c r="AE160" t="s">
        <v>3414</v>
      </c>
      <c r="AF160" t="s">
        <v>74</v>
      </c>
      <c r="AG160">
        <v>181</v>
      </c>
      <c r="AH160">
        <v>63</v>
      </c>
      <c r="AI160">
        <v>71</v>
      </c>
      <c r="AJ160">
        <v>7</v>
      </c>
      <c r="AK160">
        <v>46</v>
      </c>
      <c r="AL160" t="s">
        <v>182</v>
      </c>
      <c r="AM160" t="s">
        <v>183</v>
      </c>
      <c r="AN160" t="s">
        <v>184</v>
      </c>
      <c r="AO160" t="s">
        <v>3393</v>
      </c>
      <c r="AP160" t="s">
        <v>3394</v>
      </c>
      <c r="AQ160" t="s">
        <v>74</v>
      </c>
      <c r="AR160" t="s">
        <v>3395</v>
      </c>
      <c r="AS160" t="s">
        <v>3396</v>
      </c>
      <c r="AT160" t="s">
        <v>2930</v>
      </c>
      <c r="AU160">
        <v>2019</v>
      </c>
      <c r="AV160">
        <v>124</v>
      </c>
      <c r="AW160">
        <v>8</v>
      </c>
      <c r="AX160" t="s">
        <v>74</v>
      </c>
      <c r="AY160" t="s">
        <v>74</v>
      </c>
      <c r="AZ160" t="s">
        <v>74</v>
      </c>
      <c r="BA160" t="s">
        <v>74</v>
      </c>
      <c r="BB160">
        <v>5376</v>
      </c>
      <c r="BC160">
        <v>5399</v>
      </c>
      <c r="BD160" t="s">
        <v>74</v>
      </c>
      <c r="BE160" t="s">
        <v>3415</v>
      </c>
      <c r="BF160" t="str">
        <f>HYPERLINK("http://dx.doi.org/10.1029/2019JC015330","http://dx.doi.org/10.1029/2019JC015330")</f>
        <v>http://dx.doi.org/10.1029/2019JC015330</v>
      </c>
      <c r="BG160" t="s">
        <v>74</v>
      </c>
      <c r="BH160" t="s">
        <v>74</v>
      </c>
      <c r="BI160">
        <v>24</v>
      </c>
      <c r="BJ160" t="s">
        <v>100</v>
      </c>
      <c r="BK160" t="s">
        <v>101</v>
      </c>
      <c r="BL160" t="s">
        <v>100</v>
      </c>
      <c r="BM160" t="s">
        <v>3398</v>
      </c>
      <c r="BN160" t="s">
        <v>74</v>
      </c>
      <c r="BO160" t="s">
        <v>595</v>
      </c>
      <c r="BP160" t="s">
        <v>74</v>
      </c>
      <c r="BQ160" t="s">
        <v>74</v>
      </c>
      <c r="BR160" t="s">
        <v>103</v>
      </c>
      <c r="BS160" t="s">
        <v>3416</v>
      </c>
      <c r="BT160" t="str">
        <f>HYPERLINK("https%3A%2F%2Fwww.webofscience.com%2Fwos%2Fwoscc%2Ffull-record%2FWOS:000490464200003","View Full Record in Web of Science")</f>
        <v>View Full Record in Web of Science</v>
      </c>
    </row>
    <row r="161" spans="1:72" x14ac:dyDescent="0.15">
      <c r="A161" t="s">
        <v>72</v>
      </c>
      <c r="B161" t="s">
        <v>3417</v>
      </c>
      <c r="C161" t="s">
        <v>74</v>
      </c>
      <c r="D161" t="s">
        <v>74</v>
      </c>
      <c r="E161" t="s">
        <v>74</v>
      </c>
      <c r="F161" t="s">
        <v>3418</v>
      </c>
      <c r="G161" t="s">
        <v>74</v>
      </c>
      <c r="H161" t="s">
        <v>74</v>
      </c>
      <c r="I161" t="s">
        <v>3419</v>
      </c>
      <c r="J161" t="s">
        <v>3380</v>
      </c>
      <c r="K161" t="s">
        <v>74</v>
      </c>
      <c r="L161" t="s">
        <v>74</v>
      </c>
      <c r="M161" t="s">
        <v>78</v>
      </c>
      <c r="N161" t="s">
        <v>108</v>
      </c>
      <c r="O161" t="s">
        <v>74</v>
      </c>
      <c r="P161" t="s">
        <v>74</v>
      </c>
      <c r="Q161" t="s">
        <v>74</v>
      </c>
      <c r="R161" t="s">
        <v>74</v>
      </c>
      <c r="S161" t="s">
        <v>74</v>
      </c>
      <c r="T161" t="s">
        <v>3420</v>
      </c>
      <c r="U161" t="s">
        <v>3421</v>
      </c>
      <c r="V161" t="s">
        <v>3422</v>
      </c>
      <c r="W161" t="s">
        <v>3423</v>
      </c>
      <c r="X161" t="s">
        <v>3424</v>
      </c>
      <c r="Y161" t="s">
        <v>3425</v>
      </c>
      <c r="Z161" t="s">
        <v>3426</v>
      </c>
      <c r="AA161" t="s">
        <v>3427</v>
      </c>
      <c r="AB161" t="s">
        <v>3428</v>
      </c>
      <c r="AC161" t="s">
        <v>3429</v>
      </c>
      <c r="AD161" t="s">
        <v>3430</v>
      </c>
      <c r="AE161" t="s">
        <v>3431</v>
      </c>
      <c r="AF161" t="s">
        <v>74</v>
      </c>
      <c r="AG161">
        <v>78</v>
      </c>
      <c r="AH161">
        <v>13</v>
      </c>
      <c r="AI161">
        <v>14</v>
      </c>
      <c r="AJ161">
        <v>1</v>
      </c>
      <c r="AK161">
        <v>23</v>
      </c>
      <c r="AL161" t="s">
        <v>182</v>
      </c>
      <c r="AM161" t="s">
        <v>183</v>
      </c>
      <c r="AN161" t="s">
        <v>184</v>
      </c>
      <c r="AO161" t="s">
        <v>3393</v>
      </c>
      <c r="AP161" t="s">
        <v>3394</v>
      </c>
      <c r="AQ161" t="s">
        <v>74</v>
      </c>
      <c r="AR161" t="s">
        <v>3395</v>
      </c>
      <c r="AS161" t="s">
        <v>3396</v>
      </c>
      <c r="AT161" t="s">
        <v>2930</v>
      </c>
      <c r="AU161">
        <v>2019</v>
      </c>
      <c r="AV161">
        <v>124</v>
      </c>
      <c r="AW161">
        <v>8</v>
      </c>
      <c r="AX161" t="s">
        <v>74</v>
      </c>
      <c r="AY161" t="s">
        <v>74</v>
      </c>
      <c r="AZ161" t="s">
        <v>74</v>
      </c>
      <c r="BA161" t="s">
        <v>74</v>
      </c>
      <c r="BB161">
        <v>5400</v>
      </c>
      <c r="BC161">
        <v>5417</v>
      </c>
      <c r="BD161" t="s">
        <v>74</v>
      </c>
      <c r="BE161" t="s">
        <v>3432</v>
      </c>
      <c r="BF161" t="str">
        <f>HYPERLINK("http://dx.doi.org/10.1029/2019JC015222","http://dx.doi.org/10.1029/2019JC015222")</f>
        <v>http://dx.doi.org/10.1029/2019JC015222</v>
      </c>
      <c r="BG161" t="s">
        <v>74</v>
      </c>
      <c r="BH161" t="s">
        <v>74</v>
      </c>
      <c r="BI161">
        <v>18</v>
      </c>
      <c r="BJ161" t="s">
        <v>100</v>
      </c>
      <c r="BK161" t="s">
        <v>101</v>
      </c>
      <c r="BL161" t="s">
        <v>100</v>
      </c>
      <c r="BM161" t="s">
        <v>3398</v>
      </c>
      <c r="BN161" t="s">
        <v>74</v>
      </c>
      <c r="BO161" t="s">
        <v>74</v>
      </c>
      <c r="BP161" t="s">
        <v>74</v>
      </c>
      <c r="BQ161" t="s">
        <v>74</v>
      </c>
      <c r="BR161" t="s">
        <v>103</v>
      </c>
      <c r="BS161" t="s">
        <v>3433</v>
      </c>
      <c r="BT161" t="str">
        <f>HYPERLINK("https%3A%2F%2Fwww.webofscience.com%2Fwos%2Fwoscc%2Ffull-record%2FWOS:000490464200004","View Full Record in Web of Science")</f>
        <v>View Full Record in Web of Science</v>
      </c>
    </row>
    <row r="162" spans="1:72" x14ac:dyDescent="0.15">
      <c r="A162" t="s">
        <v>72</v>
      </c>
      <c r="B162" t="s">
        <v>3434</v>
      </c>
      <c r="C162" t="s">
        <v>74</v>
      </c>
      <c r="D162" t="s">
        <v>74</v>
      </c>
      <c r="E162" t="s">
        <v>74</v>
      </c>
      <c r="F162" t="s">
        <v>3435</v>
      </c>
      <c r="G162" t="s">
        <v>74</v>
      </c>
      <c r="H162" t="s">
        <v>74</v>
      </c>
      <c r="I162" t="s">
        <v>3436</v>
      </c>
      <c r="J162" t="s">
        <v>3380</v>
      </c>
      <c r="K162" t="s">
        <v>74</v>
      </c>
      <c r="L162" t="s">
        <v>74</v>
      </c>
      <c r="M162" t="s">
        <v>78</v>
      </c>
      <c r="N162" t="s">
        <v>108</v>
      </c>
      <c r="O162" t="s">
        <v>74</v>
      </c>
      <c r="P162" t="s">
        <v>74</v>
      </c>
      <c r="Q162" t="s">
        <v>74</v>
      </c>
      <c r="R162" t="s">
        <v>74</v>
      </c>
      <c r="S162" t="s">
        <v>74</v>
      </c>
      <c r="T162" t="s">
        <v>74</v>
      </c>
      <c r="U162" t="s">
        <v>3437</v>
      </c>
      <c r="V162" t="s">
        <v>3438</v>
      </c>
      <c r="W162" t="s">
        <v>3439</v>
      </c>
      <c r="X162" t="s">
        <v>3440</v>
      </c>
      <c r="Y162" t="s">
        <v>3441</v>
      </c>
      <c r="Z162" t="s">
        <v>3442</v>
      </c>
      <c r="AA162" t="s">
        <v>74</v>
      </c>
      <c r="AB162" t="s">
        <v>3443</v>
      </c>
      <c r="AC162" t="s">
        <v>3444</v>
      </c>
      <c r="AD162" t="s">
        <v>3445</v>
      </c>
      <c r="AE162" t="s">
        <v>3446</v>
      </c>
      <c r="AF162" t="s">
        <v>74</v>
      </c>
      <c r="AG162">
        <v>84</v>
      </c>
      <c r="AH162">
        <v>27</v>
      </c>
      <c r="AI162">
        <v>28</v>
      </c>
      <c r="AJ162">
        <v>1</v>
      </c>
      <c r="AK162">
        <v>9</v>
      </c>
      <c r="AL162" t="s">
        <v>182</v>
      </c>
      <c r="AM162" t="s">
        <v>183</v>
      </c>
      <c r="AN162" t="s">
        <v>184</v>
      </c>
      <c r="AO162" t="s">
        <v>3393</v>
      </c>
      <c r="AP162" t="s">
        <v>3394</v>
      </c>
      <c r="AQ162" t="s">
        <v>74</v>
      </c>
      <c r="AR162" t="s">
        <v>3395</v>
      </c>
      <c r="AS162" t="s">
        <v>3396</v>
      </c>
      <c r="AT162" t="s">
        <v>2930</v>
      </c>
      <c r="AU162">
        <v>2019</v>
      </c>
      <c r="AV162">
        <v>124</v>
      </c>
      <c r="AW162">
        <v>8</v>
      </c>
      <c r="AX162" t="s">
        <v>74</v>
      </c>
      <c r="AY162" t="s">
        <v>74</v>
      </c>
      <c r="AZ162" t="s">
        <v>74</v>
      </c>
      <c r="BA162" t="s">
        <v>74</v>
      </c>
      <c r="BB162">
        <v>5529</v>
      </c>
      <c r="BC162">
        <v>5550</v>
      </c>
      <c r="BD162" t="s">
        <v>74</v>
      </c>
      <c r="BE162" t="s">
        <v>3447</v>
      </c>
      <c r="BF162" t="str">
        <f>HYPERLINK("http://dx.doi.org/10.1029/2019JC015164","http://dx.doi.org/10.1029/2019JC015164")</f>
        <v>http://dx.doi.org/10.1029/2019JC015164</v>
      </c>
      <c r="BG162" t="s">
        <v>74</v>
      </c>
      <c r="BH162" t="s">
        <v>74</v>
      </c>
      <c r="BI162">
        <v>22</v>
      </c>
      <c r="BJ162" t="s">
        <v>100</v>
      </c>
      <c r="BK162" t="s">
        <v>101</v>
      </c>
      <c r="BL162" t="s">
        <v>100</v>
      </c>
      <c r="BM162" t="s">
        <v>3398</v>
      </c>
      <c r="BN162" t="s">
        <v>74</v>
      </c>
      <c r="BO162" t="s">
        <v>984</v>
      </c>
      <c r="BP162" t="s">
        <v>74</v>
      </c>
      <c r="BQ162" t="s">
        <v>74</v>
      </c>
      <c r="BR162" t="s">
        <v>103</v>
      </c>
      <c r="BS162" t="s">
        <v>3448</v>
      </c>
      <c r="BT162" t="str">
        <f>HYPERLINK("https%3A%2F%2Fwww.webofscience.com%2Fwos%2Fwoscc%2Ffull-record%2FWOS:000490464200011","View Full Record in Web of Science")</f>
        <v>View Full Record in Web of Science</v>
      </c>
    </row>
    <row r="163" spans="1:72" x14ac:dyDescent="0.15">
      <c r="A163" t="s">
        <v>72</v>
      </c>
      <c r="B163" t="s">
        <v>3449</v>
      </c>
      <c r="C163" t="s">
        <v>74</v>
      </c>
      <c r="D163" t="s">
        <v>74</v>
      </c>
      <c r="E163" t="s">
        <v>74</v>
      </c>
      <c r="F163" t="s">
        <v>3450</v>
      </c>
      <c r="G163" t="s">
        <v>74</v>
      </c>
      <c r="H163" t="s">
        <v>74</v>
      </c>
      <c r="I163" t="s">
        <v>3451</v>
      </c>
      <c r="J163" t="s">
        <v>3380</v>
      </c>
      <c r="K163" t="s">
        <v>74</v>
      </c>
      <c r="L163" t="s">
        <v>74</v>
      </c>
      <c r="M163" t="s">
        <v>78</v>
      </c>
      <c r="N163" t="s">
        <v>108</v>
      </c>
      <c r="O163" t="s">
        <v>74</v>
      </c>
      <c r="P163" t="s">
        <v>74</v>
      </c>
      <c r="Q163" t="s">
        <v>74</v>
      </c>
      <c r="R163" t="s">
        <v>74</v>
      </c>
      <c r="S163" t="s">
        <v>74</v>
      </c>
      <c r="T163" t="s">
        <v>3452</v>
      </c>
      <c r="U163" t="s">
        <v>3453</v>
      </c>
      <c r="V163" t="s">
        <v>3454</v>
      </c>
      <c r="W163" t="s">
        <v>3455</v>
      </c>
      <c r="X163" t="s">
        <v>3456</v>
      </c>
      <c r="Y163" t="s">
        <v>3457</v>
      </c>
      <c r="Z163" t="s">
        <v>3458</v>
      </c>
      <c r="AA163" t="s">
        <v>3459</v>
      </c>
      <c r="AB163" t="s">
        <v>3460</v>
      </c>
      <c r="AC163" t="s">
        <v>3461</v>
      </c>
      <c r="AD163" t="s">
        <v>3462</v>
      </c>
      <c r="AE163" t="s">
        <v>3463</v>
      </c>
      <c r="AF163" t="s">
        <v>74</v>
      </c>
      <c r="AG163">
        <v>85</v>
      </c>
      <c r="AH163">
        <v>8</v>
      </c>
      <c r="AI163">
        <v>10</v>
      </c>
      <c r="AJ163">
        <v>0</v>
      </c>
      <c r="AK163">
        <v>5</v>
      </c>
      <c r="AL163" t="s">
        <v>182</v>
      </c>
      <c r="AM163" t="s">
        <v>183</v>
      </c>
      <c r="AN163" t="s">
        <v>184</v>
      </c>
      <c r="AO163" t="s">
        <v>3393</v>
      </c>
      <c r="AP163" t="s">
        <v>3394</v>
      </c>
      <c r="AQ163" t="s">
        <v>74</v>
      </c>
      <c r="AR163" t="s">
        <v>3395</v>
      </c>
      <c r="AS163" t="s">
        <v>3396</v>
      </c>
      <c r="AT163" t="s">
        <v>2930</v>
      </c>
      <c r="AU163">
        <v>2019</v>
      </c>
      <c r="AV163">
        <v>124</v>
      </c>
      <c r="AW163">
        <v>8</v>
      </c>
      <c r="AX163" t="s">
        <v>74</v>
      </c>
      <c r="AY163" t="s">
        <v>74</v>
      </c>
      <c r="AZ163" t="s">
        <v>74</v>
      </c>
      <c r="BA163" t="s">
        <v>74</v>
      </c>
      <c r="BB163">
        <v>5634</v>
      </c>
      <c r="BC163">
        <v>5653</v>
      </c>
      <c r="BD163" t="s">
        <v>74</v>
      </c>
      <c r="BE163" t="s">
        <v>3464</v>
      </c>
      <c r="BF163" t="str">
        <f>HYPERLINK("http://dx.doi.org/10.1029/2018JC014882","http://dx.doi.org/10.1029/2018JC014882")</f>
        <v>http://dx.doi.org/10.1029/2018JC014882</v>
      </c>
      <c r="BG163" t="s">
        <v>74</v>
      </c>
      <c r="BH163" t="s">
        <v>74</v>
      </c>
      <c r="BI163">
        <v>20</v>
      </c>
      <c r="BJ163" t="s">
        <v>100</v>
      </c>
      <c r="BK163" t="s">
        <v>101</v>
      </c>
      <c r="BL163" t="s">
        <v>100</v>
      </c>
      <c r="BM163" t="s">
        <v>3398</v>
      </c>
      <c r="BN163" t="s">
        <v>74</v>
      </c>
      <c r="BO163" t="s">
        <v>192</v>
      </c>
      <c r="BP163" t="s">
        <v>74</v>
      </c>
      <c r="BQ163" t="s">
        <v>74</v>
      </c>
      <c r="BR163" t="s">
        <v>103</v>
      </c>
      <c r="BS163" t="s">
        <v>3465</v>
      </c>
      <c r="BT163" t="str">
        <f>HYPERLINK("https%3A%2F%2Fwww.webofscience.com%2Fwos%2Fwoscc%2Ffull-record%2FWOS:000490464200017","View Full Record in Web of Science")</f>
        <v>View Full Record in Web of Science</v>
      </c>
    </row>
    <row r="164" spans="1:72" x14ac:dyDescent="0.15">
      <c r="A164" t="s">
        <v>72</v>
      </c>
      <c r="B164" t="s">
        <v>3466</v>
      </c>
      <c r="C164" t="s">
        <v>74</v>
      </c>
      <c r="D164" t="s">
        <v>74</v>
      </c>
      <c r="E164" t="s">
        <v>74</v>
      </c>
      <c r="F164" t="s">
        <v>3467</v>
      </c>
      <c r="G164" t="s">
        <v>74</v>
      </c>
      <c r="H164" t="s">
        <v>74</v>
      </c>
      <c r="I164" t="s">
        <v>3468</v>
      </c>
      <c r="J164" t="s">
        <v>3380</v>
      </c>
      <c r="K164" t="s">
        <v>74</v>
      </c>
      <c r="L164" t="s">
        <v>74</v>
      </c>
      <c r="M164" t="s">
        <v>78</v>
      </c>
      <c r="N164" t="s">
        <v>108</v>
      </c>
      <c r="O164" t="s">
        <v>74</v>
      </c>
      <c r="P164" t="s">
        <v>74</v>
      </c>
      <c r="Q164" t="s">
        <v>74</v>
      </c>
      <c r="R164" t="s">
        <v>74</v>
      </c>
      <c r="S164" t="s">
        <v>74</v>
      </c>
      <c r="T164" t="s">
        <v>3469</v>
      </c>
      <c r="U164" t="s">
        <v>3470</v>
      </c>
      <c r="V164" t="s">
        <v>3471</v>
      </c>
      <c r="W164" t="s">
        <v>3472</v>
      </c>
      <c r="X164" t="s">
        <v>3473</v>
      </c>
      <c r="Y164" t="s">
        <v>3474</v>
      </c>
      <c r="Z164" t="s">
        <v>3475</v>
      </c>
      <c r="AA164" t="s">
        <v>3476</v>
      </c>
      <c r="AB164" t="s">
        <v>3477</v>
      </c>
      <c r="AC164" t="s">
        <v>3478</v>
      </c>
      <c r="AD164" t="s">
        <v>3479</v>
      </c>
      <c r="AE164" t="s">
        <v>3480</v>
      </c>
      <c r="AF164" t="s">
        <v>74</v>
      </c>
      <c r="AG164">
        <v>33</v>
      </c>
      <c r="AH164">
        <v>26</v>
      </c>
      <c r="AI164">
        <v>27</v>
      </c>
      <c r="AJ164">
        <v>9</v>
      </c>
      <c r="AK164">
        <v>32</v>
      </c>
      <c r="AL164" t="s">
        <v>182</v>
      </c>
      <c r="AM164" t="s">
        <v>183</v>
      </c>
      <c r="AN164" t="s">
        <v>184</v>
      </c>
      <c r="AO164" t="s">
        <v>3393</v>
      </c>
      <c r="AP164" t="s">
        <v>3394</v>
      </c>
      <c r="AQ164" t="s">
        <v>74</v>
      </c>
      <c r="AR164" t="s">
        <v>3395</v>
      </c>
      <c r="AS164" t="s">
        <v>3396</v>
      </c>
      <c r="AT164" t="s">
        <v>2930</v>
      </c>
      <c r="AU164">
        <v>2019</v>
      </c>
      <c r="AV164">
        <v>124</v>
      </c>
      <c r="AW164">
        <v>8</v>
      </c>
      <c r="AX164" t="s">
        <v>74</v>
      </c>
      <c r="AY164" t="s">
        <v>74</v>
      </c>
      <c r="AZ164" t="s">
        <v>74</v>
      </c>
      <c r="BA164" t="s">
        <v>74</v>
      </c>
      <c r="BB164">
        <v>5801</v>
      </c>
      <c r="BC164">
        <v>5810</v>
      </c>
      <c r="BD164" t="s">
        <v>74</v>
      </c>
      <c r="BE164" t="s">
        <v>3481</v>
      </c>
      <c r="BF164" t="str">
        <f>HYPERLINK("http://dx.doi.org/10.1029/2019JC015327","http://dx.doi.org/10.1029/2019JC015327")</f>
        <v>http://dx.doi.org/10.1029/2019JC015327</v>
      </c>
      <c r="BG164" t="s">
        <v>74</v>
      </c>
      <c r="BH164" t="s">
        <v>74</v>
      </c>
      <c r="BI164">
        <v>10</v>
      </c>
      <c r="BJ164" t="s">
        <v>100</v>
      </c>
      <c r="BK164" t="s">
        <v>101</v>
      </c>
      <c r="BL164" t="s">
        <v>100</v>
      </c>
      <c r="BM164" t="s">
        <v>3398</v>
      </c>
      <c r="BN164" t="s">
        <v>74</v>
      </c>
      <c r="BO164" t="s">
        <v>3482</v>
      </c>
      <c r="BP164" t="s">
        <v>74</v>
      </c>
      <c r="BQ164" t="s">
        <v>74</v>
      </c>
      <c r="BR164" t="s">
        <v>103</v>
      </c>
      <c r="BS164" t="s">
        <v>3483</v>
      </c>
      <c r="BT164" t="str">
        <f>HYPERLINK("https%3A%2F%2Fwww.webofscience.com%2Fwos%2Fwoscc%2Ffull-record%2FWOS:000490464200026","View Full Record in Web of Science")</f>
        <v>View Full Record in Web of Science</v>
      </c>
    </row>
    <row r="165" spans="1:72" x14ac:dyDescent="0.15">
      <c r="A165" t="s">
        <v>72</v>
      </c>
      <c r="B165" t="s">
        <v>3484</v>
      </c>
      <c r="C165" t="s">
        <v>74</v>
      </c>
      <c r="D165" t="s">
        <v>74</v>
      </c>
      <c r="E165" t="s">
        <v>74</v>
      </c>
      <c r="F165" t="s">
        <v>3485</v>
      </c>
      <c r="G165" t="s">
        <v>74</v>
      </c>
      <c r="H165" t="s">
        <v>74</v>
      </c>
      <c r="I165" t="s">
        <v>3486</v>
      </c>
      <c r="J165" t="s">
        <v>3380</v>
      </c>
      <c r="K165" t="s">
        <v>74</v>
      </c>
      <c r="L165" t="s">
        <v>74</v>
      </c>
      <c r="M165" t="s">
        <v>78</v>
      </c>
      <c r="N165" t="s">
        <v>108</v>
      </c>
      <c r="O165" t="s">
        <v>74</v>
      </c>
      <c r="P165" t="s">
        <v>74</v>
      </c>
      <c r="Q165" t="s">
        <v>74</v>
      </c>
      <c r="R165" t="s">
        <v>74</v>
      </c>
      <c r="S165" t="s">
        <v>74</v>
      </c>
      <c r="T165" t="s">
        <v>3487</v>
      </c>
      <c r="U165" t="s">
        <v>3488</v>
      </c>
      <c r="V165" t="s">
        <v>3489</v>
      </c>
      <c r="W165" t="s">
        <v>3490</v>
      </c>
      <c r="X165" t="s">
        <v>3491</v>
      </c>
      <c r="Y165" t="s">
        <v>3492</v>
      </c>
      <c r="Z165" t="s">
        <v>3493</v>
      </c>
      <c r="AA165" t="s">
        <v>3494</v>
      </c>
      <c r="AB165" t="s">
        <v>3495</v>
      </c>
      <c r="AC165" t="s">
        <v>3496</v>
      </c>
      <c r="AD165" t="s">
        <v>3497</v>
      </c>
      <c r="AE165" t="s">
        <v>3498</v>
      </c>
      <c r="AF165" t="s">
        <v>74</v>
      </c>
      <c r="AG165">
        <v>75</v>
      </c>
      <c r="AH165">
        <v>38</v>
      </c>
      <c r="AI165">
        <v>40</v>
      </c>
      <c r="AJ165">
        <v>12</v>
      </c>
      <c r="AK165">
        <v>51</v>
      </c>
      <c r="AL165" t="s">
        <v>182</v>
      </c>
      <c r="AM165" t="s">
        <v>183</v>
      </c>
      <c r="AN165" t="s">
        <v>184</v>
      </c>
      <c r="AO165" t="s">
        <v>3393</v>
      </c>
      <c r="AP165" t="s">
        <v>3394</v>
      </c>
      <c r="AQ165" t="s">
        <v>74</v>
      </c>
      <c r="AR165" t="s">
        <v>3395</v>
      </c>
      <c r="AS165" t="s">
        <v>3396</v>
      </c>
      <c r="AT165" t="s">
        <v>2930</v>
      </c>
      <c r="AU165">
        <v>2019</v>
      </c>
      <c r="AV165">
        <v>124</v>
      </c>
      <c r="AW165">
        <v>8</v>
      </c>
      <c r="AX165" t="s">
        <v>74</v>
      </c>
      <c r="AY165" t="s">
        <v>74</v>
      </c>
      <c r="AZ165" t="s">
        <v>74</v>
      </c>
      <c r="BA165" t="s">
        <v>74</v>
      </c>
      <c r="BB165">
        <v>6067</v>
      </c>
      <c r="BC165">
        <v>6085</v>
      </c>
      <c r="BD165" t="s">
        <v>74</v>
      </c>
      <c r="BE165" t="s">
        <v>3499</v>
      </c>
      <c r="BF165" t="str">
        <f>HYPERLINK("http://dx.doi.org/10.1029/2018JC014866","http://dx.doi.org/10.1029/2018JC014866")</f>
        <v>http://dx.doi.org/10.1029/2018JC014866</v>
      </c>
      <c r="BG165" t="s">
        <v>74</v>
      </c>
      <c r="BH165" t="s">
        <v>74</v>
      </c>
      <c r="BI165">
        <v>19</v>
      </c>
      <c r="BJ165" t="s">
        <v>100</v>
      </c>
      <c r="BK165" t="s">
        <v>101</v>
      </c>
      <c r="BL165" t="s">
        <v>100</v>
      </c>
      <c r="BM165" t="s">
        <v>3398</v>
      </c>
      <c r="BN165" t="s">
        <v>74</v>
      </c>
      <c r="BO165" t="s">
        <v>1125</v>
      </c>
      <c r="BP165" t="s">
        <v>74</v>
      </c>
      <c r="BQ165" t="s">
        <v>74</v>
      </c>
      <c r="BR165" t="s">
        <v>103</v>
      </c>
      <c r="BS165" t="s">
        <v>3500</v>
      </c>
      <c r="BT165" t="str">
        <f>HYPERLINK("https%3A%2F%2Fwww.webofscience.com%2Fwos%2Fwoscc%2Ffull-record%2FWOS:000490464200040","View Full Record in Web of Science")</f>
        <v>View Full Record in Web of Science</v>
      </c>
    </row>
    <row r="166" spans="1:72" x14ac:dyDescent="0.15">
      <c r="A166" t="s">
        <v>72</v>
      </c>
      <c r="B166" t="s">
        <v>3501</v>
      </c>
      <c r="C166" t="s">
        <v>74</v>
      </c>
      <c r="D166" t="s">
        <v>74</v>
      </c>
      <c r="E166" t="s">
        <v>74</v>
      </c>
      <c r="F166" t="s">
        <v>3502</v>
      </c>
      <c r="G166" t="s">
        <v>74</v>
      </c>
      <c r="H166" t="s">
        <v>74</v>
      </c>
      <c r="I166" t="s">
        <v>3503</v>
      </c>
      <c r="J166" t="s">
        <v>3380</v>
      </c>
      <c r="K166" t="s">
        <v>74</v>
      </c>
      <c r="L166" t="s">
        <v>74</v>
      </c>
      <c r="M166" t="s">
        <v>78</v>
      </c>
      <c r="N166" t="s">
        <v>108</v>
      </c>
      <c r="O166" t="s">
        <v>74</v>
      </c>
      <c r="P166" t="s">
        <v>74</v>
      </c>
      <c r="Q166" t="s">
        <v>74</v>
      </c>
      <c r="R166" t="s">
        <v>74</v>
      </c>
      <c r="S166" t="s">
        <v>74</v>
      </c>
      <c r="T166" t="s">
        <v>3504</v>
      </c>
      <c r="U166" t="s">
        <v>3505</v>
      </c>
      <c r="V166" t="s">
        <v>3506</v>
      </c>
      <c r="W166" t="s">
        <v>3507</v>
      </c>
      <c r="X166" t="s">
        <v>3508</v>
      </c>
      <c r="Y166" t="s">
        <v>3509</v>
      </c>
      <c r="Z166" t="s">
        <v>3510</v>
      </c>
      <c r="AA166" t="s">
        <v>3511</v>
      </c>
      <c r="AB166" t="s">
        <v>3512</v>
      </c>
      <c r="AC166" t="s">
        <v>3513</v>
      </c>
      <c r="AD166" t="s">
        <v>3082</v>
      </c>
      <c r="AE166" t="s">
        <v>3514</v>
      </c>
      <c r="AF166" t="s">
        <v>74</v>
      </c>
      <c r="AG166">
        <v>38</v>
      </c>
      <c r="AH166">
        <v>7</v>
      </c>
      <c r="AI166">
        <v>10</v>
      </c>
      <c r="AJ166">
        <v>3</v>
      </c>
      <c r="AK166">
        <v>8</v>
      </c>
      <c r="AL166" t="s">
        <v>182</v>
      </c>
      <c r="AM166" t="s">
        <v>183</v>
      </c>
      <c r="AN166" t="s">
        <v>184</v>
      </c>
      <c r="AO166" t="s">
        <v>3393</v>
      </c>
      <c r="AP166" t="s">
        <v>3394</v>
      </c>
      <c r="AQ166" t="s">
        <v>74</v>
      </c>
      <c r="AR166" t="s">
        <v>3395</v>
      </c>
      <c r="AS166" t="s">
        <v>3396</v>
      </c>
      <c r="AT166" t="s">
        <v>2930</v>
      </c>
      <c r="AU166">
        <v>2019</v>
      </c>
      <c r="AV166">
        <v>124</v>
      </c>
      <c r="AW166">
        <v>8</v>
      </c>
      <c r="AX166" t="s">
        <v>74</v>
      </c>
      <c r="AY166" t="s">
        <v>74</v>
      </c>
      <c r="AZ166" t="s">
        <v>74</v>
      </c>
      <c r="BA166" t="s">
        <v>74</v>
      </c>
      <c r="BB166">
        <v>6345</v>
      </c>
      <c r="BC166">
        <v>6359</v>
      </c>
      <c r="BD166" t="s">
        <v>74</v>
      </c>
      <c r="BE166" t="s">
        <v>3515</v>
      </c>
      <c r="BF166" t="str">
        <f>HYPERLINK("http://dx.doi.org/10.1029/2019JC015195","http://dx.doi.org/10.1029/2019JC015195")</f>
        <v>http://dx.doi.org/10.1029/2019JC015195</v>
      </c>
      <c r="BG166" t="s">
        <v>74</v>
      </c>
      <c r="BH166" t="s">
        <v>74</v>
      </c>
      <c r="BI166">
        <v>15</v>
      </c>
      <c r="BJ166" t="s">
        <v>100</v>
      </c>
      <c r="BK166" t="s">
        <v>101</v>
      </c>
      <c r="BL166" t="s">
        <v>100</v>
      </c>
      <c r="BM166" t="s">
        <v>3398</v>
      </c>
      <c r="BN166" t="s">
        <v>74</v>
      </c>
      <c r="BO166" t="s">
        <v>537</v>
      </c>
      <c r="BP166" t="s">
        <v>74</v>
      </c>
      <c r="BQ166" t="s">
        <v>74</v>
      </c>
      <c r="BR166" t="s">
        <v>103</v>
      </c>
      <c r="BS166" t="s">
        <v>3516</v>
      </c>
      <c r="BT166" t="str">
        <f>HYPERLINK("https%3A%2F%2Fwww.webofscience.com%2Fwos%2Fwoscc%2Ffull-record%2FWOS:000490464200054","View Full Record in Web of Science")</f>
        <v>View Full Record in Web of Science</v>
      </c>
    </row>
    <row r="167" spans="1:72" x14ac:dyDescent="0.15">
      <c r="A167" t="s">
        <v>72</v>
      </c>
      <c r="B167" t="s">
        <v>3517</v>
      </c>
      <c r="C167" t="s">
        <v>74</v>
      </c>
      <c r="D167" t="s">
        <v>74</v>
      </c>
      <c r="E167" t="s">
        <v>74</v>
      </c>
      <c r="F167" t="s">
        <v>3518</v>
      </c>
      <c r="G167" t="s">
        <v>74</v>
      </c>
      <c r="H167" t="s">
        <v>74</v>
      </c>
      <c r="I167" t="s">
        <v>3519</v>
      </c>
      <c r="J167" t="s">
        <v>3520</v>
      </c>
      <c r="K167" t="s">
        <v>74</v>
      </c>
      <c r="L167" t="s">
        <v>74</v>
      </c>
      <c r="M167" t="s">
        <v>78</v>
      </c>
      <c r="N167" t="s">
        <v>108</v>
      </c>
      <c r="O167" t="s">
        <v>74</v>
      </c>
      <c r="P167" t="s">
        <v>74</v>
      </c>
      <c r="Q167" t="s">
        <v>74</v>
      </c>
      <c r="R167" t="s">
        <v>74</v>
      </c>
      <c r="S167" t="s">
        <v>74</v>
      </c>
      <c r="T167" t="s">
        <v>3521</v>
      </c>
      <c r="U167" t="s">
        <v>3522</v>
      </c>
      <c r="V167" t="s">
        <v>3523</v>
      </c>
      <c r="W167" t="s">
        <v>3524</v>
      </c>
      <c r="X167" t="s">
        <v>3525</v>
      </c>
      <c r="Y167" t="s">
        <v>3526</v>
      </c>
      <c r="Z167" t="s">
        <v>3527</v>
      </c>
      <c r="AA167" t="s">
        <v>3528</v>
      </c>
      <c r="AB167" t="s">
        <v>3529</v>
      </c>
      <c r="AC167" t="s">
        <v>3530</v>
      </c>
      <c r="AD167" t="s">
        <v>3531</v>
      </c>
      <c r="AE167" t="s">
        <v>3532</v>
      </c>
      <c r="AF167" t="s">
        <v>74</v>
      </c>
      <c r="AG167">
        <v>41</v>
      </c>
      <c r="AH167">
        <v>4</v>
      </c>
      <c r="AI167">
        <v>4</v>
      </c>
      <c r="AJ167">
        <v>2</v>
      </c>
      <c r="AK167">
        <v>18</v>
      </c>
      <c r="AL167" t="s">
        <v>3533</v>
      </c>
      <c r="AM167" t="s">
        <v>93</v>
      </c>
      <c r="AN167" t="s">
        <v>3534</v>
      </c>
      <c r="AO167" t="s">
        <v>3535</v>
      </c>
      <c r="AP167" t="s">
        <v>3536</v>
      </c>
      <c r="AQ167" t="s">
        <v>74</v>
      </c>
      <c r="AR167" t="s">
        <v>3537</v>
      </c>
      <c r="AS167" t="s">
        <v>3538</v>
      </c>
      <c r="AT167" t="s">
        <v>2930</v>
      </c>
      <c r="AU167">
        <v>2019</v>
      </c>
      <c r="AV167">
        <v>77</v>
      </c>
      <c r="AW167" t="s">
        <v>74</v>
      </c>
      <c r="AX167" t="s">
        <v>74</v>
      </c>
      <c r="AY167" t="s">
        <v>74</v>
      </c>
      <c r="AZ167" t="s">
        <v>74</v>
      </c>
      <c r="BA167" t="s">
        <v>74</v>
      </c>
      <c r="BB167" t="s">
        <v>74</v>
      </c>
      <c r="BC167" t="s">
        <v>74</v>
      </c>
      <c r="BD167">
        <v>105898</v>
      </c>
      <c r="BE167" t="s">
        <v>3539</v>
      </c>
      <c r="BF167" t="str">
        <f>HYPERLINK("http://dx.doi.org/10.1016/j.polymertesting.2019.105898","http://dx.doi.org/10.1016/j.polymertesting.2019.105898")</f>
        <v>http://dx.doi.org/10.1016/j.polymertesting.2019.105898</v>
      </c>
      <c r="BG167" t="s">
        <v>74</v>
      </c>
      <c r="BH167" t="s">
        <v>74</v>
      </c>
      <c r="BI167">
        <v>15</v>
      </c>
      <c r="BJ167" t="s">
        <v>3540</v>
      </c>
      <c r="BK167" t="s">
        <v>101</v>
      </c>
      <c r="BL167" t="s">
        <v>3541</v>
      </c>
      <c r="BM167" t="s">
        <v>3542</v>
      </c>
      <c r="BN167" t="s">
        <v>74</v>
      </c>
      <c r="BO167" t="s">
        <v>74</v>
      </c>
      <c r="BP167" t="s">
        <v>74</v>
      </c>
      <c r="BQ167" t="s">
        <v>74</v>
      </c>
      <c r="BR167" t="s">
        <v>103</v>
      </c>
      <c r="BS167" t="s">
        <v>3543</v>
      </c>
      <c r="BT167" t="str">
        <f>HYPERLINK("https%3A%2F%2Fwww.webofscience.com%2Fwos%2Fwoscc%2Ffull-record%2FWOS:000487002700033","View Full Record in Web of Science")</f>
        <v>View Full Record in Web of Science</v>
      </c>
    </row>
    <row r="168" spans="1:72" x14ac:dyDescent="0.15">
      <c r="A168" t="s">
        <v>72</v>
      </c>
      <c r="B168" t="s">
        <v>3544</v>
      </c>
      <c r="C168" t="s">
        <v>74</v>
      </c>
      <c r="D168" t="s">
        <v>74</v>
      </c>
      <c r="E168" t="s">
        <v>74</v>
      </c>
      <c r="F168" t="s">
        <v>3545</v>
      </c>
      <c r="G168" t="s">
        <v>74</v>
      </c>
      <c r="H168" t="s">
        <v>74</v>
      </c>
      <c r="I168" t="s">
        <v>3546</v>
      </c>
      <c r="J168" t="s">
        <v>3547</v>
      </c>
      <c r="K168" t="s">
        <v>74</v>
      </c>
      <c r="L168" t="s">
        <v>74</v>
      </c>
      <c r="M168" t="s">
        <v>78</v>
      </c>
      <c r="N168" t="s">
        <v>778</v>
      </c>
      <c r="O168" t="s">
        <v>3548</v>
      </c>
      <c r="P168" t="s">
        <v>3549</v>
      </c>
      <c r="Q168" t="s">
        <v>3550</v>
      </c>
      <c r="R168" t="s">
        <v>74</v>
      </c>
      <c r="S168" t="s">
        <v>74</v>
      </c>
      <c r="T168" t="s">
        <v>3551</v>
      </c>
      <c r="U168" t="s">
        <v>3552</v>
      </c>
      <c r="V168" t="s">
        <v>3553</v>
      </c>
      <c r="W168" t="s">
        <v>3554</v>
      </c>
      <c r="X168" t="s">
        <v>3555</v>
      </c>
      <c r="Y168" t="s">
        <v>3556</v>
      </c>
      <c r="Z168" t="s">
        <v>3557</v>
      </c>
      <c r="AA168" t="s">
        <v>74</v>
      </c>
      <c r="AB168" t="s">
        <v>3558</v>
      </c>
      <c r="AC168" t="s">
        <v>3559</v>
      </c>
      <c r="AD168" t="s">
        <v>3560</v>
      </c>
      <c r="AE168" t="s">
        <v>3561</v>
      </c>
      <c r="AF168" t="s">
        <v>74</v>
      </c>
      <c r="AG168">
        <v>107</v>
      </c>
      <c r="AH168">
        <v>12</v>
      </c>
      <c r="AI168">
        <v>13</v>
      </c>
      <c r="AJ168">
        <v>0</v>
      </c>
      <c r="AK168">
        <v>4</v>
      </c>
      <c r="AL168" t="s">
        <v>3562</v>
      </c>
      <c r="AM168" t="s">
        <v>3563</v>
      </c>
      <c r="AN168" t="s">
        <v>3564</v>
      </c>
      <c r="AO168" t="s">
        <v>3565</v>
      </c>
      <c r="AP168" t="s">
        <v>3566</v>
      </c>
      <c r="AQ168" t="s">
        <v>74</v>
      </c>
      <c r="AR168" t="s">
        <v>3567</v>
      </c>
      <c r="AS168" t="s">
        <v>3568</v>
      </c>
      <c r="AT168" t="s">
        <v>2930</v>
      </c>
      <c r="AU168">
        <v>2019</v>
      </c>
      <c r="AV168">
        <v>40</v>
      </c>
      <c r="AW168">
        <v>3</v>
      </c>
      <c r="AX168" t="s">
        <v>74</v>
      </c>
      <c r="AY168" t="s">
        <v>74</v>
      </c>
      <c r="AZ168" t="s">
        <v>74</v>
      </c>
      <c r="BA168" t="s">
        <v>74</v>
      </c>
      <c r="BB168">
        <v>596</v>
      </c>
      <c r="BC168" t="s">
        <v>3569</v>
      </c>
      <c r="BD168" t="s">
        <v>74</v>
      </c>
      <c r="BE168" t="s">
        <v>3570</v>
      </c>
      <c r="BF168" t="str">
        <f>HYPERLINK("http://dx.doi.org/10.1163/22941932-40190253","http://dx.doi.org/10.1163/22941932-40190253")</f>
        <v>http://dx.doi.org/10.1163/22941932-40190253</v>
      </c>
      <c r="BG168" t="s">
        <v>74</v>
      </c>
      <c r="BH168" t="s">
        <v>74</v>
      </c>
      <c r="BI168">
        <v>34</v>
      </c>
      <c r="BJ168" t="s">
        <v>3571</v>
      </c>
      <c r="BK168" t="s">
        <v>798</v>
      </c>
      <c r="BL168" t="s">
        <v>3571</v>
      </c>
      <c r="BM168" t="s">
        <v>3572</v>
      </c>
      <c r="BN168" t="s">
        <v>74</v>
      </c>
      <c r="BO168" t="s">
        <v>74</v>
      </c>
      <c r="BP168" t="s">
        <v>74</v>
      </c>
      <c r="BQ168" t="s">
        <v>74</v>
      </c>
      <c r="BR168" t="s">
        <v>103</v>
      </c>
      <c r="BS168" t="s">
        <v>3573</v>
      </c>
      <c r="BT168" t="str">
        <f>HYPERLINK("https%3A%2F%2Fwww.webofscience.com%2Fwos%2Fwoscc%2Ffull-record%2FWOS:000486639200009","View Full Record in Web of Science")</f>
        <v>View Full Record in Web of Science</v>
      </c>
    </row>
    <row r="169" spans="1:72" x14ac:dyDescent="0.15">
      <c r="A169" t="s">
        <v>72</v>
      </c>
      <c r="B169" t="s">
        <v>3574</v>
      </c>
      <c r="C169" t="s">
        <v>74</v>
      </c>
      <c r="D169" t="s">
        <v>74</v>
      </c>
      <c r="E169" t="s">
        <v>74</v>
      </c>
      <c r="F169" t="s">
        <v>3575</v>
      </c>
      <c r="G169" t="s">
        <v>74</v>
      </c>
      <c r="H169" t="s">
        <v>74</v>
      </c>
      <c r="I169" t="s">
        <v>3576</v>
      </c>
      <c r="J169" t="s">
        <v>3577</v>
      </c>
      <c r="K169" t="s">
        <v>74</v>
      </c>
      <c r="L169" t="s">
        <v>74</v>
      </c>
      <c r="M169" t="s">
        <v>3578</v>
      </c>
      <c r="N169" t="s">
        <v>108</v>
      </c>
      <c r="O169" t="s">
        <v>74</v>
      </c>
      <c r="P169" t="s">
        <v>74</v>
      </c>
      <c r="Q169" t="s">
        <v>74</v>
      </c>
      <c r="R169" t="s">
        <v>74</v>
      </c>
      <c r="S169" t="s">
        <v>74</v>
      </c>
      <c r="T169" t="s">
        <v>3579</v>
      </c>
      <c r="U169" t="s">
        <v>3580</v>
      </c>
      <c r="V169" t="s">
        <v>3581</v>
      </c>
      <c r="W169" t="s">
        <v>3582</v>
      </c>
      <c r="X169" t="s">
        <v>3583</v>
      </c>
      <c r="Y169" t="s">
        <v>3584</v>
      </c>
      <c r="Z169" t="s">
        <v>3585</v>
      </c>
      <c r="AA169" t="s">
        <v>3586</v>
      </c>
      <c r="AB169" t="s">
        <v>3587</v>
      </c>
      <c r="AC169" t="s">
        <v>74</v>
      </c>
      <c r="AD169" t="s">
        <v>74</v>
      </c>
      <c r="AE169" t="s">
        <v>74</v>
      </c>
      <c r="AF169" t="s">
        <v>74</v>
      </c>
      <c r="AG169">
        <v>51</v>
      </c>
      <c r="AH169">
        <v>1</v>
      </c>
      <c r="AI169">
        <v>1</v>
      </c>
      <c r="AJ169">
        <v>0</v>
      </c>
      <c r="AK169">
        <v>4</v>
      </c>
      <c r="AL169" t="s">
        <v>3588</v>
      </c>
      <c r="AM169" t="s">
        <v>3589</v>
      </c>
      <c r="AN169" t="s">
        <v>3590</v>
      </c>
      <c r="AO169" t="s">
        <v>3591</v>
      </c>
      <c r="AP169" t="s">
        <v>3592</v>
      </c>
      <c r="AQ169" t="s">
        <v>74</v>
      </c>
      <c r="AR169" t="s">
        <v>3593</v>
      </c>
      <c r="AS169" t="s">
        <v>3594</v>
      </c>
      <c r="AT169" t="s">
        <v>2930</v>
      </c>
      <c r="AU169">
        <v>2019</v>
      </c>
      <c r="AV169">
        <v>54</v>
      </c>
      <c r="AW169">
        <v>2</v>
      </c>
      <c r="AX169" t="s">
        <v>74</v>
      </c>
      <c r="AY169" t="s">
        <v>74</v>
      </c>
      <c r="AZ169" t="s">
        <v>74</v>
      </c>
      <c r="BA169" t="s">
        <v>74</v>
      </c>
      <c r="BB169">
        <v>151</v>
      </c>
      <c r="BC169">
        <v>165</v>
      </c>
      <c r="BD169" t="s">
        <v>74</v>
      </c>
      <c r="BE169" t="s">
        <v>3595</v>
      </c>
      <c r="BF169" t="str">
        <f>HYPERLINK("http://dx.doi.org/10.22370/rbmo.2019.54.2.1809","http://dx.doi.org/10.22370/rbmo.2019.54.2.1809")</f>
        <v>http://dx.doi.org/10.22370/rbmo.2019.54.2.1809</v>
      </c>
      <c r="BG169" t="s">
        <v>74</v>
      </c>
      <c r="BH169" t="s">
        <v>74</v>
      </c>
      <c r="BI169">
        <v>15</v>
      </c>
      <c r="BJ169" t="s">
        <v>3596</v>
      </c>
      <c r="BK169" t="s">
        <v>101</v>
      </c>
      <c r="BL169" t="s">
        <v>3596</v>
      </c>
      <c r="BM169" t="s">
        <v>3597</v>
      </c>
      <c r="BN169" t="s">
        <v>74</v>
      </c>
      <c r="BO169" t="s">
        <v>3598</v>
      </c>
      <c r="BP169" t="s">
        <v>74</v>
      </c>
      <c r="BQ169" t="s">
        <v>74</v>
      </c>
      <c r="BR169" t="s">
        <v>103</v>
      </c>
      <c r="BS169" t="s">
        <v>3599</v>
      </c>
      <c r="BT169" t="str">
        <f>HYPERLINK("https%3A%2F%2Fwww.webofscience.com%2Fwos%2Fwoscc%2Ffull-record%2FWOS:000485873100001","View Full Record in Web of Science")</f>
        <v>View Full Record in Web of Science</v>
      </c>
    </row>
    <row r="170" spans="1:72" x14ac:dyDescent="0.15">
      <c r="A170" t="s">
        <v>72</v>
      </c>
      <c r="B170" t="s">
        <v>3600</v>
      </c>
      <c r="C170" t="s">
        <v>74</v>
      </c>
      <c r="D170" t="s">
        <v>74</v>
      </c>
      <c r="E170" t="s">
        <v>74</v>
      </c>
      <c r="F170" t="s">
        <v>3601</v>
      </c>
      <c r="G170" t="s">
        <v>74</v>
      </c>
      <c r="H170" t="s">
        <v>74</v>
      </c>
      <c r="I170" t="s">
        <v>3602</v>
      </c>
      <c r="J170" t="s">
        <v>3603</v>
      </c>
      <c r="K170" t="s">
        <v>74</v>
      </c>
      <c r="L170" t="s">
        <v>74</v>
      </c>
      <c r="M170" t="s">
        <v>78</v>
      </c>
      <c r="N170" t="s">
        <v>108</v>
      </c>
      <c r="O170" t="s">
        <v>74</v>
      </c>
      <c r="P170" t="s">
        <v>74</v>
      </c>
      <c r="Q170" t="s">
        <v>74</v>
      </c>
      <c r="R170" t="s">
        <v>74</v>
      </c>
      <c r="S170" t="s">
        <v>74</v>
      </c>
      <c r="T170" t="s">
        <v>3604</v>
      </c>
      <c r="U170" t="s">
        <v>3605</v>
      </c>
      <c r="V170" t="s">
        <v>3606</v>
      </c>
      <c r="W170" t="s">
        <v>3607</v>
      </c>
      <c r="X170" t="s">
        <v>3608</v>
      </c>
      <c r="Y170" t="s">
        <v>3609</v>
      </c>
      <c r="Z170" t="s">
        <v>3610</v>
      </c>
      <c r="AA170" t="s">
        <v>74</v>
      </c>
      <c r="AB170" t="s">
        <v>3611</v>
      </c>
      <c r="AC170" t="s">
        <v>3612</v>
      </c>
      <c r="AD170" t="s">
        <v>3613</v>
      </c>
      <c r="AE170" t="s">
        <v>3614</v>
      </c>
      <c r="AF170" t="s">
        <v>74</v>
      </c>
      <c r="AG170">
        <v>46</v>
      </c>
      <c r="AH170">
        <v>24</v>
      </c>
      <c r="AI170">
        <v>25</v>
      </c>
      <c r="AJ170">
        <v>1</v>
      </c>
      <c r="AK170">
        <v>21</v>
      </c>
      <c r="AL170" t="s">
        <v>3615</v>
      </c>
      <c r="AM170" t="s">
        <v>3616</v>
      </c>
      <c r="AN170" t="s">
        <v>3617</v>
      </c>
      <c r="AO170" t="s">
        <v>74</v>
      </c>
      <c r="AP170" t="s">
        <v>3618</v>
      </c>
      <c r="AQ170" t="s">
        <v>74</v>
      </c>
      <c r="AR170" t="s">
        <v>3619</v>
      </c>
      <c r="AS170" t="s">
        <v>3620</v>
      </c>
      <c r="AT170" t="s">
        <v>2930</v>
      </c>
      <c r="AU170">
        <v>2019</v>
      </c>
      <c r="AV170">
        <v>17</v>
      </c>
      <c r="AW170">
        <v>8</v>
      </c>
      <c r="AX170" t="s">
        <v>74</v>
      </c>
      <c r="AY170" t="s">
        <v>74</v>
      </c>
      <c r="AZ170" t="s">
        <v>74</v>
      </c>
      <c r="BA170" t="s">
        <v>74</v>
      </c>
      <c r="BB170" t="s">
        <v>74</v>
      </c>
      <c r="BC170" t="s">
        <v>74</v>
      </c>
      <c r="BD170">
        <v>439</v>
      </c>
      <c r="BE170" t="s">
        <v>3621</v>
      </c>
      <c r="BF170" t="str">
        <f>HYPERLINK("http://dx.doi.org/10.3390/md17080439","http://dx.doi.org/10.3390/md17080439")</f>
        <v>http://dx.doi.org/10.3390/md17080439</v>
      </c>
      <c r="BG170" t="s">
        <v>74</v>
      </c>
      <c r="BH170" t="s">
        <v>74</v>
      </c>
      <c r="BI170">
        <v>19</v>
      </c>
      <c r="BJ170" t="s">
        <v>3622</v>
      </c>
      <c r="BK170" t="s">
        <v>101</v>
      </c>
      <c r="BL170" t="s">
        <v>3623</v>
      </c>
      <c r="BM170" t="s">
        <v>3624</v>
      </c>
      <c r="BN170">
        <v>31349703</v>
      </c>
      <c r="BO170" t="s">
        <v>3625</v>
      </c>
      <c r="BP170" t="s">
        <v>74</v>
      </c>
      <c r="BQ170" t="s">
        <v>74</v>
      </c>
      <c r="BR170" t="s">
        <v>103</v>
      </c>
      <c r="BS170" t="s">
        <v>3626</v>
      </c>
      <c r="BT170" t="str">
        <f>HYPERLINK("https%3A%2F%2Fwww.webofscience.com%2Fwos%2Fwoscc%2Ffull-record%2FWOS:000484403200038","View Full Record in Web of Science")</f>
        <v>View Full Record in Web of Science</v>
      </c>
    </row>
    <row r="171" spans="1:72" x14ac:dyDescent="0.15">
      <c r="A171" t="s">
        <v>72</v>
      </c>
      <c r="B171" t="s">
        <v>3627</v>
      </c>
      <c r="C171" t="s">
        <v>74</v>
      </c>
      <c r="D171" t="s">
        <v>74</v>
      </c>
      <c r="E171" t="s">
        <v>74</v>
      </c>
      <c r="F171" t="s">
        <v>3628</v>
      </c>
      <c r="G171" t="s">
        <v>74</v>
      </c>
      <c r="H171" t="s">
        <v>74</v>
      </c>
      <c r="I171" t="s">
        <v>3629</v>
      </c>
      <c r="J171" t="s">
        <v>3630</v>
      </c>
      <c r="K171" t="s">
        <v>74</v>
      </c>
      <c r="L171" t="s">
        <v>74</v>
      </c>
      <c r="M171" t="s">
        <v>78</v>
      </c>
      <c r="N171" t="s">
        <v>108</v>
      </c>
      <c r="O171" t="s">
        <v>74</v>
      </c>
      <c r="P171" t="s">
        <v>74</v>
      </c>
      <c r="Q171" t="s">
        <v>74</v>
      </c>
      <c r="R171" t="s">
        <v>74</v>
      </c>
      <c r="S171" t="s">
        <v>74</v>
      </c>
      <c r="T171" t="s">
        <v>3631</v>
      </c>
      <c r="U171" t="s">
        <v>3632</v>
      </c>
      <c r="V171" t="s">
        <v>3633</v>
      </c>
      <c r="W171" t="s">
        <v>3634</v>
      </c>
      <c r="X171" t="s">
        <v>3635</v>
      </c>
      <c r="Y171" t="s">
        <v>3636</v>
      </c>
      <c r="Z171" t="s">
        <v>3637</v>
      </c>
      <c r="AA171" t="s">
        <v>3638</v>
      </c>
      <c r="AB171" t="s">
        <v>3639</v>
      </c>
      <c r="AC171" t="s">
        <v>3640</v>
      </c>
      <c r="AD171" t="s">
        <v>3641</v>
      </c>
      <c r="AE171" t="s">
        <v>3642</v>
      </c>
      <c r="AF171" t="s">
        <v>74</v>
      </c>
      <c r="AG171">
        <v>107</v>
      </c>
      <c r="AH171">
        <v>23</v>
      </c>
      <c r="AI171">
        <v>24</v>
      </c>
      <c r="AJ171">
        <v>2</v>
      </c>
      <c r="AK171">
        <v>10</v>
      </c>
      <c r="AL171" t="s">
        <v>3615</v>
      </c>
      <c r="AM171" t="s">
        <v>3616</v>
      </c>
      <c r="AN171" t="s">
        <v>3617</v>
      </c>
      <c r="AO171" t="s">
        <v>74</v>
      </c>
      <c r="AP171" t="s">
        <v>3643</v>
      </c>
      <c r="AQ171" t="s">
        <v>74</v>
      </c>
      <c r="AR171" t="s">
        <v>3644</v>
      </c>
      <c r="AS171" t="s">
        <v>3645</v>
      </c>
      <c r="AT171" t="s">
        <v>2930</v>
      </c>
      <c r="AU171">
        <v>2019</v>
      </c>
      <c r="AV171">
        <v>11</v>
      </c>
      <c r="AW171">
        <v>16</v>
      </c>
      <c r="AX171" t="s">
        <v>74</v>
      </c>
      <c r="AY171" t="s">
        <v>74</v>
      </c>
      <c r="AZ171" t="s">
        <v>74</v>
      </c>
      <c r="BA171" t="s">
        <v>74</v>
      </c>
      <c r="BB171" t="s">
        <v>74</v>
      </c>
      <c r="BC171" t="s">
        <v>74</v>
      </c>
      <c r="BD171">
        <v>1909</v>
      </c>
      <c r="BE171" t="s">
        <v>3646</v>
      </c>
      <c r="BF171" t="str">
        <f>HYPERLINK("http://dx.doi.org/10.3390/rs11161909","http://dx.doi.org/10.3390/rs11161909")</f>
        <v>http://dx.doi.org/10.3390/rs11161909</v>
      </c>
      <c r="BG171" t="s">
        <v>74</v>
      </c>
      <c r="BH171" t="s">
        <v>74</v>
      </c>
      <c r="BI171">
        <v>35</v>
      </c>
      <c r="BJ171" t="s">
        <v>3647</v>
      </c>
      <c r="BK171" t="s">
        <v>101</v>
      </c>
      <c r="BL171" t="s">
        <v>3648</v>
      </c>
      <c r="BM171" t="s">
        <v>3649</v>
      </c>
      <c r="BN171" t="s">
        <v>74</v>
      </c>
      <c r="BO171" t="s">
        <v>3650</v>
      </c>
      <c r="BP171" t="s">
        <v>74</v>
      </c>
      <c r="BQ171" t="s">
        <v>74</v>
      </c>
      <c r="BR171" t="s">
        <v>103</v>
      </c>
      <c r="BS171" t="s">
        <v>3651</v>
      </c>
      <c r="BT171" t="str">
        <f>HYPERLINK("https%3A%2F%2Fwww.webofscience.com%2Fwos%2Fwoscc%2Ffull-record%2FWOS:000484387600072","View Full Record in Web of Science")</f>
        <v>View Full Record in Web of Science</v>
      </c>
    </row>
    <row r="172" spans="1:72" x14ac:dyDescent="0.15">
      <c r="A172" t="s">
        <v>72</v>
      </c>
      <c r="B172" t="s">
        <v>3652</v>
      </c>
      <c r="C172" t="s">
        <v>74</v>
      </c>
      <c r="D172" t="s">
        <v>74</v>
      </c>
      <c r="E172" t="s">
        <v>74</v>
      </c>
      <c r="F172" t="s">
        <v>3653</v>
      </c>
      <c r="G172" t="s">
        <v>74</v>
      </c>
      <c r="H172" t="s">
        <v>74</v>
      </c>
      <c r="I172" t="s">
        <v>3654</v>
      </c>
      <c r="J172" t="s">
        <v>3630</v>
      </c>
      <c r="K172" t="s">
        <v>74</v>
      </c>
      <c r="L172" t="s">
        <v>74</v>
      </c>
      <c r="M172" t="s">
        <v>78</v>
      </c>
      <c r="N172" t="s">
        <v>108</v>
      </c>
      <c r="O172" t="s">
        <v>74</v>
      </c>
      <c r="P172" t="s">
        <v>74</v>
      </c>
      <c r="Q172" t="s">
        <v>74</v>
      </c>
      <c r="R172" t="s">
        <v>74</v>
      </c>
      <c r="S172" t="s">
        <v>74</v>
      </c>
      <c r="T172" t="s">
        <v>3655</v>
      </c>
      <c r="U172" t="s">
        <v>3656</v>
      </c>
      <c r="V172" t="s">
        <v>3657</v>
      </c>
      <c r="W172" t="s">
        <v>3658</v>
      </c>
      <c r="X172" t="s">
        <v>3659</v>
      </c>
      <c r="Y172" t="s">
        <v>3660</v>
      </c>
      <c r="Z172" t="s">
        <v>3661</v>
      </c>
      <c r="AA172" t="s">
        <v>74</v>
      </c>
      <c r="AB172" t="s">
        <v>74</v>
      </c>
      <c r="AC172" t="s">
        <v>3662</v>
      </c>
      <c r="AD172" t="s">
        <v>3663</v>
      </c>
      <c r="AE172" t="s">
        <v>3664</v>
      </c>
      <c r="AF172" t="s">
        <v>74</v>
      </c>
      <c r="AG172">
        <v>28</v>
      </c>
      <c r="AH172">
        <v>15</v>
      </c>
      <c r="AI172">
        <v>16</v>
      </c>
      <c r="AJ172">
        <v>6</v>
      </c>
      <c r="AK172">
        <v>25</v>
      </c>
      <c r="AL172" t="s">
        <v>3615</v>
      </c>
      <c r="AM172" t="s">
        <v>3616</v>
      </c>
      <c r="AN172" t="s">
        <v>3617</v>
      </c>
      <c r="AO172" t="s">
        <v>74</v>
      </c>
      <c r="AP172" t="s">
        <v>3643</v>
      </c>
      <c r="AQ172" t="s">
        <v>74</v>
      </c>
      <c r="AR172" t="s">
        <v>3644</v>
      </c>
      <c r="AS172" t="s">
        <v>3645</v>
      </c>
      <c r="AT172" t="s">
        <v>2930</v>
      </c>
      <c r="AU172">
        <v>2019</v>
      </c>
      <c r="AV172">
        <v>11</v>
      </c>
      <c r="AW172">
        <v>16</v>
      </c>
      <c r="AX172" t="s">
        <v>74</v>
      </c>
      <c r="AY172" t="s">
        <v>74</v>
      </c>
      <c r="AZ172" t="s">
        <v>74</v>
      </c>
      <c r="BA172" t="s">
        <v>74</v>
      </c>
      <c r="BB172" t="s">
        <v>74</v>
      </c>
      <c r="BC172" t="s">
        <v>74</v>
      </c>
      <c r="BD172">
        <v>1838</v>
      </c>
      <c r="BE172" t="s">
        <v>3665</v>
      </c>
      <c r="BF172" t="str">
        <f>HYPERLINK("http://dx.doi.org/10.3390/rs11161838","http://dx.doi.org/10.3390/rs11161838")</f>
        <v>http://dx.doi.org/10.3390/rs11161838</v>
      </c>
      <c r="BG172" t="s">
        <v>74</v>
      </c>
      <c r="BH172" t="s">
        <v>74</v>
      </c>
      <c r="BI172">
        <v>13</v>
      </c>
      <c r="BJ172" t="s">
        <v>3647</v>
      </c>
      <c r="BK172" t="s">
        <v>101</v>
      </c>
      <c r="BL172" t="s">
        <v>3648</v>
      </c>
      <c r="BM172" t="s">
        <v>3649</v>
      </c>
      <c r="BN172" t="s">
        <v>74</v>
      </c>
      <c r="BO172" t="s">
        <v>2270</v>
      </c>
      <c r="BP172" t="s">
        <v>74</v>
      </c>
      <c r="BQ172" t="s">
        <v>74</v>
      </c>
      <c r="BR172" t="s">
        <v>103</v>
      </c>
      <c r="BS172" t="s">
        <v>3666</v>
      </c>
      <c r="BT172" t="str">
        <f>HYPERLINK("https%3A%2F%2Fwww.webofscience.com%2Fwos%2Fwoscc%2Ffull-record%2FWOS:000484387600001","View Full Record in Web of Science")</f>
        <v>View Full Record in Web of Science</v>
      </c>
    </row>
    <row r="173" spans="1:72" x14ac:dyDescent="0.15">
      <c r="A173" t="s">
        <v>72</v>
      </c>
      <c r="B173" t="s">
        <v>3667</v>
      </c>
      <c r="C173" t="s">
        <v>74</v>
      </c>
      <c r="D173" t="s">
        <v>74</v>
      </c>
      <c r="E173" t="s">
        <v>74</v>
      </c>
      <c r="F173" t="s">
        <v>3668</v>
      </c>
      <c r="G173" t="s">
        <v>74</v>
      </c>
      <c r="H173" t="s">
        <v>74</v>
      </c>
      <c r="I173" t="s">
        <v>3669</v>
      </c>
      <c r="J173" t="s">
        <v>3630</v>
      </c>
      <c r="K173" t="s">
        <v>74</v>
      </c>
      <c r="L173" t="s">
        <v>74</v>
      </c>
      <c r="M173" t="s">
        <v>78</v>
      </c>
      <c r="N173" t="s">
        <v>108</v>
      </c>
      <c r="O173" t="s">
        <v>74</v>
      </c>
      <c r="P173" t="s">
        <v>74</v>
      </c>
      <c r="Q173" t="s">
        <v>74</v>
      </c>
      <c r="R173" t="s">
        <v>74</v>
      </c>
      <c r="S173" t="s">
        <v>74</v>
      </c>
      <c r="T173" t="s">
        <v>3670</v>
      </c>
      <c r="U173" t="s">
        <v>3671</v>
      </c>
      <c r="V173" t="s">
        <v>3672</v>
      </c>
      <c r="W173" t="s">
        <v>3673</v>
      </c>
      <c r="X173" t="s">
        <v>3674</v>
      </c>
      <c r="Y173" t="s">
        <v>3675</v>
      </c>
      <c r="Z173" t="s">
        <v>3676</v>
      </c>
      <c r="AA173" t="s">
        <v>3677</v>
      </c>
      <c r="AB173" t="s">
        <v>3678</v>
      </c>
      <c r="AC173" t="s">
        <v>3679</v>
      </c>
      <c r="AD173" t="s">
        <v>3680</v>
      </c>
      <c r="AE173" t="s">
        <v>3681</v>
      </c>
      <c r="AF173" t="s">
        <v>74</v>
      </c>
      <c r="AG173">
        <v>72</v>
      </c>
      <c r="AH173">
        <v>17</v>
      </c>
      <c r="AI173">
        <v>17</v>
      </c>
      <c r="AJ173">
        <v>0</v>
      </c>
      <c r="AK173">
        <v>10</v>
      </c>
      <c r="AL173" t="s">
        <v>3615</v>
      </c>
      <c r="AM173" t="s">
        <v>3616</v>
      </c>
      <c r="AN173" t="s">
        <v>3617</v>
      </c>
      <c r="AO173" t="s">
        <v>74</v>
      </c>
      <c r="AP173" t="s">
        <v>3643</v>
      </c>
      <c r="AQ173" t="s">
        <v>74</v>
      </c>
      <c r="AR173" t="s">
        <v>3644</v>
      </c>
      <c r="AS173" t="s">
        <v>3645</v>
      </c>
      <c r="AT173" t="s">
        <v>2930</v>
      </c>
      <c r="AU173">
        <v>2019</v>
      </c>
      <c r="AV173">
        <v>11</v>
      </c>
      <c r="AW173">
        <v>15</v>
      </c>
      <c r="AX173" t="s">
        <v>74</v>
      </c>
      <c r="AY173" t="s">
        <v>74</v>
      </c>
      <c r="AZ173" t="s">
        <v>74</v>
      </c>
      <c r="BA173" t="s">
        <v>74</v>
      </c>
      <c r="BB173" t="s">
        <v>74</v>
      </c>
      <c r="BC173" t="s">
        <v>74</v>
      </c>
      <c r="BD173">
        <v>1793</v>
      </c>
      <c r="BE173" t="s">
        <v>3682</v>
      </c>
      <c r="BF173" t="str">
        <f>HYPERLINK("http://dx.doi.org/10.3390/rs11151793","http://dx.doi.org/10.3390/rs11151793")</f>
        <v>http://dx.doi.org/10.3390/rs11151793</v>
      </c>
      <c r="BG173" t="s">
        <v>74</v>
      </c>
      <c r="BH173" t="s">
        <v>74</v>
      </c>
      <c r="BI173">
        <v>18</v>
      </c>
      <c r="BJ173" t="s">
        <v>3647</v>
      </c>
      <c r="BK173" t="s">
        <v>101</v>
      </c>
      <c r="BL173" t="s">
        <v>3648</v>
      </c>
      <c r="BM173" t="s">
        <v>3683</v>
      </c>
      <c r="BN173" t="s">
        <v>74</v>
      </c>
      <c r="BO173" t="s">
        <v>366</v>
      </c>
      <c r="BP173" t="s">
        <v>74</v>
      </c>
      <c r="BQ173" t="s">
        <v>74</v>
      </c>
      <c r="BR173" t="s">
        <v>103</v>
      </c>
      <c r="BS173" t="s">
        <v>3684</v>
      </c>
      <c r="BT173" t="str">
        <f>HYPERLINK("https%3A%2F%2Fwww.webofscience.com%2Fwos%2Fwoscc%2Ffull-record%2FWOS:000482442800057","View Full Record in Web of Science")</f>
        <v>View Full Record in Web of Science</v>
      </c>
    </row>
    <row r="174" spans="1:72" x14ac:dyDescent="0.15">
      <c r="A174" t="s">
        <v>72</v>
      </c>
      <c r="B174" t="s">
        <v>3685</v>
      </c>
      <c r="C174" t="s">
        <v>74</v>
      </c>
      <c r="D174" t="s">
        <v>74</v>
      </c>
      <c r="E174" t="s">
        <v>74</v>
      </c>
      <c r="F174" t="s">
        <v>3686</v>
      </c>
      <c r="G174" t="s">
        <v>74</v>
      </c>
      <c r="H174" t="s">
        <v>74</v>
      </c>
      <c r="I174" t="s">
        <v>3687</v>
      </c>
      <c r="J174" t="s">
        <v>3688</v>
      </c>
      <c r="K174" t="s">
        <v>74</v>
      </c>
      <c r="L174" t="s">
        <v>74</v>
      </c>
      <c r="M174" t="s">
        <v>78</v>
      </c>
      <c r="N174" t="s">
        <v>79</v>
      </c>
      <c r="O174" t="s">
        <v>74</v>
      </c>
      <c r="P174" t="s">
        <v>74</v>
      </c>
      <c r="Q174" t="s">
        <v>74</v>
      </c>
      <c r="R174" t="s">
        <v>74</v>
      </c>
      <c r="S174" t="s">
        <v>74</v>
      </c>
      <c r="T174" t="s">
        <v>3689</v>
      </c>
      <c r="U174" t="s">
        <v>3690</v>
      </c>
      <c r="V174" t="s">
        <v>3691</v>
      </c>
      <c r="W174" t="s">
        <v>3692</v>
      </c>
      <c r="X174" t="s">
        <v>74</v>
      </c>
      <c r="Y174" t="s">
        <v>3693</v>
      </c>
      <c r="Z174" t="s">
        <v>3694</v>
      </c>
      <c r="AA174" t="s">
        <v>74</v>
      </c>
      <c r="AB174" t="s">
        <v>74</v>
      </c>
      <c r="AC174" t="s">
        <v>3695</v>
      </c>
      <c r="AD174" t="s">
        <v>3695</v>
      </c>
      <c r="AE174" t="s">
        <v>3696</v>
      </c>
      <c r="AF174" t="s">
        <v>74</v>
      </c>
      <c r="AG174">
        <v>64</v>
      </c>
      <c r="AH174">
        <v>16</v>
      </c>
      <c r="AI174">
        <v>17</v>
      </c>
      <c r="AJ174">
        <v>0</v>
      </c>
      <c r="AK174">
        <v>20</v>
      </c>
      <c r="AL174" t="s">
        <v>3533</v>
      </c>
      <c r="AM174" t="s">
        <v>93</v>
      </c>
      <c r="AN174" t="s">
        <v>3534</v>
      </c>
      <c r="AO174" t="s">
        <v>3697</v>
      </c>
      <c r="AP174" t="s">
        <v>3698</v>
      </c>
      <c r="AQ174" t="s">
        <v>74</v>
      </c>
      <c r="AR174" t="s">
        <v>3699</v>
      </c>
      <c r="AS174" t="s">
        <v>3700</v>
      </c>
      <c r="AT174" t="s">
        <v>2930</v>
      </c>
      <c r="AU174">
        <v>2019</v>
      </c>
      <c r="AV174">
        <v>236</v>
      </c>
      <c r="AW174" t="s">
        <v>74</v>
      </c>
      <c r="AX174" t="s">
        <v>74</v>
      </c>
      <c r="AY174" t="s">
        <v>74</v>
      </c>
      <c r="AZ174" t="s">
        <v>74</v>
      </c>
      <c r="BA174" t="s">
        <v>74</v>
      </c>
      <c r="BB174">
        <v>521</v>
      </c>
      <c r="BC174">
        <v>531</v>
      </c>
      <c r="BD174" t="s">
        <v>74</v>
      </c>
      <c r="BE174" t="s">
        <v>3701</v>
      </c>
      <c r="BF174" t="str">
        <f>HYPERLINK("http://dx.doi.org/10.1016/j.biocon.2019.05.019","http://dx.doi.org/10.1016/j.biocon.2019.05.019")</f>
        <v>http://dx.doi.org/10.1016/j.biocon.2019.05.019</v>
      </c>
      <c r="BG174" t="s">
        <v>74</v>
      </c>
      <c r="BH174" t="s">
        <v>74</v>
      </c>
      <c r="BI174">
        <v>11</v>
      </c>
      <c r="BJ174" t="s">
        <v>1645</v>
      </c>
      <c r="BK174" t="s">
        <v>101</v>
      </c>
      <c r="BL174" t="s">
        <v>1646</v>
      </c>
      <c r="BM174" t="s">
        <v>3702</v>
      </c>
      <c r="BN174" t="s">
        <v>74</v>
      </c>
      <c r="BO174" t="s">
        <v>74</v>
      </c>
      <c r="BP174" t="s">
        <v>74</v>
      </c>
      <c r="BQ174" t="s">
        <v>74</v>
      </c>
      <c r="BR174" t="s">
        <v>103</v>
      </c>
      <c r="BS174" t="s">
        <v>3703</v>
      </c>
      <c r="BT174" t="str">
        <f>HYPERLINK("https%3A%2F%2Fwww.webofscience.com%2Fwos%2Fwoscc%2Ffull-record%2FWOS:000483908400057","View Full Record in Web of Science")</f>
        <v>View Full Record in Web of Science</v>
      </c>
    </row>
    <row r="175" spans="1:72" x14ac:dyDescent="0.15">
      <c r="A175" t="s">
        <v>72</v>
      </c>
      <c r="B175" t="s">
        <v>3704</v>
      </c>
      <c r="C175" t="s">
        <v>74</v>
      </c>
      <c r="D175" t="s">
        <v>74</v>
      </c>
      <c r="E175" t="s">
        <v>74</v>
      </c>
      <c r="F175" t="s">
        <v>3705</v>
      </c>
      <c r="G175" t="s">
        <v>74</v>
      </c>
      <c r="H175" t="s">
        <v>74</v>
      </c>
      <c r="I175" t="s">
        <v>3706</v>
      </c>
      <c r="J175" t="s">
        <v>3688</v>
      </c>
      <c r="K175" t="s">
        <v>74</v>
      </c>
      <c r="L175" t="s">
        <v>74</v>
      </c>
      <c r="M175" t="s">
        <v>78</v>
      </c>
      <c r="N175" t="s">
        <v>108</v>
      </c>
      <c r="O175" t="s">
        <v>74</v>
      </c>
      <c r="P175" t="s">
        <v>74</v>
      </c>
      <c r="Q175" t="s">
        <v>74</v>
      </c>
      <c r="R175" t="s">
        <v>74</v>
      </c>
      <c r="S175" t="s">
        <v>74</v>
      </c>
      <c r="T175" t="s">
        <v>3707</v>
      </c>
      <c r="U175" t="s">
        <v>3708</v>
      </c>
      <c r="V175" t="s">
        <v>3709</v>
      </c>
      <c r="W175" t="s">
        <v>3710</v>
      </c>
      <c r="X175" t="s">
        <v>84</v>
      </c>
      <c r="Y175" t="s">
        <v>3711</v>
      </c>
      <c r="Z175" t="s">
        <v>3712</v>
      </c>
      <c r="AA175" t="s">
        <v>3713</v>
      </c>
      <c r="AB175" t="s">
        <v>3714</v>
      </c>
      <c r="AC175" t="s">
        <v>3715</v>
      </c>
      <c r="AD175" t="s">
        <v>3715</v>
      </c>
      <c r="AE175" t="s">
        <v>3716</v>
      </c>
      <c r="AF175" t="s">
        <v>74</v>
      </c>
      <c r="AG175">
        <v>79</v>
      </c>
      <c r="AH175">
        <v>16</v>
      </c>
      <c r="AI175">
        <v>17</v>
      </c>
      <c r="AJ175">
        <v>4</v>
      </c>
      <c r="AK175">
        <v>50</v>
      </c>
      <c r="AL175" t="s">
        <v>3533</v>
      </c>
      <c r="AM175" t="s">
        <v>93</v>
      </c>
      <c r="AN175" t="s">
        <v>3534</v>
      </c>
      <c r="AO175" t="s">
        <v>3697</v>
      </c>
      <c r="AP175" t="s">
        <v>3698</v>
      </c>
      <c r="AQ175" t="s">
        <v>74</v>
      </c>
      <c r="AR175" t="s">
        <v>3699</v>
      </c>
      <c r="AS175" t="s">
        <v>3700</v>
      </c>
      <c r="AT175" t="s">
        <v>2930</v>
      </c>
      <c r="AU175">
        <v>2019</v>
      </c>
      <c r="AV175">
        <v>236</v>
      </c>
      <c r="AW175" t="s">
        <v>74</v>
      </c>
      <c r="AX175" t="s">
        <v>74</v>
      </c>
      <c r="AY175" t="s">
        <v>74</v>
      </c>
      <c r="AZ175" t="s">
        <v>74</v>
      </c>
      <c r="BA175" t="s">
        <v>74</v>
      </c>
      <c r="BB175">
        <v>532</v>
      </c>
      <c r="BC175">
        <v>542</v>
      </c>
      <c r="BD175" t="s">
        <v>74</v>
      </c>
      <c r="BE175" t="s">
        <v>3717</v>
      </c>
      <c r="BF175" t="str">
        <f>HYPERLINK("http://dx.doi.org/10.1016/j.biocon.2019.01.029","http://dx.doi.org/10.1016/j.biocon.2019.01.029")</f>
        <v>http://dx.doi.org/10.1016/j.biocon.2019.01.029</v>
      </c>
      <c r="BG175" t="s">
        <v>74</v>
      </c>
      <c r="BH175" t="s">
        <v>74</v>
      </c>
      <c r="BI175">
        <v>11</v>
      </c>
      <c r="BJ175" t="s">
        <v>1645</v>
      </c>
      <c r="BK175" t="s">
        <v>3718</v>
      </c>
      <c r="BL175" t="s">
        <v>1646</v>
      </c>
      <c r="BM175" t="s">
        <v>3702</v>
      </c>
      <c r="BN175" t="s">
        <v>74</v>
      </c>
      <c r="BO175" t="s">
        <v>74</v>
      </c>
      <c r="BP175" t="s">
        <v>74</v>
      </c>
      <c r="BQ175" t="s">
        <v>74</v>
      </c>
      <c r="BR175" t="s">
        <v>103</v>
      </c>
      <c r="BS175" t="s">
        <v>3719</v>
      </c>
      <c r="BT175" t="str">
        <f>HYPERLINK("https%3A%2F%2Fwww.webofscience.com%2Fwos%2Fwoscc%2Ffull-record%2FWOS:000483908400058","View Full Record in Web of Science")</f>
        <v>View Full Record in Web of Science</v>
      </c>
    </row>
    <row r="176" spans="1:72" x14ac:dyDescent="0.15">
      <c r="A176" t="s">
        <v>72</v>
      </c>
      <c r="B176" t="s">
        <v>3720</v>
      </c>
      <c r="C176" t="s">
        <v>74</v>
      </c>
      <c r="D176" t="s">
        <v>74</v>
      </c>
      <c r="E176" t="s">
        <v>74</v>
      </c>
      <c r="F176" t="s">
        <v>3721</v>
      </c>
      <c r="G176" t="s">
        <v>74</v>
      </c>
      <c r="H176" t="s">
        <v>74</v>
      </c>
      <c r="I176" t="s">
        <v>3722</v>
      </c>
      <c r="J176" t="s">
        <v>3723</v>
      </c>
      <c r="K176" t="s">
        <v>74</v>
      </c>
      <c r="L176" t="s">
        <v>74</v>
      </c>
      <c r="M176" t="s">
        <v>78</v>
      </c>
      <c r="N176" t="s">
        <v>108</v>
      </c>
      <c r="O176" t="s">
        <v>74</v>
      </c>
      <c r="P176" t="s">
        <v>74</v>
      </c>
      <c r="Q176" t="s">
        <v>74</v>
      </c>
      <c r="R176" t="s">
        <v>74</v>
      </c>
      <c r="S176" t="s">
        <v>74</v>
      </c>
      <c r="T176" t="s">
        <v>3724</v>
      </c>
      <c r="U176" t="s">
        <v>3725</v>
      </c>
      <c r="V176" t="s">
        <v>3726</v>
      </c>
      <c r="W176" t="s">
        <v>3727</v>
      </c>
      <c r="X176" t="s">
        <v>3728</v>
      </c>
      <c r="Y176" t="s">
        <v>3729</v>
      </c>
      <c r="Z176" t="s">
        <v>3730</v>
      </c>
      <c r="AA176" t="s">
        <v>3731</v>
      </c>
      <c r="AB176" t="s">
        <v>3732</v>
      </c>
      <c r="AC176" t="s">
        <v>3733</v>
      </c>
      <c r="AD176" t="s">
        <v>3734</v>
      </c>
      <c r="AE176" t="s">
        <v>3735</v>
      </c>
      <c r="AF176" t="s">
        <v>74</v>
      </c>
      <c r="AG176">
        <v>23</v>
      </c>
      <c r="AH176">
        <v>7</v>
      </c>
      <c r="AI176">
        <v>8</v>
      </c>
      <c r="AJ176">
        <v>6</v>
      </c>
      <c r="AK176">
        <v>58</v>
      </c>
      <c r="AL176" t="s">
        <v>3736</v>
      </c>
      <c r="AM176" t="s">
        <v>3737</v>
      </c>
      <c r="AN176" t="s">
        <v>3738</v>
      </c>
      <c r="AO176" t="s">
        <v>3739</v>
      </c>
      <c r="AP176" t="s">
        <v>3740</v>
      </c>
      <c r="AQ176" t="s">
        <v>74</v>
      </c>
      <c r="AR176" t="s">
        <v>3741</v>
      </c>
      <c r="AS176" t="s">
        <v>3742</v>
      </c>
      <c r="AT176" t="s">
        <v>2930</v>
      </c>
      <c r="AU176">
        <v>2019</v>
      </c>
      <c r="AV176">
        <v>20</v>
      </c>
      <c r="AW176">
        <v>8</v>
      </c>
      <c r="AX176" t="s">
        <v>74</v>
      </c>
      <c r="AY176" t="s">
        <v>74</v>
      </c>
      <c r="AZ176" t="s">
        <v>74</v>
      </c>
      <c r="BA176" t="s">
        <v>74</v>
      </c>
      <c r="BB176">
        <v>1547</v>
      </c>
      <c r="BC176">
        <v>1554</v>
      </c>
      <c r="BD176" t="s">
        <v>74</v>
      </c>
      <c r="BE176" t="s">
        <v>3743</v>
      </c>
      <c r="BF176" t="str">
        <f>HYPERLINK("http://dx.doi.org/10.1007/s12221-019-8725-2","http://dx.doi.org/10.1007/s12221-019-8725-2")</f>
        <v>http://dx.doi.org/10.1007/s12221-019-8725-2</v>
      </c>
      <c r="BG176" t="s">
        <v>74</v>
      </c>
      <c r="BH176" t="s">
        <v>74</v>
      </c>
      <c r="BI176">
        <v>8</v>
      </c>
      <c r="BJ176" t="s">
        <v>3744</v>
      </c>
      <c r="BK176" t="s">
        <v>101</v>
      </c>
      <c r="BL176" t="s">
        <v>3541</v>
      </c>
      <c r="BM176" t="s">
        <v>3745</v>
      </c>
      <c r="BN176" t="s">
        <v>74</v>
      </c>
      <c r="BO176" t="s">
        <v>74</v>
      </c>
      <c r="BP176" t="s">
        <v>74</v>
      </c>
      <c r="BQ176" t="s">
        <v>74</v>
      </c>
      <c r="BR176" t="s">
        <v>103</v>
      </c>
      <c r="BS176" t="s">
        <v>3746</v>
      </c>
      <c r="BT176" t="str">
        <f>HYPERLINK("https%3A%2F%2Fwww.webofscience.com%2Fwos%2Fwoscc%2Ffull-record%2FWOS:000483661500001","View Full Record in Web of Science")</f>
        <v>View Full Record in Web of Science</v>
      </c>
    </row>
    <row r="177" spans="1:72" x14ac:dyDescent="0.15">
      <c r="A177" t="s">
        <v>72</v>
      </c>
      <c r="B177" t="s">
        <v>3747</v>
      </c>
      <c r="C177" t="s">
        <v>74</v>
      </c>
      <c r="D177" t="s">
        <v>74</v>
      </c>
      <c r="E177" t="s">
        <v>74</v>
      </c>
      <c r="F177" t="s">
        <v>3748</v>
      </c>
      <c r="G177" t="s">
        <v>74</v>
      </c>
      <c r="H177" t="s">
        <v>74</v>
      </c>
      <c r="I177" t="s">
        <v>3749</v>
      </c>
      <c r="J177" t="s">
        <v>3750</v>
      </c>
      <c r="K177" t="s">
        <v>74</v>
      </c>
      <c r="L177" t="s">
        <v>74</v>
      </c>
      <c r="M177" t="s">
        <v>78</v>
      </c>
      <c r="N177" t="s">
        <v>108</v>
      </c>
      <c r="O177" t="s">
        <v>74</v>
      </c>
      <c r="P177" t="s">
        <v>74</v>
      </c>
      <c r="Q177" t="s">
        <v>74</v>
      </c>
      <c r="R177" t="s">
        <v>74</v>
      </c>
      <c r="S177" t="s">
        <v>74</v>
      </c>
      <c r="T177" t="s">
        <v>3751</v>
      </c>
      <c r="U177" t="s">
        <v>3752</v>
      </c>
      <c r="V177" t="s">
        <v>3753</v>
      </c>
      <c r="W177" t="s">
        <v>3754</v>
      </c>
      <c r="X177" t="s">
        <v>3755</v>
      </c>
      <c r="Y177" t="s">
        <v>3756</v>
      </c>
      <c r="Z177" t="s">
        <v>3757</v>
      </c>
      <c r="AA177" t="s">
        <v>3758</v>
      </c>
      <c r="AB177" t="s">
        <v>3759</v>
      </c>
      <c r="AC177" t="s">
        <v>3760</v>
      </c>
      <c r="AD177" t="s">
        <v>3761</v>
      </c>
      <c r="AE177" t="s">
        <v>3762</v>
      </c>
      <c r="AF177" t="s">
        <v>74</v>
      </c>
      <c r="AG177">
        <v>151</v>
      </c>
      <c r="AH177">
        <v>7</v>
      </c>
      <c r="AI177">
        <v>7</v>
      </c>
      <c r="AJ177">
        <v>0</v>
      </c>
      <c r="AK177">
        <v>7</v>
      </c>
      <c r="AL177" t="s">
        <v>3615</v>
      </c>
      <c r="AM177" t="s">
        <v>3616</v>
      </c>
      <c r="AN177" t="s">
        <v>3617</v>
      </c>
      <c r="AO177" t="s">
        <v>74</v>
      </c>
      <c r="AP177" t="s">
        <v>3763</v>
      </c>
      <c r="AQ177" t="s">
        <v>74</v>
      </c>
      <c r="AR177" t="s">
        <v>3750</v>
      </c>
      <c r="AS177" t="s">
        <v>3764</v>
      </c>
      <c r="AT177" t="s">
        <v>2930</v>
      </c>
      <c r="AU177">
        <v>2019</v>
      </c>
      <c r="AV177">
        <v>9</v>
      </c>
      <c r="AW177">
        <v>8</v>
      </c>
      <c r="AX177" t="s">
        <v>74</v>
      </c>
      <c r="AY177" t="s">
        <v>74</v>
      </c>
      <c r="AZ177" t="s">
        <v>74</v>
      </c>
      <c r="BA177" t="s">
        <v>74</v>
      </c>
      <c r="BB177" t="s">
        <v>74</v>
      </c>
      <c r="BC177" t="s">
        <v>74</v>
      </c>
      <c r="BD177">
        <v>340</v>
      </c>
      <c r="BE177" t="s">
        <v>3765</v>
      </c>
      <c r="BF177" t="str">
        <f>HYPERLINK("http://dx.doi.org/10.3390/geosciences9080340","http://dx.doi.org/10.3390/geosciences9080340")</f>
        <v>http://dx.doi.org/10.3390/geosciences9080340</v>
      </c>
      <c r="BG177" t="s">
        <v>74</v>
      </c>
      <c r="BH177" t="s">
        <v>74</v>
      </c>
      <c r="BI177">
        <v>32</v>
      </c>
      <c r="BJ177" t="s">
        <v>471</v>
      </c>
      <c r="BK177" t="s">
        <v>2978</v>
      </c>
      <c r="BL177" t="s">
        <v>472</v>
      </c>
      <c r="BM177" t="s">
        <v>3766</v>
      </c>
      <c r="BN177" t="s">
        <v>74</v>
      </c>
      <c r="BO177" t="s">
        <v>2270</v>
      </c>
      <c r="BP177" t="s">
        <v>74</v>
      </c>
      <c r="BQ177" t="s">
        <v>74</v>
      </c>
      <c r="BR177" t="s">
        <v>103</v>
      </c>
      <c r="BS177" t="s">
        <v>3767</v>
      </c>
      <c r="BT177" t="str">
        <f>HYPERLINK("https%3A%2F%2Fwww.webofscience.com%2Fwos%2Fwoscc%2Ffull-record%2FWOS:000482981000036","View Full Record in Web of Science")</f>
        <v>View Full Record in Web of Science</v>
      </c>
    </row>
    <row r="178" spans="1:72" x14ac:dyDescent="0.15">
      <c r="A178" t="s">
        <v>72</v>
      </c>
      <c r="B178" t="s">
        <v>3768</v>
      </c>
      <c r="C178" t="s">
        <v>74</v>
      </c>
      <c r="D178" t="s">
        <v>74</v>
      </c>
      <c r="E178" t="s">
        <v>74</v>
      </c>
      <c r="F178" t="s">
        <v>3769</v>
      </c>
      <c r="G178" t="s">
        <v>74</v>
      </c>
      <c r="H178" t="s">
        <v>74</v>
      </c>
      <c r="I178" t="s">
        <v>3770</v>
      </c>
      <c r="J178" t="s">
        <v>3750</v>
      </c>
      <c r="K178" t="s">
        <v>74</v>
      </c>
      <c r="L178" t="s">
        <v>74</v>
      </c>
      <c r="M178" t="s">
        <v>78</v>
      </c>
      <c r="N178" t="s">
        <v>108</v>
      </c>
      <c r="O178" t="s">
        <v>74</v>
      </c>
      <c r="P178" t="s">
        <v>74</v>
      </c>
      <c r="Q178" t="s">
        <v>74</v>
      </c>
      <c r="R178" t="s">
        <v>74</v>
      </c>
      <c r="S178" t="s">
        <v>74</v>
      </c>
      <c r="T178" t="s">
        <v>3771</v>
      </c>
      <c r="U178" t="s">
        <v>3772</v>
      </c>
      <c r="V178" t="s">
        <v>3773</v>
      </c>
      <c r="W178" t="s">
        <v>3774</v>
      </c>
      <c r="X178" t="s">
        <v>3003</v>
      </c>
      <c r="Y178" t="s">
        <v>3775</v>
      </c>
      <c r="Z178" t="s">
        <v>3776</v>
      </c>
      <c r="AA178" t="s">
        <v>3777</v>
      </c>
      <c r="AB178" t="s">
        <v>3778</v>
      </c>
      <c r="AC178" t="s">
        <v>3779</v>
      </c>
      <c r="AD178" t="s">
        <v>3780</v>
      </c>
      <c r="AE178" t="s">
        <v>3781</v>
      </c>
      <c r="AF178" t="s">
        <v>74</v>
      </c>
      <c r="AG178">
        <v>85</v>
      </c>
      <c r="AH178">
        <v>4</v>
      </c>
      <c r="AI178">
        <v>4</v>
      </c>
      <c r="AJ178">
        <v>2</v>
      </c>
      <c r="AK178">
        <v>5</v>
      </c>
      <c r="AL178" t="s">
        <v>3615</v>
      </c>
      <c r="AM178" t="s">
        <v>3616</v>
      </c>
      <c r="AN178" t="s">
        <v>3617</v>
      </c>
      <c r="AO178" t="s">
        <v>74</v>
      </c>
      <c r="AP178" t="s">
        <v>3763</v>
      </c>
      <c r="AQ178" t="s">
        <v>74</v>
      </c>
      <c r="AR178" t="s">
        <v>3750</v>
      </c>
      <c r="AS178" t="s">
        <v>3764</v>
      </c>
      <c r="AT178" t="s">
        <v>2930</v>
      </c>
      <c r="AU178">
        <v>2019</v>
      </c>
      <c r="AV178">
        <v>9</v>
      </c>
      <c r="AW178">
        <v>8</v>
      </c>
      <c r="AX178" t="s">
        <v>74</v>
      </c>
      <c r="AY178" t="s">
        <v>74</v>
      </c>
      <c r="AZ178" t="s">
        <v>74</v>
      </c>
      <c r="BA178" t="s">
        <v>74</v>
      </c>
      <c r="BB178" t="s">
        <v>74</v>
      </c>
      <c r="BC178" t="s">
        <v>74</v>
      </c>
      <c r="BD178">
        <v>346</v>
      </c>
      <c r="BE178" t="s">
        <v>3782</v>
      </c>
      <c r="BF178" t="str">
        <f>HYPERLINK("http://dx.doi.org/10.3390/geosciences9080346","http://dx.doi.org/10.3390/geosciences9080346")</f>
        <v>http://dx.doi.org/10.3390/geosciences9080346</v>
      </c>
      <c r="BG178" t="s">
        <v>74</v>
      </c>
      <c r="BH178" t="s">
        <v>74</v>
      </c>
      <c r="BI178">
        <v>17</v>
      </c>
      <c r="BJ178" t="s">
        <v>471</v>
      </c>
      <c r="BK178" t="s">
        <v>2978</v>
      </c>
      <c r="BL178" t="s">
        <v>472</v>
      </c>
      <c r="BM178" t="s">
        <v>3766</v>
      </c>
      <c r="BN178" t="s">
        <v>74</v>
      </c>
      <c r="BO178" t="s">
        <v>366</v>
      </c>
      <c r="BP178" t="s">
        <v>74</v>
      </c>
      <c r="BQ178" t="s">
        <v>74</v>
      </c>
      <c r="BR178" t="s">
        <v>103</v>
      </c>
      <c r="BS178" t="s">
        <v>3783</v>
      </c>
      <c r="BT178" t="str">
        <f>HYPERLINK("https%3A%2F%2Fwww.webofscience.com%2Fwos%2Fwoscc%2Ffull-record%2FWOS:000482981000028","View Full Record in Web of Science")</f>
        <v>View Full Record in Web of Science</v>
      </c>
    </row>
    <row r="179" spans="1:72" x14ac:dyDescent="0.15">
      <c r="A179" t="s">
        <v>72</v>
      </c>
      <c r="B179" t="s">
        <v>3784</v>
      </c>
      <c r="C179" t="s">
        <v>74</v>
      </c>
      <c r="D179" t="s">
        <v>74</v>
      </c>
      <c r="E179" t="s">
        <v>74</v>
      </c>
      <c r="F179" t="s">
        <v>3785</v>
      </c>
      <c r="G179" t="s">
        <v>74</v>
      </c>
      <c r="H179" t="s">
        <v>74</v>
      </c>
      <c r="I179" t="s">
        <v>3786</v>
      </c>
      <c r="J179" t="s">
        <v>3787</v>
      </c>
      <c r="K179" t="s">
        <v>74</v>
      </c>
      <c r="L179" t="s">
        <v>74</v>
      </c>
      <c r="M179" t="s">
        <v>78</v>
      </c>
      <c r="N179" t="s">
        <v>79</v>
      </c>
      <c r="O179" t="s">
        <v>74</v>
      </c>
      <c r="P179" t="s">
        <v>74</v>
      </c>
      <c r="Q179" t="s">
        <v>74</v>
      </c>
      <c r="R179" t="s">
        <v>74</v>
      </c>
      <c r="S179" t="s">
        <v>74</v>
      </c>
      <c r="T179" t="s">
        <v>3788</v>
      </c>
      <c r="U179" t="s">
        <v>3789</v>
      </c>
      <c r="V179" t="s">
        <v>3790</v>
      </c>
      <c r="W179" t="s">
        <v>3791</v>
      </c>
      <c r="X179" t="s">
        <v>3792</v>
      </c>
      <c r="Y179" t="s">
        <v>3793</v>
      </c>
      <c r="Z179" t="s">
        <v>3794</v>
      </c>
      <c r="AA179" t="s">
        <v>3795</v>
      </c>
      <c r="AB179" t="s">
        <v>3796</v>
      </c>
      <c r="AC179" t="s">
        <v>3797</v>
      </c>
      <c r="AD179" t="s">
        <v>74</v>
      </c>
      <c r="AE179" t="s">
        <v>3798</v>
      </c>
      <c r="AF179" t="s">
        <v>74</v>
      </c>
      <c r="AG179">
        <v>113</v>
      </c>
      <c r="AH179">
        <v>9</v>
      </c>
      <c r="AI179">
        <v>9</v>
      </c>
      <c r="AJ179">
        <v>1</v>
      </c>
      <c r="AK179">
        <v>18</v>
      </c>
      <c r="AL179" t="s">
        <v>3615</v>
      </c>
      <c r="AM179" t="s">
        <v>3616</v>
      </c>
      <c r="AN179" t="s">
        <v>3617</v>
      </c>
      <c r="AO179" t="s">
        <v>74</v>
      </c>
      <c r="AP179" t="s">
        <v>3799</v>
      </c>
      <c r="AQ179" t="s">
        <v>74</v>
      </c>
      <c r="AR179" t="s">
        <v>3787</v>
      </c>
      <c r="AS179" t="s">
        <v>3800</v>
      </c>
      <c r="AT179" t="s">
        <v>2930</v>
      </c>
      <c r="AU179">
        <v>2019</v>
      </c>
      <c r="AV179">
        <v>11</v>
      </c>
      <c r="AW179">
        <v>8</v>
      </c>
      <c r="AX179" t="s">
        <v>74</v>
      </c>
      <c r="AY179" t="s">
        <v>74</v>
      </c>
      <c r="AZ179" t="s">
        <v>74</v>
      </c>
      <c r="BA179" t="s">
        <v>74</v>
      </c>
      <c r="BB179" t="s">
        <v>74</v>
      </c>
      <c r="BC179" t="s">
        <v>74</v>
      </c>
      <c r="BD179">
        <v>128</v>
      </c>
      <c r="BE179" t="s">
        <v>3801</v>
      </c>
      <c r="BF179" t="str">
        <f>HYPERLINK("http://dx.doi.org/10.3390/d11080128","http://dx.doi.org/10.3390/d11080128")</f>
        <v>http://dx.doi.org/10.3390/d11080128</v>
      </c>
      <c r="BG179" t="s">
        <v>74</v>
      </c>
      <c r="BH179" t="s">
        <v>74</v>
      </c>
      <c r="BI179">
        <v>23</v>
      </c>
      <c r="BJ179" t="s">
        <v>3802</v>
      </c>
      <c r="BK179" t="s">
        <v>101</v>
      </c>
      <c r="BL179" t="s">
        <v>1646</v>
      </c>
      <c r="BM179" t="s">
        <v>3803</v>
      </c>
      <c r="BN179" t="s">
        <v>74</v>
      </c>
      <c r="BO179" t="s">
        <v>366</v>
      </c>
      <c r="BP179" t="s">
        <v>74</v>
      </c>
      <c r="BQ179" t="s">
        <v>74</v>
      </c>
      <c r="BR179" t="s">
        <v>103</v>
      </c>
      <c r="BS179" t="s">
        <v>3804</v>
      </c>
      <c r="BT179" t="str">
        <f>HYPERLINK("https%3A%2F%2Fwww.webofscience.com%2Fwos%2Fwoscc%2Ffull-record%2FWOS:000482961700012","View Full Record in Web of Science")</f>
        <v>View Full Record in Web of Science</v>
      </c>
    </row>
    <row r="180" spans="1:72" x14ac:dyDescent="0.15">
      <c r="A180" t="s">
        <v>72</v>
      </c>
      <c r="B180" t="s">
        <v>3805</v>
      </c>
      <c r="C180" t="s">
        <v>74</v>
      </c>
      <c r="D180" t="s">
        <v>74</v>
      </c>
      <c r="E180" t="s">
        <v>74</v>
      </c>
      <c r="F180" t="s">
        <v>3806</v>
      </c>
      <c r="G180" t="s">
        <v>74</v>
      </c>
      <c r="H180" t="s">
        <v>74</v>
      </c>
      <c r="I180" t="s">
        <v>3807</v>
      </c>
      <c r="J180" t="s">
        <v>3808</v>
      </c>
      <c r="K180" t="s">
        <v>74</v>
      </c>
      <c r="L180" t="s">
        <v>74</v>
      </c>
      <c r="M180" t="s">
        <v>78</v>
      </c>
      <c r="N180" t="s">
        <v>108</v>
      </c>
      <c r="O180" t="s">
        <v>74</v>
      </c>
      <c r="P180" t="s">
        <v>74</v>
      </c>
      <c r="Q180" t="s">
        <v>74</v>
      </c>
      <c r="R180" t="s">
        <v>74</v>
      </c>
      <c r="S180" t="s">
        <v>74</v>
      </c>
      <c r="T180" t="s">
        <v>3809</v>
      </c>
      <c r="U180" t="s">
        <v>3810</v>
      </c>
      <c r="V180" t="s">
        <v>3811</v>
      </c>
      <c r="W180" t="s">
        <v>3812</v>
      </c>
      <c r="X180" t="s">
        <v>3813</v>
      </c>
      <c r="Y180" t="s">
        <v>3814</v>
      </c>
      <c r="Z180" t="s">
        <v>3815</v>
      </c>
      <c r="AA180" t="s">
        <v>3816</v>
      </c>
      <c r="AB180" t="s">
        <v>3817</v>
      </c>
      <c r="AC180" t="s">
        <v>3818</v>
      </c>
      <c r="AD180" t="s">
        <v>3819</v>
      </c>
      <c r="AE180" t="s">
        <v>3820</v>
      </c>
      <c r="AF180" t="s">
        <v>74</v>
      </c>
      <c r="AG180">
        <v>28</v>
      </c>
      <c r="AH180">
        <v>5</v>
      </c>
      <c r="AI180">
        <v>5</v>
      </c>
      <c r="AJ180">
        <v>0</v>
      </c>
      <c r="AK180">
        <v>9</v>
      </c>
      <c r="AL180" t="s">
        <v>3615</v>
      </c>
      <c r="AM180" t="s">
        <v>3616</v>
      </c>
      <c r="AN180" t="s">
        <v>3617</v>
      </c>
      <c r="AO180" t="s">
        <v>74</v>
      </c>
      <c r="AP180" t="s">
        <v>3821</v>
      </c>
      <c r="AQ180" t="s">
        <v>74</v>
      </c>
      <c r="AR180" t="s">
        <v>3822</v>
      </c>
      <c r="AS180" t="s">
        <v>3823</v>
      </c>
      <c r="AT180" t="s">
        <v>2930</v>
      </c>
      <c r="AU180">
        <v>2019</v>
      </c>
      <c r="AV180">
        <v>7</v>
      </c>
      <c r="AW180">
        <v>8</v>
      </c>
      <c r="AX180" t="s">
        <v>74</v>
      </c>
      <c r="AY180" t="s">
        <v>74</v>
      </c>
      <c r="AZ180" t="s">
        <v>74</v>
      </c>
      <c r="BA180" t="s">
        <v>74</v>
      </c>
      <c r="BB180" t="s">
        <v>74</v>
      </c>
      <c r="BC180" t="s">
        <v>74</v>
      </c>
      <c r="BD180">
        <v>243</v>
      </c>
      <c r="BE180" t="s">
        <v>3824</v>
      </c>
      <c r="BF180" t="str">
        <f>HYPERLINK("http://dx.doi.org/10.3390/jmse7080243","http://dx.doi.org/10.3390/jmse7080243")</f>
        <v>http://dx.doi.org/10.3390/jmse7080243</v>
      </c>
      <c r="BG180" t="s">
        <v>74</v>
      </c>
      <c r="BH180" t="s">
        <v>74</v>
      </c>
      <c r="BI180">
        <v>12</v>
      </c>
      <c r="BJ180" t="s">
        <v>3825</v>
      </c>
      <c r="BK180" t="s">
        <v>101</v>
      </c>
      <c r="BL180" t="s">
        <v>3826</v>
      </c>
      <c r="BM180" t="s">
        <v>3827</v>
      </c>
      <c r="BN180" t="s">
        <v>74</v>
      </c>
      <c r="BO180" t="s">
        <v>2565</v>
      </c>
      <c r="BP180" t="s">
        <v>74</v>
      </c>
      <c r="BQ180" t="s">
        <v>74</v>
      </c>
      <c r="BR180" t="s">
        <v>103</v>
      </c>
      <c r="BS180" t="s">
        <v>3828</v>
      </c>
      <c r="BT180" t="str">
        <f>HYPERLINK("https%3A%2F%2Fwww.webofscience.com%2Fwos%2Fwoscc%2Ffull-record%2FWOS:000482991100040","View Full Record in Web of Science")</f>
        <v>View Full Record in Web of Science</v>
      </c>
    </row>
    <row r="181" spans="1:72" x14ac:dyDescent="0.15">
      <c r="A181" t="s">
        <v>72</v>
      </c>
      <c r="B181" t="s">
        <v>3829</v>
      </c>
      <c r="C181" t="s">
        <v>74</v>
      </c>
      <c r="D181" t="s">
        <v>74</v>
      </c>
      <c r="E181" t="s">
        <v>74</v>
      </c>
      <c r="F181" t="s">
        <v>3830</v>
      </c>
      <c r="G181" t="s">
        <v>74</v>
      </c>
      <c r="H181" t="s">
        <v>74</v>
      </c>
      <c r="I181" t="s">
        <v>3831</v>
      </c>
      <c r="J181" t="s">
        <v>3832</v>
      </c>
      <c r="K181" t="s">
        <v>74</v>
      </c>
      <c r="L181" t="s">
        <v>74</v>
      </c>
      <c r="M181" t="s">
        <v>78</v>
      </c>
      <c r="N181" t="s">
        <v>108</v>
      </c>
      <c r="O181" t="s">
        <v>74</v>
      </c>
      <c r="P181" t="s">
        <v>74</v>
      </c>
      <c r="Q181" t="s">
        <v>74</v>
      </c>
      <c r="R181" t="s">
        <v>74</v>
      </c>
      <c r="S181" t="s">
        <v>74</v>
      </c>
      <c r="T181" t="s">
        <v>74</v>
      </c>
      <c r="U181" t="s">
        <v>3833</v>
      </c>
      <c r="V181" t="s">
        <v>3834</v>
      </c>
      <c r="W181" t="s">
        <v>3835</v>
      </c>
      <c r="X181" t="s">
        <v>3836</v>
      </c>
      <c r="Y181" t="s">
        <v>3837</v>
      </c>
      <c r="Z181" t="s">
        <v>3838</v>
      </c>
      <c r="AA181" t="s">
        <v>3839</v>
      </c>
      <c r="AB181" t="s">
        <v>3840</v>
      </c>
      <c r="AC181" t="s">
        <v>3841</v>
      </c>
      <c r="AD181" t="s">
        <v>3842</v>
      </c>
      <c r="AE181" t="s">
        <v>3843</v>
      </c>
      <c r="AF181" t="s">
        <v>74</v>
      </c>
      <c r="AG181">
        <v>25</v>
      </c>
      <c r="AH181">
        <v>11</v>
      </c>
      <c r="AI181">
        <v>13</v>
      </c>
      <c r="AJ181">
        <v>0</v>
      </c>
      <c r="AK181">
        <v>14</v>
      </c>
      <c r="AL181" t="s">
        <v>1577</v>
      </c>
      <c r="AM181" t="s">
        <v>183</v>
      </c>
      <c r="AN181" t="s">
        <v>1578</v>
      </c>
      <c r="AO181" t="s">
        <v>3844</v>
      </c>
      <c r="AP181" t="s">
        <v>3845</v>
      </c>
      <c r="AQ181" t="s">
        <v>74</v>
      </c>
      <c r="AR181" t="s">
        <v>3846</v>
      </c>
      <c r="AS181" t="s">
        <v>3847</v>
      </c>
      <c r="AT181" t="s">
        <v>2930</v>
      </c>
      <c r="AU181">
        <v>2019</v>
      </c>
      <c r="AV181">
        <v>82</v>
      </c>
      <c r="AW181">
        <v>8</v>
      </c>
      <c r="AX181" t="s">
        <v>74</v>
      </c>
      <c r="AY181" t="s">
        <v>74</v>
      </c>
      <c r="AZ181" t="s">
        <v>74</v>
      </c>
      <c r="BA181" t="s">
        <v>74</v>
      </c>
      <c r="BB181">
        <v>2354</v>
      </c>
      <c r="BC181">
        <v>2358</v>
      </c>
      <c r="BD181" t="s">
        <v>74</v>
      </c>
      <c r="BE181" t="s">
        <v>3848</v>
      </c>
      <c r="BF181" t="str">
        <f>HYPERLINK("http://dx.doi.org/10.1021/acs.jnatprod.9b00362","http://dx.doi.org/10.1021/acs.jnatprod.9b00362")</f>
        <v>http://dx.doi.org/10.1021/acs.jnatprod.9b00362</v>
      </c>
      <c r="BG181" t="s">
        <v>74</v>
      </c>
      <c r="BH181" t="s">
        <v>74</v>
      </c>
      <c r="BI181">
        <v>5</v>
      </c>
      <c r="BJ181" t="s">
        <v>3849</v>
      </c>
      <c r="BK181" t="s">
        <v>3850</v>
      </c>
      <c r="BL181" t="s">
        <v>3851</v>
      </c>
      <c r="BM181" t="s">
        <v>3852</v>
      </c>
      <c r="BN181">
        <v>31403291</v>
      </c>
      <c r="BO181" t="s">
        <v>74</v>
      </c>
      <c r="BP181" t="s">
        <v>74</v>
      </c>
      <c r="BQ181" t="s">
        <v>74</v>
      </c>
      <c r="BR181" t="s">
        <v>103</v>
      </c>
      <c r="BS181" t="s">
        <v>3853</v>
      </c>
      <c r="BT181" t="str">
        <f>HYPERLINK("https%3A%2F%2Fwww.webofscience.com%2Fwos%2Fwoscc%2Ffull-record%2FWOS:000483435000034","View Full Record in Web of Science")</f>
        <v>View Full Record in Web of Science</v>
      </c>
    </row>
    <row r="182" spans="1:72" x14ac:dyDescent="0.15">
      <c r="A182" t="s">
        <v>72</v>
      </c>
      <c r="B182" t="s">
        <v>3854</v>
      </c>
      <c r="C182" t="s">
        <v>74</v>
      </c>
      <c r="D182" t="s">
        <v>74</v>
      </c>
      <c r="E182" t="s">
        <v>74</v>
      </c>
      <c r="F182" t="s">
        <v>3855</v>
      </c>
      <c r="G182" t="s">
        <v>74</v>
      </c>
      <c r="H182" t="s">
        <v>74</v>
      </c>
      <c r="I182" t="s">
        <v>3856</v>
      </c>
      <c r="J182" t="s">
        <v>3857</v>
      </c>
      <c r="K182" t="s">
        <v>74</v>
      </c>
      <c r="L182" t="s">
        <v>74</v>
      </c>
      <c r="M182" t="s">
        <v>78</v>
      </c>
      <c r="N182" t="s">
        <v>108</v>
      </c>
      <c r="O182" t="s">
        <v>74</v>
      </c>
      <c r="P182" t="s">
        <v>74</v>
      </c>
      <c r="Q182" t="s">
        <v>74</v>
      </c>
      <c r="R182" t="s">
        <v>74</v>
      </c>
      <c r="S182" t="s">
        <v>74</v>
      </c>
      <c r="T182" t="s">
        <v>3858</v>
      </c>
      <c r="U182" t="s">
        <v>3859</v>
      </c>
      <c r="V182" t="s">
        <v>3860</v>
      </c>
      <c r="W182" t="s">
        <v>3861</v>
      </c>
      <c r="X182" t="s">
        <v>3862</v>
      </c>
      <c r="Y182" t="s">
        <v>3863</v>
      </c>
      <c r="Z182" t="s">
        <v>3864</v>
      </c>
      <c r="AA182" t="s">
        <v>3865</v>
      </c>
      <c r="AB182" t="s">
        <v>3866</v>
      </c>
      <c r="AC182" t="s">
        <v>3867</v>
      </c>
      <c r="AD182" t="s">
        <v>3868</v>
      </c>
      <c r="AE182" t="s">
        <v>3869</v>
      </c>
      <c r="AF182" t="s">
        <v>74</v>
      </c>
      <c r="AG182">
        <v>42</v>
      </c>
      <c r="AH182">
        <v>6</v>
      </c>
      <c r="AI182">
        <v>7</v>
      </c>
      <c r="AJ182">
        <v>2</v>
      </c>
      <c r="AK182">
        <v>22</v>
      </c>
      <c r="AL182" t="s">
        <v>92</v>
      </c>
      <c r="AM182" t="s">
        <v>93</v>
      </c>
      <c r="AN182" t="s">
        <v>94</v>
      </c>
      <c r="AO182" t="s">
        <v>3870</v>
      </c>
      <c r="AP182" t="s">
        <v>3871</v>
      </c>
      <c r="AQ182" t="s">
        <v>74</v>
      </c>
      <c r="AR182" t="s">
        <v>3872</v>
      </c>
      <c r="AS182" t="s">
        <v>3873</v>
      </c>
      <c r="AT182" t="s">
        <v>2930</v>
      </c>
      <c r="AU182">
        <v>2019</v>
      </c>
      <c r="AV182">
        <v>145</v>
      </c>
      <c r="AW182" t="s">
        <v>74</v>
      </c>
      <c r="AX182" t="s">
        <v>74</v>
      </c>
      <c r="AY182" t="s">
        <v>74</v>
      </c>
      <c r="AZ182" t="s">
        <v>74</v>
      </c>
      <c r="BA182" t="s">
        <v>74</v>
      </c>
      <c r="BB182">
        <v>148</v>
      </c>
      <c r="BC182">
        <v>152</v>
      </c>
      <c r="BD182" t="s">
        <v>74</v>
      </c>
      <c r="BE182" t="s">
        <v>3874</v>
      </c>
      <c r="BF182" t="str">
        <f>HYPERLINK("http://dx.doi.org/10.1016/j.marpolbul.2019.05.045","http://dx.doi.org/10.1016/j.marpolbul.2019.05.045")</f>
        <v>http://dx.doi.org/10.1016/j.marpolbul.2019.05.045</v>
      </c>
      <c r="BG182" t="s">
        <v>74</v>
      </c>
      <c r="BH182" t="s">
        <v>74</v>
      </c>
      <c r="BI182">
        <v>5</v>
      </c>
      <c r="BJ182" t="s">
        <v>876</v>
      </c>
      <c r="BK182" t="s">
        <v>101</v>
      </c>
      <c r="BL182" t="s">
        <v>877</v>
      </c>
      <c r="BM182" t="s">
        <v>3875</v>
      </c>
      <c r="BN182">
        <v>31590771</v>
      </c>
      <c r="BO182" t="s">
        <v>74</v>
      </c>
      <c r="BP182" t="s">
        <v>74</v>
      </c>
      <c r="BQ182" t="s">
        <v>74</v>
      </c>
      <c r="BR182" t="s">
        <v>103</v>
      </c>
      <c r="BS182" t="s">
        <v>3876</v>
      </c>
      <c r="BT182" t="str">
        <f>HYPERLINK("https%3A%2F%2Fwww.webofscience.com%2Fwos%2Fwoscc%2Ffull-record%2FWOS:000482493000018","View Full Record in Web of Science")</f>
        <v>View Full Record in Web of Science</v>
      </c>
    </row>
    <row r="183" spans="1:72" x14ac:dyDescent="0.15">
      <c r="A183" t="s">
        <v>72</v>
      </c>
      <c r="B183" t="s">
        <v>3877</v>
      </c>
      <c r="C183" t="s">
        <v>74</v>
      </c>
      <c r="D183" t="s">
        <v>74</v>
      </c>
      <c r="E183" t="s">
        <v>74</v>
      </c>
      <c r="F183" t="s">
        <v>3878</v>
      </c>
      <c r="G183" t="s">
        <v>74</v>
      </c>
      <c r="H183" t="s">
        <v>74</v>
      </c>
      <c r="I183" t="s">
        <v>3879</v>
      </c>
      <c r="J183" t="s">
        <v>3857</v>
      </c>
      <c r="K183" t="s">
        <v>74</v>
      </c>
      <c r="L183" t="s">
        <v>74</v>
      </c>
      <c r="M183" t="s">
        <v>78</v>
      </c>
      <c r="N183" t="s">
        <v>108</v>
      </c>
      <c r="O183" t="s">
        <v>74</v>
      </c>
      <c r="P183" t="s">
        <v>74</v>
      </c>
      <c r="Q183" t="s">
        <v>74</v>
      </c>
      <c r="R183" t="s">
        <v>74</v>
      </c>
      <c r="S183" t="s">
        <v>74</v>
      </c>
      <c r="T183" t="s">
        <v>3880</v>
      </c>
      <c r="U183" t="s">
        <v>3881</v>
      </c>
      <c r="V183" t="s">
        <v>3882</v>
      </c>
      <c r="W183" t="s">
        <v>3883</v>
      </c>
      <c r="X183" t="s">
        <v>3884</v>
      </c>
      <c r="Y183" t="s">
        <v>3885</v>
      </c>
      <c r="Z183" t="s">
        <v>3886</v>
      </c>
      <c r="AA183" t="s">
        <v>3887</v>
      </c>
      <c r="AB183" t="s">
        <v>3888</v>
      </c>
      <c r="AC183" t="s">
        <v>3889</v>
      </c>
      <c r="AD183" t="s">
        <v>3890</v>
      </c>
      <c r="AE183" t="s">
        <v>3891</v>
      </c>
      <c r="AF183" t="s">
        <v>74</v>
      </c>
      <c r="AG183">
        <v>128</v>
      </c>
      <c r="AH183">
        <v>3</v>
      </c>
      <c r="AI183">
        <v>3</v>
      </c>
      <c r="AJ183">
        <v>1</v>
      </c>
      <c r="AK183">
        <v>12</v>
      </c>
      <c r="AL183" t="s">
        <v>92</v>
      </c>
      <c r="AM183" t="s">
        <v>93</v>
      </c>
      <c r="AN183" t="s">
        <v>94</v>
      </c>
      <c r="AO183" t="s">
        <v>3870</v>
      </c>
      <c r="AP183" t="s">
        <v>3871</v>
      </c>
      <c r="AQ183" t="s">
        <v>74</v>
      </c>
      <c r="AR183" t="s">
        <v>3872</v>
      </c>
      <c r="AS183" t="s">
        <v>3873</v>
      </c>
      <c r="AT183" t="s">
        <v>2930</v>
      </c>
      <c r="AU183">
        <v>2019</v>
      </c>
      <c r="AV183">
        <v>145</v>
      </c>
      <c r="AW183" t="s">
        <v>74</v>
      </c>
      <c r="AX183" t="s">
        <v>74</v>
      </c>
      <c r="AY183" t="s">
        <v>74</v>
      </c>
      <c r="AZ183" t="s">
        <v>74</v>
      </c>
      <c r="BA183" t="s">
        <v>74</v>
      </c>
      <c r="BB183">
        <v>418</v>
      </c>
      <c r="BC183">
        <v>428</v>
      </c>
      <c r="BD183" t="s">
        <v>74</v>
      </c>
      <c r="BE183" t="s">
        <v>3892</v>
      </c>
      <c r="BF183" t="str">
        <f>HYPERLINK("http://dx.doi.org/10.1016/j.marpolbul.2019.06.044","http://dx.doi.org/10.1016/j.marpolbul.2019.06.044")</f>
        <v>http://dx.doi.org/10.1016/j.marpolbul.2019.06.044</v>
      </c>
      <c r="BG183" t="s">
        <v>74</v>
      </c>
      <c r="BH183" t="s">
        <v>74</v>
      </c>
      <c r="BI183">
        <v>11</v>
      </c>
      <c r="BJ183" t="s">
        <v>876</v>
      </c>
      <c r="BK183" t="s">
        <v>101</v>
      </c>
      <c r="BL183" t="s">
        <v>877</v>
      </c>
      <c r="BM183" t="s">
        <v>3875</v>
      </c>
      <c r="BN183">
        <v>31590805</v>
      </c>
      <c r="BO183" t="s">
        <v>74</v>
      </c>
      <c r="BP183" t="s">
        <v>74</v>
      </c>
      <c r="BQ183" t="s">
        <v>74</v>
      </c>
      <c r="BR183" t="s">
        <v>103</v>
      </c>
      <c r="BS183" t="s">
        <v>3893</v>
      </c>
      <c r="BT183" t="str">
        <f>HYPERLINK("https%3A%2F%2Fwww.webofscience.com%2Fwos%2Fwoscc%2Ffull-record%2FWOS:000482493000049","View Full Record in Web of Science")</f>
        <v>View Full Record in Web of Science</v>
      </c>
    </row>
    <row r="184" spans="1:72" x14ac:dyDescent="0.15">
      <c r="A184" t="s">
        <v>72</v>
      </c>
      <c r="B184" t="s">
        <v>3894</v>
      </c>
      <c r="C184" t="s">
        <v>74</v>
      </c>
      <c r="D184" t="s">
        <v>74</v>
      </c>
      <c r="E184" t="s">
        <v>74</v>
      </c>
      <c r="F184" t="s">
        <v>3895</v>
      </c>
      <c r="G184" t="s">
        <v>74</v>
      </c>
      <c r="H184" t="s">
        <v>74</v>
      </c>
      <c r="I184" t="s">
        <v>3896</v>
      </c>
      <c r="J184" t="s">
        <v>3897</v>
      </c>
      <c r="K184" t="s">
        <v>74</v>
      </c>
      <c r="L184" t="s">
        <v>74</v>
      </c>
      <c r="M184" t="s">
        <v>78</v>
      </c>
      <c r="N184" t="s">
        <v>108</v>
      </c>
      <c r="O184" t="s">
        <v>74</v>
      </c>
      <c r="P184" t="s">
        <v>74</v>
      </c>
      <c r="Q184" t="s">
        <v>74</v>
      </c>
      <c r="R184" t="s">
        <v>74</v>
      </c>
      <c r="S184" t="s">
        <v>74</v>
      </c>
      <c r="T184" t="s">
        <v>3898</v>
      </c>
      <c r="U184" t="s">
        <v>3899</v>
      </c>
      <c r="V184" t="s">
        <v>3900</v>
      </c>
      <c r="W184" t="s">
        <v>3901</v>
      </c>
      <c r="X184" t="s">
        <v>3902</v>
      </c>
      <c r="Y184" t="s">
        <v>3903</v>
      </c>
      <c r="Z184" t="s">
        <v>3904</v>
      </c>
      <c r="AA184" t="s">
        <v>3905</v>
      </c>
      <c r="AB184" t="s">
        <v>3906</v>
      </c>
      <c r="AC184" t="s">
        <v>3907</v>
      </c>
      <c r="AD184" t="s">
        <v>3908</v>
      </c>
      <c r="AE184" t="s">
        <v>3909</v>
      </c>
      <c r="AF184" t="s">
        <v>74</v>
      </c>
      <c r="AG184">
        <v>75</v>
      </c>
      <c r="AH184">
        <v>8</v>
      </c>
      <c r="AI184">
        <v>9</v>
      </c>
      <c r="AJ184">
        <v>1</v>
      </c>
      <c r="AK184">
        <v>6</v>
      </c>
      <c r="AL184" t="s">
        <v>2723</v>
      </c>
      <c r="AM184" t="s">
        <v>657</v>
      </c>
      <c r="AN184" t="s">
        <v>2724</v>
      </c>
      <c r="AO184" t="s">
        <v>3910</v>
      </c>
      <c r="AP184" t="s">
        <v>3911</v>
      </c>
      <c r="AQ184" t="s">
        <v>74</v>
      </c>
      <c r="AR184" t="s">
        <v>3912</v>
      </c>
      <c r="AS184" t="s">
        <v>3913</v>
      </c>
      <c r="AT184" t="s">
        <v>2930</v>
      </c>
      <c r="AU184">
        <v>2019</v>
      </c>
      <c r="AV184">
        <v>475</v>
      </c>
      <c r="AW184">
        <v>2228</v>
      </c>
      <c r="AX184" t="s">
        <v>74</v>
      </c>
      <c r="AY184" t="s">
        <v>74</v>
      </c>
      <c r="AZ184" t="s">
        <v>74</v>
      </c>
      <c r="BA184" t="s">
        <v>74</v>
      </c>
      <c r="BB184" t="s">
        <v>74</v>
      </c>
      <c r="BC184" t="s">
        <v>74</v>
      </c>
      <c r="BD184">
        <v>20190259</v>
      </c>
      <c r="BE184" t="s">
        <v>3914</v>
      </c>
      <c r="BF184" t="str">
        <f>HYPERLINK("http://dx.doi.org/10.1098/rspa.2019.0259","http://dx.doi.org/10.1098/rspa.2019.0259")</f>
        <v>http://dx.doi.org/10.1098/rspa.2019.0259</v>
      </c>
      <c r="BG184" t="s">
        <v>74</v>
      </c>
      <c r="BH184" t="s">
        <v>74</v>
      </c>
      <c r="BI184">
        <v>28</v>
      </c>
      <c r="BJ184" t="s">
        <v>1004</v>
      </c>
      <c r="BK184" t="s">
        <v>101</v>
      </c>
      <c r="BL184" t="s">
        <v>1005</v>
      </c>
      <c r="BM184" t="s">
        <v>3915</v>
      </c>
      <c r="BN184">
        <v>31534428</v>
      </c>
      <c r="BO184" t="s">
        <v>595</v>
      </c>
      <c r="BP184" t="s">
        <v>74</v>
      </c>
      <c r="BQ184" t="s">
        <v>74</v>
      </c>
      <c r="BR184" t="s">
        <v>103</v>
      </c>
      <c r="BS184" t="s">
        <v>3916</v>
      </c>
      <c r="BT184" t="str">
        <f>HYPERLINK("https%3A%2F%2Fwww.webofscience.com%2Fwos%2Fwoscc%2Ffull-record%2FWOS:000482874300013","View Full Record in Web of Science")</f>
        <v>View Full Record in Web of Science</v>
      </c>
    </row>
    <row r="185" spans="1:72" x14ac:dyDescent="0.15">
      <c r="A185" t="s">
        <v>72</v>
      </c>
      <c r="B185" t="s">
        <v>3917</v>
      </c>
      <c r="C185" t="s">
        <v>74</v>
      </c>
      <c r="D185" t="s">
        <v>74</v>
      </c>
      <c r="E185" t="s">
        <v>74</v>
      </c>
      <c r="F185" t="s">
        <v>3918</v>
      </c>
      <c r="G185" t="s">
        <v>74</v>
      </c>
      <c r="H185" t="s">
        <v>74</v>
      </c>
      <c r="I185" t="s">
        <v>3919</v>
      </c>
      <c r="J185" t="s">
        <v>3920</v>
      </c>
      <c r="K185" t="s">
        <v>74</v>
      </c>
      <c r="L185" t="s">
        <v>74</v>
      </c>
      <c r="M185" t="s">
        <v>78</v>
      </c>
      <c r="N185" t="s">
        <v>108</v>
      </c>
      <c r="O185" t="s">
        <v>74</v>
      </c>
      <c r="P185" t="s">
        <v>74</v>
      </c>
      <c r="Q185" t="s">
        <v>74</v>
      </c>
      <c r="R185" t="s">
        <v>74</v>
      </c>
      <c r="S185" t="s">
        <v>74</v>
      </c>
      <c r="T185" t="s">
        <v>3921</v>
      </c>
      <c r="U185" t="s">
        <v>3922</v>
      </c>
      <c r="V185" t="s">
        <v>3923</v>
      </c>
      <c r="W185" t="s">
        <v>3924</v>
      </c>
      <c r="X185" t="s">
        <v>3925</v>
      </c>
      <c r="Y185" t="s">
        <v>3926</v>
      </c>
      <c r="Z185" t="s">
        <v>3927</v>
      </c>
      <c r="AA185" t="s">
        <v>3928</v>
      </c>
      <c r="AB185" t="s">
        <v>3929</v>
      </c>
      <c r="AC185" t="s">
        <v>3930</v>
      </c>
      <c r="AD185" t="s">
        <v>3931</v>
      </c>
      <c r="AE185" t="s">
        <v>3932</v>
      </c>
      <c r="AF185" t="s">
        <v>74</v>
      </c>
      <c r="AG185">
        <v>45</v>
      </c>
      <c r="AH185">
        <v>3</v>
      </c>
      <c r="AI185">
        <v>3</v>
      </c>
      <c r="AJ185">
        <v>0</v>
      </c>
      <c r="AK185">
        <v>10</v>
      </c>
      <c r="AL185" t="s">
        <v>302</v>
      </c>
      <c r="AM185" t="s">
        <v>303</v>
      </c>
      <c r="AN185" t="s">
        <v>304</v>
      </c>
      <c r="AO185" t="s">
        <v>3933</v>
      </c>
      <c r="AP185" t="s">
        <v>3934</v>
      </c>
      <c r="AQ185" t="s">
        <v>74</v>
      </c>
      <c r="AR185" t="s">
        <v>3935</v>
      </c>
      <c r="AS185" t="s">
        <v>3936</v>
      </c>
      <c r="AT185" t="s">
        <v>2930</v>
      </c>
      <c r="AU185">
        <v>2019</v>
      </c>
      <c r="AV185">
        <v>65</v>
      </c>
      <c r="AW185">
        <v>252</v>
      </c>
      <c r="AX185" t="s">
        <v>74</v>
      </c>
      <c r="AY185" t="s">
        <v>74</v>
      </c>
      <c r="AZ185" t="s">
        <v>74</v>
      </c>
      <c r="BA185" t="s">
        <v>74</v>
      </c>
      <c r="BB185">
        <v>595</v>
      </c>
      <c r="BC185">
        <v>604</v>
      </c>
      <c r="BD185" t="s">
        <v>74</v>
      </c>
      <c r="BE185" t="s">
        <v>3937</v>
      </c>
      <c r="BF185" t="str">
        <f>HYPERLINK("http://dx.doi.org/10.1017/jog.2019.36","http://dx.doi.org/10.1017/jog.2019.36")</f>
        <v>http://dx.doi.org/10.1017/jog.2019.36</v>
      </c>
      <c r="BG185" t="s">
        <v>74</v>
      </c>
      <c r="BH185" t="s">
        <v>74</v>
      </c>
      <c r="BI185">
        <v>10</v>
      </c>
      <c r="BJ185" t="s">
        <v>310</v>
      </c>
      <c r="BK185" t="s">
        <v>101</v>
      </c>
      <c r="BL185" t="s">
        <v>311</v>
      </c>
      <c r="BM185" t="s">
        <v>3938</v>
      </c>
      <c r="BN185" t="s">
        <v>74</v>
      </c>
      <c r="BO185" t="s">
        <v>3939</v>
      </c>
      <c r="BP185" t="s">
        <v>74</v>
      </c>
      <c r="BQ185" t="s">
        <v>74</v>
      </c>
      <c r="BR185" t="s">
        <v>103</v>
      </c>
      <c r="BS185" t="s">
        <v>3940</v>
      </c>
      <c r="BT185" t="str">
        <f>HYPERLINK("https%3A%2F%2Fwww.webofscience.com%2Fwos%2Fwoscc%2Ffull-record%2FWOS:000482507800007","View Full Record in Web of Science")</f>
        <v>View Full Record in Web of Science</v>
      </c>
    </row>
    <row r="186" spans="1:72" x14ac:dyDescent="0.15">
      <c r="A186" t="s">
        <v>72</v>
      </c>
      <c r="B186" t="s">
        <v>3941</v>
      </c>
      <c r="C186" t="s">
        <v>74</v>
      </c>
      <c r="D186" t="s">
        <v>74</v>
      </c>
      <c r="E186" t="s">
        <v>74</v>
      </c>
      <c r="F186" t="s">
        <v>3942</v>
      </c>
      <c r="G186" t="s">
        <v>74</v>
      </c>
      <c r="H186" t="s">
        <v>74</v>
      </c>
      <c r="I186" t="s">
        <v>3943</v>
      </c>
      <c r="J186" t="s">
        <v>3920</v>
      </c>
      <c r="K186" t="s">
        <v>74</v>
      </c>
      <c r="L186" t="s">
        <v>74</v>
      </c>
      <c r="M186" t="s">
        <v>78</v>
      </c>
      <c r="N186" t="s">
        <v>108</v>
      </c>
      <c r="O186" t="s">
        <v>74</v>
      </c>
      <c r="P186" t="s">
        <v>74</v>
      </c>
      <c r="Q186" t="s">
        <v>74</v>
      </c>
      <c r="R186" t="s">
        <v>74</v>
      </c>
      <c r="S186" t="s">
        <v>74</v>
      </c>
      <c r="T186" t="s">
        <v>74</v>
      </c>
      <c r="U186" t="s">
        <v>3944</v>
      </c>
      <c r="V186" t="s">
        <v>3945</v>
      </c>
      <c r="W186" t="s">
        <v>3946</v>
      </c>
      <c r="X186" t="s">
        <v>3947</v>
      </c>
      <c r="Y186" t="s">
        <v>3948</v>
      </c>
      <c r="Z186" t="s">
        <v>3949</v>
      </c>
      <c r="AA186" t="s">
        <v>3950</v>
      </c>
      <c r="AB186" t="s">
        <v>3951</v>
      </c>
      <c r="AC186" t="s">
        <v>3952</v>
      </c>
      <c r="AD186" t="s">
        <v>3953</v>
      </c>
      <c r="AE186" t="s">
        <v>3954</v>
      </c>
      <c r="AF186" t="s">
        <v>74</v>
      </c>
      <c r="AG186">
        <v>54</v>
      </c>
      <c r="AH186">
        <v>34</v>
      </c>
      <c r="AI186">
        <v>38</v>
      </c>
      <c r="AJ186">
        <v>0</v>
      </c>
      <c r="AK186">
        <v>8</v>
      </c>
      <c r="AL186" t="s">
        <v>302</v>
      </c>
      <c r="AM186" t="s">
        <v>303</v>
      </c>
      <c r="AN186" t="s">
        <v>304</v>
      </c>
      <c r="AO186" t="s">
        <v>3933</v>
      </c>
      <c r="AP186" t="s">
        <v>3934</v>
      </c>
      <c r="AQ186" t="s">
        <v>74</v>
      </c>
      <c r="AR186" t="s">
        <v>3935</v>
      </c>
      <c r="AS186" t="s">
        <v>3936</v>
      </c>
      <c r="AT186" t="s">
        <v>2930</v>
      </c>
      <c r="AU186">
        <v>2019</v>
      </c>
      <c r="AV186">
        <v>65</v>
      </c>
      <c r="AW186">
        <v>252</v>
      </c>
      <c r="AX186" t="s">
        <v>74</v>
      </c>
      <c r="AY186" t="s">
        <v>74</v>
      </c>
      <c r="AZ186" t="s">
        <v>74</v>
      </c>
      <c r="BA186" t="s">
        <v>74</v>
      </c>
      <c r="BB186">
        <v>662</v>
      </c>
      <c r="BC186">
        <v>674</v>
      </c>
      <c r="BD186" t="s">
        <v>74</v>
      </c>
      <c r="BE186" t="s">
        <v>3955</v>
      </c>
      <c r="BF186" t="str">
        <f>HYPERLINK("http://dx.doi.org/10.1017/jog.2019.43","http://dx.doi.org/10.1017/jog.2019.43")</f>
        <v>http://dx.doi.org/10.1017/jog.2019.43</v>
      </c>
      <c r="BG186" t="s">
        <v>74</v>
      </c>
      <c r="BH186" t="s">
        <v>74</v>
      </c>
      <c r="BI186">
        <v>13</v>
      </c>
      <c r="BJ186" t="s">
        <v>310</v>
      </c>
      <c r="BK186" t="s">
        <v>101</v>
      </c>
      <c r="BL186" t="s">
        <v>311</v>
      </c>
      <c r="BM186" t="s">
        <v>3938</v>
      </c>
      <c r="BN186">
        <v>31359886</v>
      </c>
      <c r="BO186" t="s">
        <v>3650</v>
      </c>
      <c r="BP186" t="s">
        <v>74</v>
      </c>
      <c r="BQ186" t="s">
        <v>74</v>
      </c>
      <c r="BR186" t="s">
        <v>103</v>
      </c>
      <c r="BS186" t="s">
        <v>3956</v>
      </c>
      <c r="BT186" t="str">
        <f>HYPERLINK("https%3A%2F%2Fwww.webofscience.com%2Fwos%2Fwoscc%2Ffull-record%2FWOS:000482507800012","View Full Record in Web of Science")</f>
        <v>View Full Record in Web of Science</v>
      </c>
    </row>
    <row r="187" spans="1:72" x14ac:dyDescent="0.15">
      <c r="A187" t="s">
        <v>72</v>
      </c>
      <c r="B187" t="s">
        <v>3957</v>
      </c>
      <c r="C187" t="s">
        <v>74</v>
      </c>
      <c r="D187" t="s">
        <v>74</v>
      </c>
      <c r="E187" t="s">
        <v>74</v>
      </c>
      <c r="F187" t="s">
        <v>3958</v>
      </c>
      <c r="G187" t="s">
        <v>74</v>
      </c>
      <c r="H187" t="s">
        <v>74</v>
      </c>
      <c r="I187" t="s">
        <v>3959</v>
      </c>
      <c r="J187" t="s">
        <v>3920</v>
      </c>
      <c r="K187" t="s">
        <v>74</v>
      </c>
      <c r="L187" t="s">
        <v>74</v>
      </c>
      <c r="M187" t="s">
        <v>78</v>
      </c>
      <c r="N187" t="s">
        <v>108</v>
      </c>
      <c r="O187" t="s">
        <v>74</v>
      </c>
      <c r="P187" t="s">
        <v>74</v>
      </c>
      <c r="Q187" t="s">
        <v>74</v>
      </c>
      <c r="R187" t="s">
        <v>74</v>
      </c>
      <c r="S187" t="s">
        <v>74</v>
      </c>
      <c r="T187" t="s">
        <v>3960</v>
      </c>
      <c r="U187" t="s">
        <v>3961</v>
      </c>
      <c r="V187" t="s">
        <v>3962</v>
      </c>
      <c r="W187" t="s">
        <v>3963</v>
      </c>
      <c r="X187" t="s">
        <v>3964</v>
      </c>
      <c r="Y187" t="s">
        <v>3965</v>
      </c>
      <c r="Z187" t="s">
        <v>3966</v>
      </c>
      <c r="AA187" t="s">
        <v>3967</v>
      </c>
      <c r="AB187" t="s">
        <v>3968</v>
      </c>
      <c r="AC187" t="s">
        <v>3969</v>
      </c>
      <c r="AD187" t="s">
        <v>3970</v>
      </c>
      <c r="AE187" t="s">
        <v>3971</v>
      </c>
      <c r="AF187" t="s">
        <v>74</v>
      </c>
      <c r="AG187">
        <v>56</v>
      </c>
      <c r="AH187">
        <v>7</v>
      </c>
      <c r="AI187">
        <v>7</v>
      </c>
      <c r="AJ187">
        <v>0</v>
      </c>
      <c r="AK187">
        <v>3</v>
      </c>
      <c r="AL187" t="s">
        <v>302</v>
      </c>
      <c r="AM187" t="s">
        <v>303</v>
      </c>
      <c r="AN187" t="s">
        <v>304</v>
      </c>
      <c r="AO187" t="s">
        <v>3933</v>
      </c>
      <c r="AP187" t="s">
        <v>3934</v>
      </c>
      <c r="AQ187" t="s">
        <v>74</v>
      </c>
      <c r="AR187" t="s">
        <v>3935</v>
      </c>
      <c r="AS187" t="s">
        <v>3936</v>
      </c>
      <c r="AT187" t="s">
        <v>2930</v>
      </c>
      <c r="AU187">
        <v>2019</v>
      </c>
      <c r="AV187">
        <v>65</v>
      </c>
      <c r="AW187">
        <v>252</v>
      </c>
      <c r="AX187" t="s">
        <v>74</v>
      </c>
      <c r="AY187" t="s">
        <v>74</v>
      </c>
      <c r="AZ187" t="s">
        <v>74</v>
      </c>
      <c r="BA187" t="s">
        <v>74</v>
      </c>
      <c r="BB187">
        <v>689</v>
      </c>
      <c r="BC187">
        <v>699</v>
      </c>
      <c r="BD187" t="s">
        <v>74</v>
      </c>
      <c r="BE187" t="s">
        <v>3972</v>
      </c>
      <c r="BF187" t="str">
        <f>HYPERLINK("http://dx.doi.org/10.1017/jog.2019.45","http://dx.doi.org/10.1017/jog.2019.45")</f>
        <v>http://dx.doi.org/10.1017/jog.2019.45</v>
      </c>
      <c r="BG187" t="s">
        <v>74</v>
      </c>
      <c r="BH187" t="s">
        <v>74</v>
      </c>
      <c r="BI187">
        <v>11</v>
      </c>
      <c r="BJ187" t="s">
        <v>310</v>
      </c>
      <c r="BK187" t="s">
        <v>101</v>
      </c>
      <c r="BL187" t="s">
        <v>311</v>
      </c>
      <c r="BM187" t="s">
        <v>3938</v>
      </c>
      <c r="BN187" t="s">
        <v>74</v>
      </c>
      <c r="BO187" t="s">
        <v>366</v>
      </c>
      <c r="BP187" t="s">
        <v>74</v>
      </c>
      <c r="BQ187" t="s">
        <v>74</v>
      </c>
      <c r="BR187" t="s">
        <v>103</v>
      </c>
      <c r="BS187" t="s">
        <v>3973</v>
      </c>
      <c r="BT187" t="str">
        <f>HYPERLINK("https%3A%2F%2Fwww.webofscience.com%2Fwos%2Fwoscc%2Ffull-record%2FWOS:000482507800014","View Full Record in Web of Science")</f>
        <v>View Full Record in Web of Science</v>
      </c>
    </row>
    <row r="188" spans="1:72" x14ac:dyDescent="0.15">
      <c r="A188" t="s">
        <v>72</v>
      </c>
      <c r="B188" t="s">
        <v>3974</v>
      </c>
      <c r="C188" t="s">
        <v>74</v>
      </c>
      <c r="D188" t="s">
        <v>74</v>
      </c>
      <c r="E188" t="s">
        <v>74</v>
      </c>
      <c r="F188" t="s">
        <v>3975</v>
      </c>
      <c r="G188" t="s">
        <v>74</v>
      </c>
      <c r="H188" t="s">
        <v>74</v>
      </c>
      <c r="I188" t="s">
        <v>3976</v>
      </c>
      <c r="J188" t="s">
        <v>3977</v>
      </c>
      <c r="K188" t="s">
        <v>74</v>
      </c>
      <c r="L188" t="s">
        <v>74</v>
      </c>
      <c r="M188" t="s">
        <v>78</v>
      </c>
      <c r="N188" t="s">
        <v>79</v>
      </c>
      <c r="O188" t="s">
        <v>74</v>
      </c>
      <c r="P188" t="s">
        <v>74</v>
      </c>
      <c r="Q188" t="s">
        <v>74</v>
      </c>
      <c r="R188" t="s">
        <v>74</v>
      </c>
      <c r="S188" t="s">
        <v>74</v>
      </c>
      <c r="T188" t="s">
        <v>3978</v>
      </c>
      <c r="U188" t="s">
        <v>3979</v>
      </c>
      <c r="V188" t="s">
        <v>3980</v>
      </c>
      <c r="W188" t="s">
        <v>3981</v>
      </c>
      <c r="X188" t="s">
        <v>3982</v>
      </c>
      <c r="Y188" t="s">
        <v>3983</v>
      </c>
      <c r="Z188" t="s">
        <v>3984</v>
      </c>
      <c r="AA188" t="s">
        <v>3985</v>
      </c>
      <c r="AB188" t="s">
        <v>3986</v>
      </c>
      <c r="AC188" t="s">
        <v>3987</v>
      </c>
      <c r="AD188" t="s">
        <v>3988</v>
      </c>
      <c r="AE188" t="s">
        <v>3989</v>
      </c>
      <c r="AF188" t="s">
        <v>74</v>
      </c>
      <c r="AG188">
        <v>110</v>
      </c>
      <c r="AH188">
        <v>49</v>
      </c>
      <c r="AI188">
        <v>52</v>
      </c>
      <c r="AJ188">
        <v>16</v>
      </c>
      <c r="AK188">
        <v>128</v>
      </c>
      <c r="AL188" t="s">
        <v>3615</v>
      </c>
      <c r="AM188" t="s">
        <v>3616</v>
      </c>
      <c r="AN188" t="s">
        <v>3617</v>
      </c>
      <c r="AO188" t="s">
        <v>74</v>
      </c>
      <c r="AP188" t="s">
        <v>3990</v>
      </c>
      <c r="AQ188" t="s">
        <v>74</v>
      </c>
      <c r="AR188" t="s">
        <v>3991</v>
      </c>
      <c r="AS188" t="s">
        <v>3992</v>
      </c>
      <c r="AT188" t="s">
        <v>3993</v>
      </c>
      <c r="AU188">
        <v>2019</v>
      </c>
      <c r="AV188">
        <v>9</v>
      </c>
      <c r="AW188">
        <v>15</v>
      </c>
      <c r="AX188" t="s">
        <v>74</v>
      </c>
      <c r="AY188" t="s">
        <v>74</v>
      </c>
      <c r="AZ188" t="s">
        <v>74</v>
      </c>
      <c r="BA188" t="s">
        <v>74</v>
      </c>
      <c r="BB188" t="s">
        <v>74</v>
      </c>
      <c r="BC188" t="s">
        <v>74</v>
      </c>
      <c r="BD188">
        <v>3145</v>
      </c>
      <c r="BE188" t="s">
        <v>3994</v>
      </c>
      <c r="BF188" t="str">
        <f>HYPERLINK("http://dx.doi.org/10.3390/app9153145","http://dx.doi.org/10.3390/app9153145")</f>
        <v>http://dx.doi.org/10.3390/app9153145</v>
      </c>
      <c r="BG188" t="s">
        <v>74</v>
      </c>
      <c r="BH188" t="s">
        <v>74</v>
      </c>
      <c r="BI188">
        <v>30</v>
      </c>
      <c r="BJ188" t="s">
        <v>3995</v>
      </c>
      <c r="BK188" t="s">
        <v>101</v>
      </c>
      <c r="BL188" t="s">
        <v>3996</v>
      </c>
      <c r="BM188" t="s">
        <v>3997</v>
      </c>
      <c r="BN188" t="s">
        <v>74</v>
      </c>
      <c r="BO188" t="s">
        <v>3998</v>
      </c>
      <c r="BP188" t="s">
        <v>74</v>
      </c>
      <c r="BQ188" t="s">
        <v>74</v>
      </c>
      <c r="BR188" t="s">
        <v>103</v>
      </c>
      <c r="BS188" t="s">
        <v>3999</v>
      </c>
      <c r="BT188" t="str">
        <f>HYPERLINK("https%3A%2F%2Fwww.webofscience.com%2Fwos%2Fwoscc%2Ffull-record%2FWOS:000482134500200","View Full Record in Web of Science")</f>
        <v>View Full Record in Web of Science</v>
      </c>
    </row>
    <row r="189" spans="1:72" x14ac:dyDescent="0.15">
      <c r="A189" t="s">
        <v>72</v>
      </c>
      <c r="B189" t="s">
        <v>4000</v>
      </c>
      <c r="C189" t="s">
        <v>74</v>
      </c>
      <c r="D189" t="s">
        <v>74</v>
      </c>
      <c r="E189" t="s">
        <v>74</v>
      </c>
      <c r="F189" t="s">
        <v>4001</v>
      </c>
      <c r="G189" t="s">
        <v>74</v>
      </c>
      <c r="H189" t="s">
        <v>74</v>
      </c>
      <c r="I189" t="s">
        <v>4002</v>
      </c>
      <c r="J189" t="s">
        <v>4003</v>
      </c>
      <c r="K189" t="s">
        <v>74</v>
      </c>
      <c r="L189" t="s">
        <v>74</v>
      </c>
      <c r="M189" t="s">
        <v>78</v>
      </c>
      <c r="N189" t="s">
        <v>108</v>
      </c>
      <c r="O189" t="s">
        <v>74</v>
      </c>
      <c r="P189" t="s">
        <v>74</v>
      </c>
      <c r="Q189" t="s">
        <v>74</v>
      </c>
      <c r="R189" t="s">
        <v>74</v>
      </c>
      <c r="S189" t="s">
        <v>74</v>
      </c>
      <c r="T189" t="s">
        <v>4004</v>
      </c>
      <c r="U189" t="s">
        <v>4005</v>
      </c>
      <c r="V189" t="s">
        <v>4006</v>
      </c>
      <c r="W189" t="s">
        <v>4007</v>
      </c>
      <c r="X189" t="s">
        <v>4008</v>
      </c>
      <c r="Y189" t="s">
        <v>4009</v>
      </c>
      <c r="Z189" t="s">
        <v>4010</v>
      </c>
      <c r="AA189" t="s">
        <v>4011</v>
      </c>
      <c r="AB189" t="s">
        <v>4012</v>
      </c>
      <c r="AC189" t="s">
        <v>4013</v>
      </c>
      <c r="AD189" t="s">
        <v>4014</v>
      </c>
      <c r="AE189" t="s">
        <v>4015</v>
      </c>
      <c r="AF189" t="s">
        <v>74</v>
      </c>
      <c r="AG189">
        <v>89</v>
      </c>
      <c r="AH189">
        <v>4</v>
      </c>
      <c r="AI189">
        <v>4</v>
      </c>
      <c r="AJ189">
        <v>2</v>
      </c>
      <c r="AK189">
        <v>21</v>
      </c>
      <c r="AL189" t="s">
        <v>154</v>
      </c>
      <c r="AM189" t="s">
        <v>4016</v>
      </c>
      <c r="AN189" t="s">
        <v>4017</v>
      </c>
      <c r="AO189" t="s">
        <v>4018</v>
      </c>
      <c r="AP189" t="s">
        <v>4019</v>
      </c>
      <c r="AQ189" t="s">
        <v>74</v>
      </c>
      <c r="AR189" t="s">
        <v>4020</v>
      </c>
      <c r="AS189" t="s">
        <v>4021</v>
      </c>
      <c r="AT189" t="s">
        <v>2930</v>
      </c>
      <c r="AU189">
        <v>2019</v>
      </c>
      <c r="AV189">
        <v>42</v>
      </c>
      <c r="AW189">
        <v>8</v>
      </c>
      <c r="AX189" t="s">
        <v>74</v>
      </c>
      <c r="AY189" t="s">
        <v>74</v>
      </c>
      <c r="AZ189" t="s">
        <v>74</v>
      </c>
      <c r="BA189" t="s">
        <v>74</v>
      </c>
      <c r="BB189">
        <v>1445</v>
      </c>
      <c r="BC189">
        <v>1458</v>
      </c>
      <c r="BD189" t="s">
        <v>74</v>
      </c>
      <c r="BE189" t="s">
        <v>4022</v>
      </c>
      <c r="BF189" t="str">
        <f>HYPERLINK("http://dx.doi.org/10.1007/s00300-019-02532-1","http://dx.doi.org/10.1007/s00300-019-02532-1")</f>
        <v>http://dx.doi.org/10.1007/s00300-019-02532-1</v>
      </c>
      <c r="BG189" t="s">
        <v>74</v>
      </c>
      <c r="BH189" t="s">
        <v>74</v>
      </c>
      <c r="BI189">
        <v>14</v>
      </c>
      <c r="BJ189" t="s">
        <v>3802</v>
      </c>
      <c r="BK189" t="s">
        <v>101</v>
      </c>
      <c r="BL189" t="s">
        <v>1646</v>
      </c>
      <c r="BM189" t="s">
        <v>4023</v>
      </c>
      <c r="BN189" t="s">
        <v>74</v>
      </c>
      <c r="BO189" t="s">
        <v>74</v>
      </c>
      <c r="BP189" t="s">
        <v>74</v>
      </c>
      <c r="BQ189" t="s">
        <v>74</v>
      </c>
      <c r="BR189" t="s">
        <v>103</v>
      </c>
      <c r="BS189" t="s">
        <v>4024</v>
      </c>
      <c r="BT189" t="str">
        <f>HYPERLINK("https%3A%2F%2Fwww.webofscience.com%2Fwos%2Fwoscc%2Ffull-record%2FWOS:000482050500003","View Full Record in Web of Science")</f>
        <v>View Full Record in Web of Science</v>
      </c>
    </row>
    <row r="190" spans="1:72" x14ac:dyDescent="0.15">
      <c r="A190" t="s">
        <v>72</v>
      </c>
      <c r="B190" t="s">
        <v>4025</v>
      </c>
      <c r="C190" t="s">
        <v>74</v>
      </c>
      <c r="D190" t="s">
        <v>74</v>
      </c>
      <c r="E190" t="s">
        <v>74</v>
      </c>
      <c r="F190" t="s">
        <v>4026</v>
      </c>
      <c r="G190" t="s">
        <v>74</v>
      </c>
      <c r="H190" t="s">
        <v>74</v>
      </c>
      <c r="I190" t="s">
        <v>4027</v>
      </c>
      <c r="J190" t="s">
        <v>4003</v>
      </c>
      <c r="K190" t="s">
        <v>74</v>
      </c>
      <c r="L190" t="s">
        <v>74</v>
      </c>
      <c r="M190" t="s">
        <v>78</v>
      </c>
      <c r="N190" t="s">
        <v>108</v>
      </c>
      <c r="O190" t="s">
        <v>74</v>
      </c>
      <c r="P190" t="s">
        <v>74</v>
      </c>
      <c r="Q190" t="s">
        <v>74</v>
      </c>
      <c r="R190" t="s">
        <v>74</v>
      </c>
      <c r="S190" t="s">
        <v>74</v>
      </c>
      <c r="T190" t="s">
        <v>4028</v>
      </c>
      <c r="U190" t="s">
        <v>4029</v>
      </c>
      <c r="V190" t="s">
        <v>4030</v>
      </c>
      <c r="W190" t="s">
        <v>4031</v>
      </c>
      <c r="X190" t="s">
        <v>4032</v>
      </c>
      <c r="Y190" t="s">
        <v>4033</v>
      </c>
      <c r="Z190" t="s">
        <v>4034</v>
      </c>
      <c r="AA190" t="s">
        <v>4035</v>
      </c>
      <c r="AB190" t="s">
        <v>4036</v>
      </c>
      <c r="AC190" t="s">
        <v>4037</v>
      </c>
      <c r="AD190" t="s">
        <v>4038</v>
      </c>
      <c r="AE190" t="s">
        <v>4039</v>
      </c>
      <c r="AF190" t="s">
        <v>74</v>
      </c>
      <c r="AG190">
        <v>73</v>
      </c>
      <c r="AH190">
        <v>14</v>
      </c>
      <c r="AI190">
        <v>15</v>
      </c>
      <c r="AJ190">
        <v>0</v>
      </c>
      <c r="AK190">
        <v>10</v>
      </c>
      <c r="AL190" t="s">
        <v>154</v>
      </c>
      <c r="AM190" t="s">
        <v>4016</v>
      </c>
      <c r="AN190" t="s">
        <v>4040</v>
      </c>
      <c r="AO190" t="s">
        <v>4018</v>
      </c>
      <c r="AP190" t="s">
        <v>4019</v>
      </c>
      <c r="AQ190" t="s">
        <v>74</v>
      </c>
      <c r="AR190" t="s">
        <v>4020</v>
      </c>
      <c r="AS190" t="s">
        <v>4021</v>
      </c>
      <c r="AT190" t="s">
        <v>2930</v>
      </c>
      <c r="AU190">
        <v>2019</v>
      </c>
      <c r="AV190">
        <v>42</v>
      </c>
      <c r="AW190">
        <v>8</v>
      </c>
      <c r="AX190" t="s">
        <v>74</v>
      </c>
      <c r="AY190" t="s">
        <v>74</v>
      </c>
      <c r="AZ190" t="s">
        <v>74</v>
      </c>
      <c r="BA190" t="s">
        <v>74</v>
      </c>
      <c r="BB190">
        <v>1459</v>
      </c>
      <c r="BC190">
        <v>1474</v>
      </c>
      <c r="BD190" t="s">
        <v>74</v>
      </c>
      <c r="BE190" t="s">
        <v>4041</v>
      </c>
      <c r="BF190" t="str">
        <f>HYPERLINK("http://dx.doi.org/10.1007/s00300-019-02533-0","http://dx.doi.org/10.1007/s00300-019-02533-0")</f>
        <v>http://dx.doi.org/10.1007/s00300-019-02533-0</v>
      </c>
      <c r="BG190" t="s">
        <v>74</v>
      </c>
      <c r="BH190" t="s">
        <v>74</v>
      </c>
      <c r="BI190">
        <v>16</v>
      </c>
      <c r="BJ190" t="s">
        <v>3802</v>
      </c>
      <c r="BK190" t="s">
        <v>101</v>
      </c>
      <c r="BL190" t="s">
        <v>1646</v>
      </c>
      <c r="BM190" t="s">
        <v>4023</v>
      </c>
      <c r="BN190">
        <v>31462853</v>
      </c>
      <c r="BO190" t="s">
        <v>595</v>
      </c>
      <c r="BP190" t="s">
        <v>74</v>
      </c>
      <c r="BQ190" t="s">
        <v>74</v>
      </c>
      <c r="BR190" t="s">
        <v>103</v>
      </c>
      <c r="BS190" t="s">
        <v>4042</v>
      </c>
      <c r="BT190" t="str">
        <f>HYPERLINK("https%3A%2F%2Fwww.webofscience.com%2Fwos%2Fwoscc%2Ffull-record%2FWOS:000482050500004","View Full Record in Web of Science")</f>
        <v>View Full Record in Web of Science</v>
      </c>
    </row>
    <row r="191" spans="1:72" x14ac:dyDescent="0.15">
      <c r="A191" t="s">
        <v>72</v>
      </c>
      <c r="B191" t="s">
        <v>4025</v>
      </c>
      <c r="C191" t="s">
        <v>74</v>
      </c>
      <c r="D191" t="s">
        <v>74</v>
      </c>
      <c r="E191" t="s">
        <v>74</v>
      </c>
      <c r="F191" t="s">
        <v>4026</v>
      </c>
      <c r="G191" t="s">
        <v>74</v>
      </c>
      <c r="H191" t="s">
        <v>74</v>
      </c>
      <c r="I191" t="s">
        <v>4043</v>
      </c>
      <c r="J191" t="s">
        <v>4003</v>
      </c>
      <c r="K191" t="s">
        <v>74</v>
      </c>
      <c r="L191" t="s">
        <v>74</v>
      </c>
      <c r="M191" t="s">
        <v>78</v>
      </c>
      <c r="N191" t="s">
        <v>1083</v>
      </c>
      <c r="O191" t="s">
        <v>74</v>
      </c>
      <c r="P191" t="s">
        <v>74</v>
      </c>
      <c r="Q191" t="s">
        <v>74</v>
      </c>
      <c r="R191" t="s">
        <v>74</v>
      </c>
      <c r="S191" t="s">
        <v>74</v>
      </c>
      <c r="T191" t="s">
        <v>74</v>
      </c>
      <c r="U191" t="s">
        <v>74</v>
      </c>
      <c r="V191" t="s">
        <v>74</v>
      </c>
      <c r="W191" t="s">
        <v>4031</v>
      </c>
      <c r="X191" t="s">
        <v>4032</v>
      </c>
      <c r="Y191" t="s">
        <v>4033</v>
      </c>
      <c r="Z191" t="s">
        <v>4034</v>
      </c>
      <c r="AA191" t="s">
        <v>4044</v>
      </c>
      <c r="AB191" t="s">
        <v>4045</v>
      </c>
      <c r="AC191" t="s">
        <v>74</v>
      </c>
      <c r="AD191" t="s">
        <v>74</v>
      </c>
      <c r="AE191" t="s">
        <v>74</v>
      </c>
      <c r="AF191" t="s">
        <v>74</v>
      </c>
      <c r="AG191">
        <v>1</v>
      </c>
      <c r="AH191">
        <v>0</v>
      </c>
      <c r="AI191">
        <v>0</v>
      </c>
      <c r="AJ191">
        <v>0</v>
      </c>
      <c r="AK191">
        <v>1</v>
      </c>
      <c r="AL191" t="s">
        <v>154</v>
      </c>
      <c r="AM191" t="s">
        <v>4016</v>
      </c>
      <c r="AN191" t="s">
        <v>4040</v>
      </c>
      <c r="AO191" t="s">
        <v>4018</v>
      </c>
      <c r="AP191" t="s">
        <v>4019</v>
      </c>
      <c r="AQ191" t="s">
        <v>74</v>
      </c>
      <c r="AR191" t="s">
        <v>4020</v>
      </c>
      <c r="AS191" t="s">
        <v>4021</v>
      </c>
      <c r="AT191" t="s">
        <v>2930</v>
      </c>
      <c r="AU191">
        <v>2019</v>
      </c>
      <c r="AV191">
        <v>42</v>
      </c>
      <c r="AW191">
        <v>8</v>
      </c>
      <c r="AX191" t="s">
        <v>74</v>
      </c>
      <c r="AY191" t="s">
        <v>74</v>
      </c>
      <c r="AZ191" t="s">
        <v>74</v>
      </c>
      <c r="BA191" t="s">
        <v>74</v>
      </c>
      <c r="BB191">
        <v>1475</v>
      </c>
      <c r="BC191">
        <v>1476</v>
      </c>
      <c r="BD191" t="s">
        <v>74</v>
      </c>
      <c r="BE191" t="s">
        <v>4046</v>
      </c>
      <c r="BF191" t="str">
        <f>HYPERLINK("http://dx.doi.org/10.1007/s00300-019-02548-7","http://dx.doi.org/10.1007/s00300-019-02548-7")</f>
        <v>http://dx.doi.org/10.1007/s00300-019-02548-7</v>
      </c>
      <c r="BG191" t="s">
        <v>74</v>
      </c>
      <c r="BH191" t="s">
        <v>74</v>
      </c>
      <c r="BI191">
        <v>2</v>
      </c>
      <c r="BJ191" t="s">
        <v>3802</v>
      </c>
      <c r="BK191" t="s">
        <v>101</v>
      </c>
      <c r="BL191" t="s">
        <v>1646</v>
      </c>
      <c r="BM191" t="s">
        <v>4023</v>
      </c>
      <c r="BN191" t="s">
        <v>74</v>
      </c>
      <c r="BO191" t="s">
        <v>1125</v>
      </c>
      <c r="BP191" t="s">
        <v>74</v>
      </c>
      <c r="BQ191" t="s">
        <v>74</v>
      </c>
      <c r="BR191" t="s">
        <v>103</v>
      </c>
      <c r="BS191" t="s">
        <v>4047</v>
      </c>
      <c r="BT191" t="str">
        <f>HYPERLINK("https%3A%2F%2Fwww.webofscience.com%2Fwos%2Fwoscc%2Ffull-record%2FWOS:000482050500005","View Full Record in Web of Science")</f>
        <v>View Full Record in Web of Science</v>
      </c>
    </row>
    <row r="192" spans="1:72" x14ac:dyDescent="0.15">
      <c r="A192" t="s">
        <v>72</v>
      </c>
      <c r="B192" t="s">
        <v>4048</v>
      </c>
      <c r="C192" t="s">
        <v>74</v>
      </c>
      <c r="D192" t="s">
        <v>74</v>
      </c>
      <c r="E192" t="s">
        <v>74</v>
      </c>
      <c r="F192" t="s">
        <v>4049</v>
      </c>
      <c r="G192" t="s">
        <v>74</v>
      </c>
      <c r="H192" t="s">
        <v>74</v>
      </c>
      <c r="I192" t="s">
        <v>4050</v>
      </c>
      <c r="J192" t="s">
        <v>4003</v>
      </c>
      <c r="K192" t="s">
        <v>74</v>
      </c>
      <c r="L192" t="s">
        <v>74</v>
      </c>
      <c r="M192" t="s">
        <v>78</v>
      </c>
      <c r="N192" t="s">
        <v>108</v>
      </c>
      <c r="O192" t="s">
        <v>74</v>
      </c>
      <c r="P192" t="s">
        <v>74</v>
      </c>
      <c r="Q192" t="s">
        <v>74</v>
      </c>
      <c r="R192" t="s">
        <v>74</v>
      </c>
      <c r="S192" t="s">
        <v>74</v>
      </c>
      <c r="T192" t="s">
        <v>4051</v>
      </c>
      <c r="U192" t="s">
        <v>4052</v>
      </c>
      <c r="V192" t="s">
        <v>4053</v>
      </c>
      <c r="W192" t="s">
        <v>4054</v>
      </c>
      <c r="X192" t="s">
        <v>4055</v>
      </c>
      <c r="Y192" t="s">
        <v>4056</v>
      </c>
      <c r="Z192" t="s">
        <v>4057</v>
      </c>
      <c r="AA192" t="s">
        <v>74</v>
      </c>
      <c r="AB192" t="s">
        <v>74</v>
      </c>
      <c r="AC192" t="s">
        <v>4058</v>
      </c>
      <c r="AD192" t="s">
        <v>4058</v>
      </c>
      <c r="AE192" t="s">
        <v>4059</v>
      </c>
      <c r="AF192" t="s">
        <v>74</v>
      </c>
      <c r="AG192">
        <v>55</v>
      </c>
      <c r="AH192">
        <v>9</v>
      </c>
      <c r="AI192">
        <v>10</v>
      </c>
      <c r="AJ192">
        <v>3</v>
      </c>
      <c r="AK192">
        <v>35</v>
      </c>
      <c r="AL192" t="s">
        <v>154</v>
      </c>
      <c r="AM192" t="s">
        <v>4016</v>
      </c>
      <c r="AN192" t="s">
        <v>4040</v>
      </c>
      <c r="AO192" t="s">
        <v>4018</v>
      </c>
      <c r="AP192" t="s">
        <v>4019</v>
      </c>
      <c r="AQ192" t="s">
        <v>74</v>
      </c>
      <c r="AR192" t="s">
        <v>4020</v>
      </c>
      <c r="AS192" t="s">
        <v>4021</v>
      </c>
      <c r="AT192" t="s">
        <v>2930</v>
      </c>
      <c r="AU192">
        <v>2019</v>
      </c>
      <c r="AV192">
        <v>42</v>
      </c>
      <c r="AW192">
        <v>8</v>
      </c>
      <c r="AX192" t="s">
        <v>74</v>
      </c>
      <c r="AY192" t="s">
        <v>74</v>
      </c>
      <c r="AZ192" t="s">
        <v>74</v>
      </c>
      <c r="BA192" t="s">
        <v>74</v>
      </c>
      <c r="BB192">
        <v>1477</v>
      </c>
      <c r="BC192">
        <v>1488</v>
      </c>
      <c r="BD192" t="s">
        <v>74</v>
      </c>
      <c r="BE192" t="s">
        <v>4060</v>
      </c>
      <c r="BF192" t="str">
        <f>HYPERLINK("http://dx.doi.org/10.1007/s00300-019-02534-z","http://dx.doi.org/10.1007/s00300-019-02534-z")</f>
        <v>http://dx.doi.org/10.1007/s00300-019-02534-z</v>
      </c>
      <c r="BG192" t="s">
        <v>74</v>
      </c>
      <c r="BH192" t="s">
        <v>74</v>
      </c>
      <c r="BI192">
        <v>12</v>
      </c>
      <c r="BJ192" t="s">
        <v>3802</v>
      </c>
      <c r="BK192" t="s">
        <v>101</v>
      </c>
      <c r="BL192" t="s">
        <v>1646</v>
      </c>
      <c r="BM192" t="s">
        <v>4023</v>
      </c>
      <c r="BN192" t="s">
        <v>74</v>
      </c>
      <c r="BO192" t="s">
        <v>74</v>
      </c>
      <c r="BP192" t="s">
        <v>74</v>
      </c>
      <c r="BQ192" t="s">
        <v>74</v>
      </c>
      <c r="BR192" t="s">
        <v>103</v>
      </c>
      <c r="BS192" t="s">
        <v>4061</v>
      </c>
      <c r="BT192" t="str">
        <f>HYPERLINK("https%3A%2F%2Fwww.webofscience.com%2Fwos%2Fwoscc%2Ffull-record%2FWOS:000482050500006","View Full Record in Web of Science")</f>
        <v>View Full Record in Web of Science</v>
      </c>
    </row>
    <row r="193" spans="1:72" x14ac:dyDescent="0.15">
      <c r="A193" t="s">
        <v>72</v>
      </c>
      <c r="B193" t="s">
        <v>4062</v>
      </c>
      <c r="C193" t="s">
        <v>74</v>
      </c>
      <c r="D193" t="s">
        <v>74</v>
      </c>
      <c r="E193" t="s">
        <v>74</v>
      </c>
      <c r="F193" t="s">
        <v>4063</v>
      </c>
      <c r="G193" t="s">
        <v>74</v>
      </c>
      <c r="H193" t="s">
        <v>74</v>
      </c>
      <c r="I193" t="s">
        <v>4064</v>
      </c>
      <c r="J193" t="s">
        <v>4003</v>
      </c>
      <c r="K193" t="s">
        <v>74</v>
      </c>
      <c r="L193" t="s">
        <v>74</v>
      </c>
      <c r="M193" t="s">
        <v>78</v>
      </c>
      <c r="N193" t="s">
        <v>108</v>
      </c>
      <c r="O193" t="s">
        <v>74</v>
      </c>
      <c r="P193" t="s">
        <v>74</v>
      </c>
      <c r="Q193" t="s">
        <v>74</v>
      </c>
      <c r="R193" t="s">
        <v>74</v>
      </c>
      <c r="S193" t="s">
        <v>74</v>
      </c>
      <c r="T193" t="s">
        <v>4065</v>
      </c>
      <c r="U193" t="s">
        <v>4066</v>
      </c>
      <c r="V193" t="s">
        <v>4067</v>
      </c>
      <c r="W193" t="s">
        <v>4068</v>
      </c>
      <c r="X193" t="s">
        <v>4069</v>
      </c>
      <c r="Y193" t="s">
        <v>4070</v>
      </c>
      <c r="Z193" t="s">
        <v>4071</v>
      </c>
      <c r="AA193" t="s">
        <v>74</v>
      </c>
      <c r="AB193" t="s">
        <v>4072</v>
      </c>
      <c r="AC193" t="s">
        <v>4073</v>
      </c>
      <c r="AD193" t="s">
        <v>4073</v>
      </c>
      <c r="AE193" t="s">
        <v>4074</v>
      </c>
      <c r="AF193" t="s">
        <v>74</v>
      </c>
      <c r="AG193">
        <v>38</v>
      </c>
      <c r="AH193">
        <v>2</v>
      </c>
      <c r="AI193">
        <v>3</v>
      </c>
      <c r="AJ193">
        <v>0</v>
      </c>
      <c r="AK193">
        <v>5</v>
      </c>
      <c r="AL193" t="s">
        <v>154</v>
      </c>
      <c r="AM193" t="s">
        <v>4016</v>
      </c>
      <c r="AN193" t="s">
        <v>4040</v>
      </c>
      <c r="AO193" t="s">
        <v>4018</v>
      </c>
      <c r="AP193" t="s">
        <v>4019</v>
      </c>
      <c r="AQ193" t="s">
        <v>74</v>
      </c>
      <c r="AR193" t="s">
        <v>4020</v>
      </c>
      <c r="AS193" t="s">
        <v>4021</v>
      </c>
      <c r="AT193" t="s">
        <v>2930</v>
      </c>
      <c r="AU193">
        <v>2019</v>
      </c>
      <c r="AV193">
        <v>42</v>
      </c>
      <c r="AW193">
        <v>8</v>
      </c>
      <c r="AX193" t="s">
        <v>74</v>
      </c>
      <c r="AY193" t="s">
        <v>74</v>
      </c>
      <c r="AZ193" t="s">
        <v>74</v>
      </c>
      <c r="BA193" t="s">
        <v>74</v>
      </c>
      <c r="BB193">
        <v>1615</v>
      </c>
      <c r="BC193">
        <v>1620</v>
      </c>
      <c r="BD193" t="s">
        <v>74</v>
      </c>
      <c r="BE193" t="s">
        <v>4075</v>
      </c>
      <c r="BF193" t="str">
        <f>HYPERLINK("http://dx.doi.org/10.1007/s00300-019-02528-x","http://dx.doi.org/10.1007/s00300-019-02528-x")</f>
        <v>http://dx.doi.org/10.1007/s00300-019-02528-x</v>
      </c>
      <c r="BG193" t="s">
        <v>74</v>
      </c>
      <c r="BH193" t="s">
        <v>74</v>
      </c>
      <c r="BI193">
        <v>6</v>
      </c>
      <c r="BJ193" t="s">
        <v>3802</v>
      </c>
      <c r="BK193" t="s">
        <v>101</v>
      </c>
      <c r="BL193" t="s">
        <v>1646</v>
      </c>
      <c r="BM193" t="s">
        <v>4023</v>
      </c>
      <c r="BN193" t="s">
        <v>74</v>
      </c>
      <c r="BO193" t="s">
        <v>74</v>
      </c>
      <c r="BP193" t="s">
        <v>74</v>
      </c>
      <c r="BQ193" t="s">
        <v>74</v>
      </c>
      <c r="BR193" t="s">
        <v>103</v>
      </c>
      <c r="BS193" t="s">
        <v>4076</v>
      </c>
      <c r="BT193" t="str">
        <f>HYPERLINK("https%3A%2F%2Fwww.webofscience.com%2Fwos%2Fwoscc%2Ffull-record%2FWOS:000482050500017","View Full Record in Web of Science")</f>
        <v>View Full Record in Web of Science</v>
      </c>
    </row>
    <row r="194" spans="1:72" x14ac:dyDescent="0.15">
      <c r="A194" t="s">
        <v>72</v>
      </c>
      <c r="B194" t="s">
        <v>4077</v>
      </c>
      <c r="C194" t="s">
        <v>74</v>
      </c>
      <c r="D194" t="s">
        <v>74</v>
      </c>
      <c r="E194" t="s">
        <v>74</v>
      </c>
      <c r="F194" t="s">
        <v>4078</v>
      </c>
      <c r="G194" t="s">
        <v>74</v>
      </c>
      <c r="H194" t="s">
        <v>74</v>
      </c>
      <c r="I194" t="s">
        <v>4079</v>
      </c>
      <c r="J194" t="s">
        <v>4003</v>
      </c>
      <c r="K194" t="s">
        <v>74</v>
      </c>
      <c r="L194" t="s">
        <v>74</v>
      </c>
      <c r="M194" t="s">
        <v>78</v>
      </c>
      <c r="N194" t="s">
        <v>108</v>
      </c>
      <c r="O194" t="s">
        <v>74</v>
      </c>
      <c r="P194" t="s">
        <v>74</v>
      </c>
      <c r="Q194" t="s">
        <v>74</v>
      </c>
      <c r="R194" t="s">
        <v>74</v>
      </c>
      <c r="S194" t="s">
        <v>74</v>
      </c>
      <c r="T194" t="s">
        <v>4080</v>
      </c>
      <c r="U194" t="s">
        <v>4081</v>
      </c>
      <c r="V194" t="s">
        <v>4082</v>
      </c>
      <c r="W194" t="s">
        <v>4083</v>
      </c>
      <c r="X194" t="s">
        <v>2346</v>
      </c>
      <c r="Y194" t="s">
        <v>4084</v>
      </c>
      <c r="Z194" t="s">
        <v>4085</v>
      </c>
      <c r="AA194" t="s">
        <v>74</v>
      </c>
      <c r="AB194" t="s">
        <v>74</v>
      </c>
      <c r="AC194" t="s">
        <v>4086</v>
      </c>
      <c r="AD194" t="s">
        <v>4087</v>
      </c>
      <c r="AE194" t="s">
        <v>4088</v>
      </c>
      <c r="AF194" t="s">
        <v>74</v>
      </c>
      <c r="AG194">
        <v>19</v>
      </c>
      <c r="AH194">
        <v>1</v>
      </c>
      <c r="AI194">
        <v>1</v>
      </c>
      <c r="AJ194">
        <v>0</v>
      </c>
      <c r="AK194">
        <v>25</v>
      </c>
      <c r="AL194" t="s">
        <v>154</v>
      </c>
      <c r="AM194" t="s">
        <v>4016</v>
      </c>
      <c r="AN194" t="s">
        <v>4040</v>
      </c>
      <c r="AO194" t="s">
        <v>4018</v>
      </c>
      <c r="AP194" t="s">
        <v>4019</v>
      </c>
      <c r="AQ194" t="s">
        <v>74</v>
      </c>
      <c r="AR194" t="s">
        <v>4020</v>
      </c>
      <c r="AS194" t="s">
        <v>4021</v>
      </c>
      <c r="AT194" t="s">
        <v>2930</v>
      </c>
      <c r="AU194">
        <v>2019</v>
      </c>
      <c r="AV194">
        <v>42</v>
      </c>
      <c r="AW194">
        <v>8</v>
      </c>
      <c r="AX194" t="s">
        <v>74</v>
      </c>
      <c r="AY194" t="s">
        <v>74</v>
      </c>
      <c r="AZ194" t="s">
        <v>74</v>
      </c>
      <c r="BA194" t="s">
        <v>74</v>
      </c>
      <c r="BB194">
        <v>1621</v>
      </c>
      <c r="BC194">
        <v>1624</v>
      </c>
      <c r="BD194" t="s">
        <v>74</v>
      </c>
      <c r="BE194" t="s">
        <v>4089</v>
      </c>
      <c r="BF194" t="str">
        <f>HYPERLINK("http://dx.doi.org/10.1007/s00300-019-02539-8","http://dx.doi.org/10.1007/s00300-019-02539-8")</f>
        <v>http://dx.doi.org/10.1007/s00300-019-02539-8</v>
      </c>
      <c r="BG194" t="s">
        <v>74</v>
      </c>
      <c r="BH194" t="s">
        <v>74</v>
      </c>
      <c r="BI194">
        <v>4</v>
      </c>
      <c r="BJ194" t="s">
        <v>3802</v>
      </c>
      <c r="BK194" t="s">
        <v>101</v>
      </c>
      <c r="BL194" t="s">
        <v>1646</v>
      </c>
      <c r="BM194" t="s">
        <v>4023</v>
      </c>
      <c r="BN194" t="s">
        <v>74</v>
      </c>
      <c r="BO194" t="s">
        <v>74</v>
      </c>
      <c r="BP194" t="s">
        <v>74</v>
      </c>
      <c r="BQ194" t="s">
        <v>74</v>
      </c>
      <c r="BR194" t="s">
        <v>103</v>
      </c>
      <c r="BS194" t="s">
        <v>4090</v>
      </c>
      <c r="BT194" t="str">
        <f>HYPERLINK("https%3A%2F%2Fwww.webofscience.com%2Fwos%2Fwoscc%2Ffull-record%2FWOS:000482050500018","View Full Record in Web of Science")</f>
        <v>View Full Record in Web of Science</v>
      </c>
    </row>
    <row r="195" spans="1:72" x14ac:dyDescent="0.15">
      <c r="A195" t="s">
        <v>72</v>
      </c>
      <c r="B195" t="s">
        <v>4091</v>
      </c>
      <c r="C195" t="s">
        <v>74</v>
      </c>
      <c r="D195" t="s">
        <v>74</v>
      </c>
      <c r="E195" t="s">
        <v>74</v>
      </c>
      <c r="F195" t="s">
        <v>4092</v>
      </c>
      <c r="G195" t="s">
        <v>74</v>
      </c>
      <c r="H195" t="s">
        <v>74</v>
      </c>
      <c r="I195" t="s">
        <v>4093</v>
      </c>
      <c r="J195" t="s">
        <v>4003</v>
      </c>
      <c r="K195" t="s">
        <v>74</v>
      </c>
      <c r="L195" t="s">
        <v>74</v>
      </c>
      <c r="M195" t="s">
        <v>78</v>
      </c>
      <c r="N195" t="s">
        <v>108</v>
      </c>
      <c r="O195" t="s">
        <v>74</v>
      </c>
      <c r="P195" t="s">
        <v>74</v>
      </c>
      <c r="Q195" t="s">
        <v>74</v>
      </c>
      <c r="R195" t="s">
        <v>74</v>
      </c>
      <c r="S195" t="s">
        <v>74</v>
      </c>
      <c r="T195" t="s">
        <v>4094</v>
      </c>
      <c r="U195" t="s">
        <v>4095</v>
      </c>
      <c r="V195" t="s">
        <v>4096</v>
      </c>
      <c r="W195" t="s">
        <v>4097</v>
      </c>
      <c r="X195" t="s">
        <v>4098</v>
      </c>
      <c r="Y195" t="s">
        <v>4099</v>
      </c>
      <c r="Z195" t="s">
        <v>4100</v>
      </c>
      <c r="AA195" t="s">
        <v>4101</v>
      </c>
      <c r="AB195" t="s">
        <v>4102</v>
      </c>
      <c r="AC195" t="s">
        <v>2328</v>
      </c>
      <c r="AD195" t="s">
        <v>2329</v>
      </c>
      <c r="AE195" t="s">
        <v>74</v>
      </c>
      <c r="AF195" t="s">
        <v>74</v>
      </c>
      <c r="AG195">
        <v>22</v>
      </c>
      <c r="AH195">
        <v>8</v>
      </c>
      <c r="AI195">
        <v>8</v>
      </c>
      <c r="AJ195">
        <v>0</v>
      </c>
      <c r="AK195">
        <v>98</v>
      </c>
      <c r="AL195" t="s">
        <v>154</v>
      </c>
      <c r="AM195" t="s">
        <v>4016</v>
      </c>
      <c r="AN195" t="s">
        <v>4017</v>
      </c>
      <c r="AO195" t="s">
        <v>4018</v>
      </c>
      <c r="AP195" t="s">
        <v>4019</v>
      </c>
      <c r="AQ195" t="s">
        <v>74</v>
      </c>
      <c r="AR195" t="s">
        <v>4020</v>
      </c>
      <c r="AS195" t="s">
        <v>4021</v>
      </c>
      <c r="AT195" t="s">
        <v>2930</v>
      </c>
      <c r="AU195">
        <v>2019</v>
      </c>
      <c r="AV195">
        <v>42</v>
      </c>
      <c r="AW195">
        <v>8</v>
      </c>
      <c r="AX195" t="s">
        <v>74</v>
      </c>
      <c r="AY195" t="s">
        <v>74</v>
      </c>
      <c r="AZ195" t="s">
        <v>74</v>
      </c>
      <c r="BA195" t="s">
        <v>74</v>
      </c>
      <c r="BB195">
        <v>1625</v>
      </c>
      <c r="BC195">
        <v>1630</v>
      </c>
      <c r="BD195" t="s">
        <v>74</v>
      </c>
      <c r="BE195" t="s">
        <v>4103</v>
      </c>
      <c r="BF195" t="str">
        <f>HYPERLINK("http://dx.doi.org/10.1007/s00300-019-02542-z","http://dx.doi.org/10.1007/s00300-019-02542-z")</f>
        <v>http://dx.doi.org/10.1007/s00300-019-02542-z</v>
      </c>
      <c r="BG195" t="s">
        <v>74</v>
      </c>
      <c r="BH195" t="s">
        <v>74</v>
      </c>
      <c r="BI195">
        <v>6</v>
      </c>
      <c r="BJ195" t="s">
        <v>3802</v>
      </c>
      <c r="BK195" t="s">
        <v>101</v>
      </c>
      <c r="BL195" t="s">
        <v>1646</v>
      </c>
      <c r="BM195" t="s">
        <v>4023</v>
      </c>
      <c r="BN195" t="s">
        <v>74</v>
      </c>
      <c r="BO195" t="s">
        <v>74</v>
      </c>
      <c r="BP195" t="s">
        <v>74</v>
      </c>
      <c r="BQ195" t="s">
        <v>74</v>
      </c>
      <c r="BR195" t="s">
        <v>103</v>
      </c>
      <c r="BS195" t="s">
        <v>4104</v>
      </c>
      <c r="BT195" t="str">
        <f>HYPERLINK("https%3A%2F%2Fwww.webofscience.com%2Fwos%2Fwoscc%2Ffull-record%2FWOS:000482050500019","View Full Record in Web of Science")</f>
        <v>View Full Record in Web of Science</v>
      </c>
    </row>
    <row r="196" spans="1:72" x14ac:dyDescent="0.15">
      <c r="A196" t="s">
        <v>72</v>
      </c>
      <c r="B196" t="s">
        <v>4105</v>
      </c>
      <c r="C196" t="s">
        <v>74</v>
      </c>
      <c r="D196" t="s">
        <v>74</v>
      </c>
      <c r="E196" t="s">
        <v>74</v>
      </c>
      <c r="F196" t="s">
        <v>4106</v>
      </c>
      <c r="G196" t="s">
        <v>74</v>
      </c>
      <c r="H196" t="s">
        <v>74</v>
      </c>
      <c r="I196" t="s">
        <v>4107</v>
      </c>
      <c r="J196" t="s">
        <v>4108</v>
      </c>
      <c r="K196" t="s">
        <v>74</v>
      </c>
      <c r="L196" t="s">
        <v>74</v>
      </c>
      <c r="M196" t="s">
        <v>78</v>
      </c>
      <c r="N196" t="s">
        <v>108</v>
      </c>
      <c r="O196" t="s">
        <v>74</v>
      </c>
      <c r="P196" t="s">
        <v>74</v>
      </c>
      <c r="Q196" t="s">
        <v>74</v>
      </c>
      <c r="R196" t="s">
        <v>74</v>
      </c>
      <c r="S196" t="s">
        <v>74</v>
      </c>
      <c r="T196" t="s">
        <v>4109</v>
      </c>
      <c r="U196" t="s">
        <v>4110</v>
      </c>
      <c r="V196" t="s">
        <v>4111</v>
      </c>
      <c r="W196" t="s">
        <v>4112</v>
      </c>
      <c r="X196" t="s">
        <v>4113</v>
      </c>
      <c r="Y196" t="s">
        <v>4114</v>
      </c>
      <c r="Z196" t="s">
        <v>4115</v>
      </c>
      <c r="AA196" t="s">
        <v>4116</v>
      </c>
      <c r="AB196" t="s">
        <v>74</v>
      </c>
      <c r="AC196" t="s">
        <v>4117</v>
      </c>
      <c r="AD196" t="s">
        <v>4118</v>
      </c>
      <c r="AE196" t="s">
        <v>4119</v>
      </c>
      <c r="AF196" t="s">
        <v>74</v>
      </c>
      <c r="AG196">
        <v>65</v>
      </c>
      <c r="AH196">
        <v>10</v>
      </c>
      <c r="AI196">
        <v>10</v>
      </c>
      <c r="AJ196">
        <v>1</v>
      </c>
      <c r="AK196">
        <v>11</v>
      </c>
      <c r="AL196" t="s">
        <v>251</v>
      </c>
      <c r="AM196" t="s">
        <v>252</v>
      </c>
      <c r="AN196" t="s">
        <v>253</v>
      </c>
      <c r="AO196" t="s">
        <v>4120</v>
      </c>
      <c r="AP196" t="s">
        <v>4121</v>
      </c>
      <c r="AQ196" t="s">
        <v>74</v>
      </c>
      <c r="AR196" t="s">
        <v>4122</v>
      </c>
      <c r="AS196" t="s">
        <v>4123</v>
      </c>
      <c r="AT196" t="s">
        <v>2930</v>
      </c>
      <c r="AU196">
        <v>2019</v>
      </c>
      <c r="AV196">
        <v>36</v>
      </c>
      <c r="AW196">
        <v>8</v>
      </c>
      <c r="AX196" t="s">
        <v>74</v>
      </c>
      <c r="AY196" t="s">
        <v>74</v>
      </c>
      <c r="AZ196" t="s">
        <v>74</v>
      </c>
      <c r="BA196" t="s">
        <v>74</v>
      </c>
      <c r="BB196">
        <v>1623</v>
      </c>
      <c r="BC196">
        <v>1641</v>
      </c>
      <c r="BD196" t="s">
        <v>74</v>
      </c>
      <c r="BE196" t="s">
        <v>4124</v>
      </c>
      <c r="BF196" t="str">
        <f>HYPERLINK("http://dx.doi.org/10.1175/JTECH-D-18-0218.1","http://dx.doi.org/10.1175/JTECH-D-18-0218.1")</f>
        <v>http://dx.doi.org/10.1175/JTECH-D-18-0218.1</v>
      </c>
      <c r="BG196" t="s">
        <v>74</v>
      </c>
      <c r="BH196" t="s">
        <v>74</v>
      </c>
      <c r="BI196">
        <v>19</v>
      </c>
      <c r="BJ196" t="s">
        <v>4125</v>
      </c>
      <c r="BK196" t="s">
        <v>101</v>
      </c>
      <c r="BL196" t="s">
        <v>4126</v>
      </c>
      <c r="BM196" t="s">
        <v>4127</v>
      </c>
      <c r="BN196" t="s">
        <v>74</v>
      </c>
      <c r="BO196" t="s">
        <v>2003</v>
      </c>
      <c r="BP196" t="s">
        <v>74</v>
      </c>
      <c r="BQ196" t="s">
        <v>74</v>
      </c>
      <c r="BR196" t="s">
        <v>103</v>
      </c>
      <c r="BS196" t="s">
        <v>4128</v>
      </c>
      <c r="BT196" t="str">
        <f>HYPERLINK("https%3A%2F%2Fwww.webofscience.com%2Fwos%2Fwoscc%2Ffull-record%2FWOS:000482034900001","View Full Record in Web of Science")</f>
        <v>View Full Record in Web of Science</v>
      </c>
    </row>
    <row r="197" spans="1:72" x14ac:dyDescent="0.15">
      <c r="A197" t="s">
        <v>72</v>
      </c>
      <c r="B197" t="s">
        <v>4129</v>
      </c>
      <c r="C197" t="s">
        <v>74</v>
      </c>
      <c r="D197" t="s">
        <v>74</v>
      </c>
      <c r="E197" t="s">
        <v>74</v>
      </c>
      <c r="F197" t="s">
        <v>4130</v>
      </c>
      <c r="G197" t="s">
        <v>74</v>
      </c>
      <c r="H197" t="s">
        <v>74</v>
      </c>
      <c r="I197" t="s">
        <v>4131</v>
      </c>
      <c r="J197" t="s">
        <v>4132</v>
      </c>
      <c r="K197" t="s">
        <v>74</v>
      </c>
      <c r="L197" t="s">
        <v>74</v>
      </c>
      <c r="M197" t="s">
        <v>78</v>
      </c>
      <c r="N197" t="s">
        <v>108</v>
      </c>
      <c r="O197" t="s">
        <v>74</v>
      </c>
      <c r="P197" t="s">
        <v>74</v>
      </c>
      <c r="Q197" t="s">
        <v>74</v>
      </c>
      <c r="R197" t="s">
        <v>74</v>
      </c>
      <c r="S197" t="s">
        <v>74</v>
      </c>
      <c r="T197" t="s">
        <v>4133</v>
      </c>
      <c r="U197" t="s">
        <v>4134</v>
      </c>
      <c r="V197" t="s">
        <v>4135</v>
      </c>
      <c r="W197" t="s">
        <v>4136</v>
      </c>
      <c r="X197" t="s">
        <v>4137</v>
      </c>
      <c r="Y197" t="s">
        <v>4138</v>
      </c>
      <c r="Z197" t="s">
        <v>4139</v>
      </c>
      <c r="AA197" t="s">
        <v>4140</v>
      </c>
      <c r="AB197" t="s">
        <v>4141</v>
      </c>
      <c r="AC197" t="s">
        <v>4142</v>
      </c>
      <c r="AD197" t="s">
        <v>4143</v>
      </c>
      <c r="AE197" t="s">
        <v>4144</v>
      </c>
      <c r="AF197" t="s">
        <v>74</v>
      </c>
      <c r="AG197">
        <v>66</v>
      </c>
      <c r="AH197">
        <v>15</v>
      </c>
      <c r="AI197">
        <v>20</v>
      </c>
      <c r="AJ197">
        <v>0</v>
      </c>
      <c r="AK197">
        <v>27</v>
      </c>
      <c r="AL197" t="s">
        <v>4145</v>
      </c>
      <c r="AM197" t="s">
        <v>303</v>
      </c>
      <c r="AN197" t="s">
        <v>4146</v>
      </c>
      <c r="AO197" t="s">
        <v>4147</v>
      </c>
      <c r="AP197" t="s">
        <v>4148</v>
      </c>
      <c r="AQ197" t="s">
        <v>74</v>
      </c>
      <c r="AR197" t="s">
        <v>4149</v>
      </c>
      <c r="AS197" t="s">
        <v>4150</v>
      </c>
      <c r="AT197" t="s">
        <v>2930</v>
      </c>
      <c r="AU197">
        <v>2019</v>
      </c>
      <c r="AV197">
        <v>222</v>
      </c>
      <c r="AW197">
        <v>15</v>
      </c>
      <c r="AX197" t="s">
        <v>74</v>
      </c>
      <c r="AY197" t="s">
        <v>74</v>
      </c>
      <c r="AZ197" t="s">
        <v>74</v>
      </c>
      <c r="BA197" t="s">
        <v>74</v>
      </c>
      <c r="BB197" t="s">
        <v>74</v>
      </c>
      <c r="BC197" t="s">
        <v>74</v>
      </c>
      <c r="BD197" t="s">
        <v>4151</v>
      </c>
      <c r="BE197" t="s">
        <v>4152</v>
      </c>
      <c r="BF197" t="str">
        <f>HYPERLINK("http://dx.doi.org/10.1242/jeb.206011","http://dx.doi.org/10.1242/jeb.206011")</f>
        <v>http://dx.doi.org/10.1242/jeb.206011</v>
      </c>
      <c r="BG197" t="s">
        <v>74</v>
      </c>
      <c r="BH197" t="s">
        <v>74</v>
      </c>
      <c r="BI197">
        <v>10</v>
      </c>
      <c r="BJ197" t="s">
        <v>1558</v>
      </c>
      <c r="BK197" t="s">
        <v>101</v>
      </c>
      <c r="BL197" t="s">
        <v>1559</v>
      </c>
      <c r="BM197" t="s">
        <v>4153</v>
      </c>
      <c r="BN197">
        <v>31345935</v>
      </c>
      <c r="BO197" t="s">
        <v>537</v>
      </c>
      <c r="BP197" t="s">
        <v>74</v>
      </c>
      <c r="BQ197" t="s">
        <v>74</v>
      </c>
      <c r="BR197" t="s">
        <v>103</v>
      </c>
      <c r="BS197" t="s">
        <v>4154</v>
      </c>
      <c r="BT197" t="str">
        <f>HYPERLINK("https%3A%2F%2Fwww.webofscience.com%2Fwos%2Fwoscc%2Ffull-record%2FWOS:000481619200014","View Full Record in Web of Science")</f>
        <v>View Full Record in Web of Science</v>
      </c>
    </row>
    <row r="198" spans="1:72" x14ac:dyDescent="0.15">
      <c r="A198" t="s">
        <v>72</v>
      </c>
      <c r="B198" t="s">
        <v>4155</v>
      </c>
      <c r="C198" t="s">
        <v>74</v>
      </c>
      <c r="D198" t="s">
        <v>74</v>
      </c>
      <c r="E198" t="s">
        <v>74</v>
      </c>
      <c r="F198" t="s">
        <v>4156</v>
      </c>
      <c r="G198" t="s">
        <v>74</v>
      </c>
      <c r="H198" t="s">
        <v>74</v>
      </c>
      <c r="I198" t="s">
        <v>4157</v>
      </c>
      <c r="J198" t="s">
        <v>4158</v>
      </c>
      <c r="K198" t="s">
        <v>74</v>
      </c>
      <c r="L198" t="s">
        <v>74</v>
      </c>
      <c r="M198" t="s">
        <v>78</v>
      </c>
      <c r="N198" t="s">
        <v>108</v>
      </c>
      <c r="O198" t="s">
        <v>74</v>
      </c>
      <c r="P198" t="s">
        <v>74</v>
      </c>
      <c r="Q198" t="s">
        <v>74</v>
      </c>
      <c r="R198" t="s">
        <v>74</v>
      </c>
      <c r="S198" t="s">
        <v>74</v>
      </c>
      <c r="T198" t="s">
        <v>4159</v>
      </c>
      <c r="U198" t="s">
        <v>4160</v>
      </c>
      <c r="V198" t="s">
        <v>4161</v>
      </c>
      <c r="W198" t="s">
        <v>4162</v>
      </c>
      <c r="X198" t="s">
        <v>4163</v>
      </c>
      <c r="Y198" t="s">
        <v>4164</v>
      </c>
      <c r="Z198" t="s">
        <v>4165</v>
      </c>
      <c r="AA198" t="s">
        <v>4166</v>
      </c>
      <c r="AB198" t="s">
        <v>4167</v>
      </c>
      <c r="AC198" t="s">
        <v>4168</v>
      </c>
      <c r="AD198" t="s">
        <v>4169</v>
      </c>
      <c r="AE198" t="s">
        <v>4170</v>
      </c>
      <c r="AF198" t="s">
        <v>74</v>
      </c>
      <c r="AG198">
        <v>62</v>
      </c>
      <c r="AH198">
        <v>17</v>
      </c>
      <c r="AI198">
        <v>17</v>
      </c>
      <c r="AJ198">
        <v>2</v>
      </c>
      <c r="AK198">
        <v>12</v>
      </c>
      <c r="AL198" t="s">
        <v>2396</v>
      </c>
      <c r="AM198" t="s">
        <v>2397</v>
      </c>
      <c r="AN198" t="s">
        <v>2398</v>
      </c>
      <c r="AO198" t="s">
        <v>4171</v>
      </c>
      <c r="AP198" t="s">
        <v>4172</v>
      </c>
      <c r="AQ198" t="s">
        <v>74</v>
      </c>
      <c r="AR198" t="s">
        <v>4173</v>
      </c>
      <c r="AS198" t="s">
        <v>4174</v>
      </c>
      <c r="AT198" t="s">
        <v>2930</v>
      </c>
      <c r="AU198">
        <v>2019</v>
      </c>
      <c r="AV198">
        <v>46</v>
      </c>
      <c r="AW198">
        <v>8</v>
      </c>
      <c r="AX198" t="s">
        <v>74</v>
      </c>
      <c r="AY198" t="s">
        <v>74</v>
      </c>
      <c r="AZ198" t="s">
        <v>74</v>
      </c>
      <c r="BA198" t="s">
        <v>74</v>
      </c>
      <c r="BB198">
        <v>1139</v>
      </c>
      <c r="BC198">
        <v>1153</v>
      </c>
      <c r="BD198" t="s">
        <v>74</v>
      </c>
      <c r="BE198" t="s">
        <v>4175</v>
      </c>
      <c r="BF198" t="str">
        <f>HYPERLINK("http://dx.doi.org/10.1007/s10295-019-02186-2","http://dx.doi.org/10.1007/s10295-019-02186-2")</f>
        <v>http://dx.doi.org/10.1007/s10295-019-02186-2</v>
      </c>
      <c r="BG198" t="s">
        <v>74</v>
      </c>
      <c r="BH198" t="s">
        <v>74</v>
      </c>
      <c r="BI198">
        <v>15</v>
      </c>
      <c r="BJ198" t="s">
        <v>1826</v>
      </c>
      <c r="BK198" t="s">
        <v>101</v>
      </c>
      <c r="BL198" t="s">
        <v>1826</v>
      </c>
      <c r="BM198" t="s">
        <v>4176</v>
      </c>
      <c r="BN198">
        <v>31089984</v>
      </c>
      <c r="BO198" t="s">
        <v>1308</v>
      </c>
      <c r="BP198" t="s">
        <v>74</v>
      </c>
      <c r="BQ198" t="s">
        <v>74</v>
      </c>
      <c r="BR198" t="s">
        <v>103</v>
      </c>
      <c r="BS198" t="s">
        <v>4177</v>
      </c>
      <c r="BT198" t="str">
        <f>HYPERLINK("https%3A%2F%2Fwww.webofscience.com%2Fwos%2Fwoscc%2Ffull-record%2FWOS:000481796500009","View Full Record in Web of Science")</f>
        <v>View Full Record in Web of Science</v>
      </c>
    </row>
    <row r="199" spans="1:72" x14ac:dyDescent="0.15">
      <c r="A199" t="s">
        <v>72</v>
      </c>
      <c r="B199" t="s">
        <v>4178</v>
      </c>
      <c r="C199" t="s">
        <v>74</v>
      </c>
      <c r="D199" t="s">
        <v>74</v>
      </c>
      <c r="E199" t="s">
        <v>74</v>
      </c>
      <c r="F199" t="s">
        <v>4179</v>
      </c>
      <c r="G199" t="s">
        <v>74</v>
      </c>
      <c r="H199" t="s">
        <v>74</v>
      </c>
      <c r="I199" t="s">
        <v>4180</v>
      </c>
      <c r="J199" t="s">
        <v>3275</v>
      </c>
      <c r="K199" t="s">
        <v>74</v>
      </c>
      <c r="L199" t="s">
        <v>74</v>
      </c>
      <c r="M199" t="s">
        <v>78</v>
      </c>
      <c r="N199" t="s">
        <v>108</v>
      </c>
      <c r="O199" t="s">
        <v>74</v>
      </c>
      <c r="P199" t="s">
        <v>74</v>
      </c>
      <c r="Q199" t="s">
        <v>74</v>
      </c>
      <c r="R199" t="s">
        <v>74</v>
      </c>
      <c r="S199" t="s">
        <v>74</v>
      </c>
      <c r="T199" t="s">
        <v>74</v>
      </c>
      <c r="U199" t="s">
        <v>4181</v>
      </c>
      <c r="V199" t="s">
        <v>4182</v>
      </c>
      <c r="W199" t="s">
        <v>4183</v>
      </c>
      <c r="X199" t="s">
        <v>4184</v>
      </c>
      <c r="Y199" t="s">
        <v>4185</v>
      </c>
      <c r="Z199" t="s">
        <v>4186</v>
      </c>
      <c r="AA199" t="s">
        <v>4187</v>
      </c>
      <c r="AB199" t="s">
        <v>4188</v>
      </c>
      <c r="AC199" t="s">
        <v>4189</v>
      </c>
      <c r="AD199" t="s">
        <v>4190</v>
      </c>
      <c r="AE199" t="s">
        <v>4191</v>
      </c>
      <c r="AF199" t="s">
        <v>74</v>
      </c>
      <c r="AG199">
        <v>53</v>
      </c>
      <c r="AH199">
        <v>26</v>
      </c>
      <c r="AI199">
        <v>30</v>
      </c>
      <c r="AJ199">
        <v>0</v>
      </c>
      <c r="AK199">
        <v>12</v>
      </c>
      <c r="AL199" t="s">
        <v>3287</v>
      </c>
      <c r="AM199" t="s">
        <v>183</v>
      </c>
      <c r="AN199" t="s">
        <v>3288</v>
      </c>
      <c r="AO199" t="s">
        <v>3289</v>
      </c>
      <c r="AP199" t="s">
        <v>74</v>
      </c>
      <c r="AQ199" t="s">
        <v>74</v>
      </c>
      <c r="AR199" t="s">
        <v>3290</v>
      </c>
      <c r="AS199" t="s">
        <v>3291</v>
      </c>
      <c r="AT199" t="s">
        <v>2930</v>
      </c>
      <c r="AU199">
        <v>2019</v>
      </c>
      <c r="AV199">
        <v>5</v>
      </c>
      <c r="AW199">
        <v>8</v>
      </c>
      <c r="AX199" t="s">
        <v>74</v>
      </c>
      <c r="AY199" t="s">
        <v>74</v>
      </c>
      <c r="AZ199" t="s">
        <v>74</v>
      </c>
      <c r="BA199" t="s">
        <v>74</v>
      </c>
      <c r="BB199" t="s">
        <v>74</v>
      </c>
      <c r="BC199" t="s">
        <v>74</v>
      </c>
      <c r="BD199" t="s">
        <v>4192</v>
      </c>
      <c r="BE199" t="s">
        <v>4193</v>
      </c>
      <c r="BF199" t="str">
        <f>HYPERLINK("http://dx.doi.org/10.1126/sciadv.aav8754","http://dx.doi.org/10.1126/sciadv.aav8754")</f>
        <v>http://dx.doi.org/10.1126/sciadv.aav8754</v>
      </c>
      <c r="BG199" t="s">
        <v>74</v>
      </c>
      <c r="BH199" t="s">
        <v>74</v>
      </c>
      <c r="BI199">
        <v>12</v>
      </c>
      <c r="BJ199" t="s">
        <v>1004</v>
      </c>
      <c r="BK199" t="s">
        <v>101</v>
      </c>
      <c r="BL199" t="s">
        <v>1005</v>
      </c>
      <c r="BM199" t="s">
        <v>4194</v>
      </c>
      <c r="BN199">
        <v>31565668</v>
      </c>
      <c r="BO199" t="s">
        <v>402</v>
      </c>
      <c r="BP199" t="s">
        <v>74</v>
      </c>
      <c r="BQ199" t="s">
        <v>74</v>
      </c>
      <c r="BR199" t="s">
        <v>103</v>
      </c>
      <c r="BS199" t="s">
        <v>4195</v>
      </c>
      <c r="BT199" t="str">
        <f>HYPERLINK("https%3A%2F%2Fwww.webofscience.com%2Fwos%2Fwoscc%2Ffull-record%2FWOS:000481798400011","View Full Record in Web of Science")</f>
        <v>View Full Record in Web of Science</v>
      </c>
    </row>
    <row r="200" spans="1:72" x14ac:dyDescent="0.15">
      <c r="A200" t="s">
        <v>72</v>
      </c>
      <c r="B200" t="s">
        <v>4196</v>
      </c>
      <c r="C200" t="s">
        <v>74</v>
      </c>
      <c r="D200" t="s">
        <v>74</v>
      </c>
      <c r="E200" t="s">
        <v>74</v>
      </c>
      <c r="F200" t="s">
        <v>4197</v>
      </c>
      <c r="G200" t="s">
        <v>74</v>
      </c>
      <c r="H200" t="s">
        <v>74</v>
      </c>
      <c r="I200" t="s">
        <v>4198</v>
      </c>
      <c r="J200" t="s">
        <v>4199</v>
      </c>
      <c r="K200" t="s">
        <v>74</v>
      </c>
      <c r="L200" t="s">
        <v>74</v>
      </c>
      <c r="M200" t="s">
        <v>78</v>
      </c>
      <c r="N200" t="s">
        <v>108</v>
      </c>
      <c r="O200" t="s">
        <v>74</v>
      </c>
      <c r="P200" t="s">
        <v>74</v>
      </c>
      <c r="Q200" t="s">
        <v>74</v>
      </c>
      <c r="R200" t="s">
        <v>74</v>
      </c>
      <c r="S200" t="s">
        <v>74</v>
      </c>
      <c r="T200" t="s">
        <v>4200</v>
      </c>
      <c r="U200" t="s">
        <v>4201</v>
      </c>
      <c r="V200" t="s">
        <v>4202</v>
      </c>
      <c r="W200" t="s">
        <v>4203</v>
      </c>
      <c r="X200" t="s">
        <v>4204</v>
      </c>
      <c r="Y200" t="s">
        <v>4205</v>
      </c>
      <c r="Z200" t="s">
        <v>4206</v>
      </c>
      <c r="AA200" t="s">
        <v>4207</v>
      </c>
      <c r="AB200" t="s">
        <v>4208</v>
      </c>
      <c r="AC200" t="s">
        <v>4209</v>
      </c>
      <c r="AD200" t="s">
        <v>4210</v>
      </c>
      <c r="AE200" t="s">
        <v>4211</v>
      </c>
      <c r="AF200" t="s">
        <v>74</v>
      </c>
      <c r="AG200">
        <v>59</v>
      </c>
      <c r="AH200">
        <v>7</v>
      </c>
      <c r="AI200">
        <v>7</v>
      </c>
      <c r="AJ200">
        <v>2</v>
      </c>
      <c r="AK200">
        <v>18</v>
      </c>
      <c r="AL200" t="s">
        <v>154</v>
      </c>
      <c r="AM200" t="s">
        <v>4016</v>
      </c>
      <c r="AN200" t="s">
        <v>4017</v>
      </c>
      <c r="AO200" t="s">
        <v>4212</v>
      </c>
      <c r="AP200" t="s">
        <v>4213</v>
      </c>
      <c r="AQ200" t="s">
        <v>74</v>
      </c>
      <c r="AR200" t="s">
        <v>4199</v>
      </c>
      <c r="AS200" t="s">
        <v>4214</v>
      </c>
      <c r="AT200" t="s">
        <v>2930</v>
      </c>
      <c r="AU200">
        <v>2019</v>
      </c>
      <c r="AV200">
        <v>22</v>
      </c>
      <c r="AW200">
        <v>5</v>
      </c>
      <c r="AX200" t="s">
        <v>74</v>
      </c>
      <c r="AY200" t="s">
        <v>74</v>
      </c>
      <c r="AZ200" t="s">
        <v>74</v>
      </c>
      <c r="BA200" t="s">
        <v>74</v>
      </c>
      <c r="BB200">
        <v>1069</v>
      </c>
      <c r="BC200">
        <v>1087</v>
      </c>
      <c r="BD200" t="s">
        <v>74</v>
      </c>
      <c r="BE200" t="s">
        <v>4215</v>
      </c>
      <c r="BF200" t="str">
        <f>HYPERLINK("http://dx.doi.org/10.1007/s10021-018-0326-1","http://dx.doi.org/10.1007/s10021-018-0326-1")</f>
        <v>http://dx.doi.org/10.1007/s10021-018-0326-1</v>
      </c>
      <c r="BG200" t="s">
        <v>74</v>
      </c>
      <c r="BH200" t="s">
        <v>74</v>
      </c>
      <c r="BI200">
        <v>19</v>
      </c>
      <c r="BJ200" t="s">
        <v>1150</v>
      </c>
      <c r="BK200" t="s">
        <v>101</v>
      </c>
      <c r="BL200" t="s">
        <v>799</v>
      </c>
      <c r="BM200" t="s">
        <v>4216</v>
      </c>
      <c r="BN200" t="s">
        <v>74</v>
      </c>
      <c r="BO200" t="s">
        <v>74</v>
      </c>
      <c r="BP200" t="s">
        <v>74</v>
      </c>
      <c r="BQ200" t="s">
        <v>74</v>
      </c>
      <c r="BR200" t="s">
        <v>103</v>
      </c>
      <c r="BS200" t="s">
        <v>4217</v>
      </c>
      <c r="BT200" t="str">
        <f>HYPERLINK("https%3A%2F%2Fwww.webofscience.com%2Fwos%2Fwoscc%2Ffull-record%2FWOS:000480546800010","View Full Record in Web of Science")</f>
        <v>View Full Record in Web of Science</v>
      </c>
    </row>
    <row r="201" spans="1:72" x14ac:dyDescent="0.15">
      <c r="A201" t="s">
        <v>72</v>
      </c>
      <c r="B201" t="s">
        <v>4218</v>
      </c>
      <c r="C201" t="s">
        <v>74</v>
      </c>
      <c r="D201" t="s">
        <v>74</v>
      </c>
      <c r="E201" t="s">
        <v>74</v>
      </c>
      <c r="F201" t="s">
        <v>4219</v>
      </c>
      <c r="G201" t="s">
        <v>74</v>
      </c>
      <c r="H201" t="s">
        <v>74</v>
      </c>
      <c r="I201" t="s">
        <v>4220</v>
      </c>
      <c r="J201" t="s">
        <v>4221</v>
      </c>
      <c r="K201" t="s">
        <v>74</v>
      </c>
      <c r="L201" t="s">
        <v>74</v>
      </c>
      <c r="M201" t="s">
        <v>78</v>
      </c>
      <c r="N201" t="s">
        <v>108</v>
      </c>
      <c r="O201" t="s">
        <v>74</v>
      </c>
      <c r="P201" t="s">
        <v>74</v>
      </c>
      <c r="Q201" t="s">
        <v>74</v>
      </c>
      <c r="R201" t="s">
        <v>74</v>
      </c>
      <c r="S201" t="s">
        <v>74</v>
      </c>
      <c r="T201" t="s">
        <v>4222</v>
      </c>
      <c r="U201" t="s">
        <v>4223</v>
      </c>
      <c r="V201" t="s">
        <v>4224</v>
      </c>
      <c r="W201" t="s">
        <v>4225</v>
      </c>
      <c r="X201" t="s">
        <v>4226</v>
      </c>
      <c r="Y201" t="s">
        <v>4227</v>
      </c>
      <c r="Z201" t="s">
        <v>4228</v>
      </c>
      <c r="AA201" t="s">
        <v>4229</v>
      </c>
      <c r="AB201" t="s">
        <v>4230</v>
      </c>
      <c r="AC201" t="s">
        <v>4231</v>
      </c>
      <c r="AD201" t="s">
        <v>4232</v>
      </c>
      <c r="AE201" t="s">
        <v>4233</v>
      </c>
      <c r="AF201" t="s">
        <v>74</v>
      </c>
      <c r="AG201">
        <v>46</v>
      </c>
      <c r="AH201">
        <v>19</v>
      </c>
      <c r="AI201">
        <v>20</v>
      </c>
      <c r="AJ201">
        <v>8</v>
      </c>
      <c r="AK201">
        <v>47</v>
      </c>
      <c r="AL201" t="s">
        <v>1687</v>
      </c>
      <c r="AM201" t="s">
        <v>1688</v>
      </c>
      <c r="AN201" t="s">
        <v>1689</v>
      </c>
      <c r="AO201" t="s">
        <v>4234</v>
      </c>
      <c r="AP201" t="s">
        <v>74</v>
      </c>
      <c r="AQ201" t="s">
        <v>74</v>
      </c>
      <c r="AR201" t="s">
        <v>4235</v>
      </c>
      <c r="AS201" t="s">
        <v>4236</v>
      </c>
      <c r="AT201" t="s">
        <v>2930</v>
      </c>
      <c r="AU201">
        <v>2019</v>
      </c>
      <c r="AV201">
        <v>14</v>
      </c>
      <c r="AW201">
        <v>8</v>
      </c>
      <c r="AX201" t="s">
        <v>74</v>
      </c>
      <c r="AY201" t="s">
        <v>74</v>
      </c>
      <c r="AZ201" t="s">
        <v>74</v>
      </c>
      <c r="BA201" t="s">
        <v>74</v>
      </c>
      <c r="BB201" t="s">
        <v>74</v>
      </c>
      <c r="BC201" t="s">
        <v>74</v>
      </c>
      <c r="BD201">
        <v>84040</v>
      </c>
      <c r="BE201" t="s">
        <v>4237</v>
      </c>
      <c r="BF201" t="str">
        <f>HYPERLINK("http://dx.doi.org/10.1088/1748-9326/ab33c1","http://dx.doi.org/10.1088/1748-9326/ab33c1")</f>
        <v>http://dx.doi.org/10.1088/1748-9326/ab33c1</v>
      </c>
      <c r="BG201" t="s">
        <v>74</v>
      </c>
      <c r="BH201" t="s">
        <v>74</v>
      </c>
      <c r="BI201">
        <v>9</v>
      </c>
      <c r="BJ201" t="s">
        <v>2267</v>
      </c>
      <c r="BK201" t="s">
        <v>101</v>
      </c>
      <c r="BL201" t="s">
        <v>2268</v>
      </c>
      <c r="BM201" t="s">
        <v>4238</v>
      </c>
      <c r="BN201" t="s">
        <v>74</v>
      </c>
      <c r="BO201" t="s">
        <v>366</v>
      </c>
      <c r="BP201" t="s">
        <v>74</v>
      </c>
      <c r="BQ201" t="s">
        <v>74</v>
      </c>
      <c r="BR201" t="s">
        <v>103</v>
      </c>
      <c r="BS201" t="s">
        <v>4239</v>
      </c>
      <c r="BT201" t="str">
        <f>HYPERLINK("https%3A%2F%2Fwww.webofscience.com%2Fwos%2Fwoscc%2Ffull-record%2FWOS:000481537200001","View Full Record in Web of Science")</f>
        <v>View Full Record in Web of Science</v>
      </c>
    </row>
    <row r="202" spans="1:72" x14ac:dyDescent="0.15">
      <c r="A202" t="s">
        <v>72</v>
      </c>
      <c r="B202" t="s">
        <v>4240</v>
      </c>
      <c r="C202" t="s">
        <v>74</v>
      </c>
      <c r="D202" t="s">
        <v>74</v>
      </c>
      <c r="E202" t="s">
        <v>74</v>
      </c>
      <c r="F202" t="s">
        <v>4241</v>
      </c>
      <c r="G202" t="s">
        <v>74</v>
      </c>
      <c r="H202" t="s">
        <v>74</v>
      </c>
      <c r="I202" t="s">
        <v>4242</v>
      </c>
      <c r="J202" t="s">
        <v>4243</v>
      </c>
      <c r="K202" t="s">
        <v>74</v>
      </c>
      <c r="L202" t="s">
        <v>74</v>
      </c>
      <c r="M202" t="s">
        <v>4244</v>
      </c>
      <c r="N202" t="s">
        <v>108</v>
      </c>
      <c r="O202" t="s">
        <v>74</v>
      </c>
      <c r="P202" t="s">
        <v>74</v>
      </c>
      <c r="Q202" t="s">
        <v>74</v>
      </c>
      <c r="R202" t="s">
        <v>74</v>
      </c>
      <c r="S202" t="s">
        <v>74</v>
      </c>
      <c r="T202" t="s">
        <v>4245</v>
      </c>
      <c r="U202" t="s">
        <v>4246</v>
      </c>
      <c r="V202" t="s">
        <v>4247</v>
      </c>
      <c r="W202" t="s">
        <v>4248</v>
      </c>
      <c r="X202" t="s">
        <v>4249</v>
      </c>
      <c r="Y202" t="s">
        <v>4250</v>
      </c>
      <c r="Z202" t="s">
        <v>4251</v>
      </c>
      <c r="AA202" t="s">
        <v>4252</v>
      </c>
      <c r="AB202" t="s">
        <v>4253</v>
      </c>
      <c r="AC202" t="s">
        <v>74</v>
      </c>
      <c r="AD202" t="s">
        <v>74</v>
      </c>
      <c r="AE202" t="s">
        <v>74</v>
      </c>
      <c r="AF202" t="s">
        <v>74</v>
      </c>
      <c r="AG202">
        <v>39</v>
      </c>
      <c r="AH202">
        <v>0</v>
      </c>
      <c r="AI202">
        <v>1</v>
      </c>
      <c r="AJ202">
        <v>0</v>
      </c>
      <c r="AK202">
        <v>15</v>
      </c>
      <c r="AL202" t="s">
        <v>4254</v>
      </c>
      <c r="AM202" t="s">
        <v>4255</v>
      </c>
      <c r="AN202" t="s">
        <v>4256</v>
      </c>
      <c r="AO202" t="s">
        <v>4257</v>
      </c>
      <c r="AP202" t="s">
        <v>74</v>
      </c>
      <c r="AQ202" t="s">
        <v>74</v>
      </c>
      <c r="AR202" t="s">
        <v>4258</v>
      </c>
      <c r="AS202" t="s">
        <v>4259</v>
      </c>
      <c r="AT202" t="s">
        <v>2930</v>
      </c>
      <c r="AU202">
        <v>2019</v>
      </c>
      <c r="AV202">
        <v>62</v>
      </c>
      <c r="AW202">
        <v>8</v>
      </c>
      <c r="AX202" t="s">
        <v>74</v>
      </c>
      <c r="AY202" t="s">
        <v>74</v>
      </c>
      <c r="AZ202" t="s">
        <v>74</v>
      </c>
      <c r="BA202" t="s">
        <v>74</v>
      </c>
      <c r="BB202">
        <v>2793</v>
      </c>
      <c r="BC202">
        <v>2805</v>
      </c>
      <c r="BD202" t="s">
        <v>74</v>
      </c>
      <c r="BE202" t="s">
        <v>4260</v>
      </c>
      <c r="BF202" t="str">
        <f>HYPERLINK("http://dx.doi.org/10.6038/cjg2019M0200","http://dx.doi.org/10.6038/cjg2019M0200")</f>
        <v>http://dx.doi.org/10.6038/cjg2019M0200</v>
      </c>
      <c r="BG202" t="s">
        <v>74</v>
      </c>
      <c r="BH202" t="s">
        <v>74</v>
      </c>
      <c r="BI202">
        <v>13</v>
      </c>
      <c r="BJ202" t="s">
        <v>190</v>
      </c>
      <c r="BK202" t="s">
        <v>101</v>
      </c>
      <c r="BL202" t="s">
        <v>190</v>
      </c>
      <c r="BM202" t="s">
        <v>4261</v>
      </c>
      <c r="BN202" t="s">
        <v>74</v>
      </c>
      <c r="BO202" t="s">
        <v>74</v>
      </c>
      <c r="BP202" t="s">
        <v>74</v>
      </c>
      <c r="BQ202" t="s">
        <v>74</v>
      </c>
      <c r="BR202" t="s">
        <v>103</v>
      </c>
      <c r="BS202" t="s">
        <v>4262</v>
      </c>
      <c r="BT202" t="str">
        <f>HYPERLINK("https%3A%2F%2Fwww.webofscience.com%2Fwos%2Fwoscc%2Ffull-record%2FWOS:000480300600002","View Full Record in Web of Science")</f>
        <v>View Full Record in Web of Science</v>
      </c>
    </row>
    <row r="203" spans="1:72" x14ac:dyDescent="0.15">
      <c r="A203" t="s">
        <v>72</v>
      </c>
      <c r="B203" t="s">
        <v>4263</v>
      </c>
      <c r="C203" t="s">
        <v>74</v>
      </c>
      <c r="D203" t="s">
        <v>74</v>
      </c>
      <c r="E203" t="s">
        <v>74</v>
      </c>
      <c r="F203" t="s">
        <v>4264</v>
      </c>
      <c r="G203" t="s">
        <v>74</v>
      </c>
      <c r="H203" t="s">
        <v>74</v>
      </c>
      <c r="I203" t="s">
        <v>4265</v>
      </c>
      <c r="J203" t="s">
        <v>4243</v>
      </c>
      <c r="K203" t="s">
        <v>74</v>
      </c>
      <c r="L203" t="s">
        <v>74</v>
      </c>
      <c r="M203" t="s">
        <v>4244</v>
      </c>
      <c r="N203" t="s">
        <v>108</v>
      </c>
      <c r="O203" t="s">
        <v>74</v>
      </c>
      <c r="P203" t="s">
        <v>74</v>
      </c>
      <c r="Q203" t="s">
        <v>74</v>
      </c>
      <c r="R203" t="s">
        <v>74</v>
      </c>
      <c r="S203" t="s">
        <v>74</v>
      </c>
      <c r="T203" t="s">
        <v>4266</v>
      </c>
      <c r="U203" t="s">
        <v>4267</v>
      </c>
      <c r="V203" t="s">
        <v>4268</v>
      </c>
      <c r="W203" t="s">
        <v>4269</v>
      </c>
      <c r="X203" t="s">
        <v>4270</v>
      </c>
      <c r="Y203" t="s">
        <v>4271</v>
      </c>
      <c r="Z203" t="s">
        <v>4272</v>
      </c>
      <c r="AA203" t="s">
        <v>4273</v>
      </c>
      <c r="AB203" t="s">
        <v>4274</v>
      </c>
      <c r="AC203" t="s">
        <v>74</v>
      </c>
      <c r="AD203" t="s">
        <v>74</v>
      </c>
      <c r="AE203" t="s">
        <v>74</v>
      </c>
      <c r="AF203" t="s">
        <v>74</v>
      </c>
      <c r="AG203">
        <v>49</v>
      </c>
      <c r="AH203">
        <v>0</v>
      </c>
      <c r="AI203">
        <v>1</v>
      </c>
      <c r="AJ203">
        <v>1</v>
      </c>
      <c r="AK203">
        <v>14</v>
      </c>
      <c r="AL203" t="s">
        <v>4254</v>
      </c>
      <c r="AM203" t="s">
        <v>4255</v>
      </c>
      <c r="AN203" t="s">
        <v>4256</v>
      </c>
      <c r="AO203" t="s">
        <v>4257</v>
      </c>
      <c r="AP203" t="s">
        <v>74</v>
      </c>
      <c r="AQ203" t="s">
        <v>74</v>
      </c>
      <c r="AR203" t="s">
        <v>4258</v>
      </c>
      <c r="AS203" t="s">
        <v>4259</v>
      </c>
      <c r="AT203" t="s">
        <v>2930</v>
      </c>
      <c r="AU203">
        <v>2019</v>
      </c>
      <c r="AV203">
        <v>62</v>
      </c>
      <c r="AW203">
        <v>8</v>
      </c>
      <c r="AX203" t="s">
        <v>74</v>
      </c>
      <c r="AY203" t="s">
        <v>74</v>
      </c>
      <c r="AZ203" t="s">
        <v>74</v>
      </c>
      <c r="BA203" t="s">
        <v>74</v>
      </c>
      <c r="BB203">
        <v>2806</v>
      </c>
      <c r="BC203">
        <v>2820</v>
      </c>
      <c r="BD203" t="s">
        <v>74</v>
      </c>
      <c r="BE203" t="s">
        <v>4275</v>
      </c>
      <c r="BF203" t="str">
        <f>HYPERLINK("http://dx.doi.org/10.6038/cjg2019N0029","http://dx.doi.org/10.6038/cjg2019N0029")</f>
        <v>http://dx.doi.org/10.6038/cjg2019N0029</v>
      </c>
      <c r="BG203" t="s">
        <v>74</v>
      </c>
      <c r="BH203" t="s">
        <v>74</v>
      </c>
      <c r="BI203">
        <v>15</v>
      </c>
      <c r="BJ203" t="s">
        <v>190</v>
      </c>
      <c r="BK203" t="s">
        <v>101</v>
      </c>
      <c r="BL203" t="s">
        <v>190</v>
      </c>
      <c r="BM203" t="s">
        <v>4261</v>
      </c>
      <c r="BN203" t="s">
        <v>74</v>
      </c>
      <c r="BO203" t="s">
        <v>74</v>
      </c>
      <c r="BP203" t="s">
        <v>74</v>
      </c>
      <c r="BQ203" t="s">
        <v>74</v>
      </c>
      <c r="BR203" t="s">
        <v>103</v>
      </c>
      <c r="BS203" t="s">
        <v>4276</v>
      </c>
      <c r="BT203" t="str">
        <f>HYPERLINK("https%3A%2F%2Fwww.webofscience.com%2Fwos%2Fwoscc%2Ffull-record%2FWOS:000480300600003","View Full Record in Web of Science")</f>
        <v>View Full Record in Web of Science</v>
      </c>
    </row>
    <row r="204" spans="1:72" x14ac:dyDescent="0.15">
      <c r="A204" t="s">
        <v>72</v>
      </c>
      <c r="B204" t="s">
        <v>4277</v>
      </c>
      <c r="C204" t="s">
        <v>74</v>
      </c>
      <c r="D204" t="s">
        <v>74</v>
      </c>
      <c r="E204" t="s">
        <v>74</v>
      </c>
      <c r="F204" t="s">
        <v>4278</v>
      </c>
      <c r="G204" t="s">
        <v>74</v>
      </c>
      <c r="H204" t="s">
        <v>74</v>
      </c>
      <c r="I204" t="s">
        <v>4279</v>
      </c>
      <c r="J204" t="s">
        <v>4243</v>
      </c>
      <c r="K204" t="s">
        <v>74</v>
      </c>
      <c r="L204" t="s">
        <v>74</v>
      </c>
      <c r="M204" t="s">
        <v>4244</v>
      </c>
      <c r="N204" t="s">
        <v>108</v>
      </c>
      <c r="O204" t="s">
        <v>74</v>
      </c>
      <c r="P204" t="s">
        <v>74</v>
      </c>
      <c r="Q204" t="s">
        <v>74</v>
      </c>
      <c r="R204" t="s">
        <v>74</v>
      </c>
      <c r="S204" t="s">
        <v>74</v>
      </c>
      <c r="T204" t="s">
        <v>4280</v>
      </c>
      <c r="U204" t="s">
        <v>4281</v>
      </c>
      <c r="V204" t="s">
        <v>4282</v>
      </c>
      <c r="W204" t="s">
        <v>4283</v>
      </c>
      <c r="X204" t="s">
        <v>4284</v>
      </c>
      <c r="Y204" t="s">
        <v>4285</v>
      </c>
      <c r="Z204" t="s">
        <v>4286</v>
      </c>
      <c r="AA204" t="s">
        <v>4287</v>
      </c>
      <c r="AB204" t="s">
        <v>4288</v>
      </c>
      <c r="AC204" t="s">
        <v>74</v>
      </c>
      <c r="AD204" t="s">
        <v>74</v>
      </c>
      <c r="AE204" t="s">
        <v>74</v>
      </c>
      <c r="AF204" t="s">
        <v>74</v>
      </c>
      <c r="AG204">
        <v>60</v>
      </c>
      <c r="AH204">
        <v>2</v>
      </c>
      <c r="AI204">
        <v>4</v>
      </c>
      <c r="AJ204">
        <v>2</v>
      </c>
      <c r="AK204">
        <v>19</v>
      </c>
      <c r="AL204" t="s">
        <v>4254</v>
      </c>
      <c r="AM204" t="s">
        <v>4255</v>
      </c>
      <c r="AN204" t="s">
        <v>4256</v>
      </c>
      <c r="AO204" t="s">
        <v>4257</v>
      </c>
      <c r="AP204" t="s">
        <v>74</v>
      </c>
      <c r="AQ204" t="s">
        <v>74</v>
      </c>
      <c r="AR204" t="s">
        <v>4258</v>
      </c>
      <c r="AS204" t="s">
        <v>4259</v>
      </c>
      <c r="AT204" t="s">
        <v>2930</v>
      </c>
      <c r="AU204">
        <v>2019</v>
      </c>
      <c r="AV204">
        <v>62</v>
      </c>
      <c r="AW204">
        <v>8</v>
      </c>
      <c r="AX204" t="s">
        <v>74</v>
      </c>
      <c r="AY204" t="s">
        <v>74</v>
      </c>
      <c r="AZ204" t="s">
        <v>74</v>
      </c>
      <c r="BA204" t="s">
        <v>74</v>
      </c>
      <c r="BB204">
        <v>3067</v>
      </c>
      <c r="BC204">
        <v>3077</v>
      </c>
      <c r="BD204" t="s">
        <v>74</v>
      </c>
      <c r="BE204" t="s">
        <v>4289</v>
      </c>
      <c r="BF204" t="str">
        <f>HYPERLINK("http://dx.doi.org/10.6038/cjg2019M0526","http://dx.doi.org/10.6038/cjg2019M0526")</f>
        <v>http://dx.doi.org/10.6038/cjg2019M0526</v>
      </c>
      <c r="BG204" t="s">
        <v>74</v>
      </c>
      <c r="BH204" t="s">
        <v>74</v>
      </c>
      <c r="BI204">
        <v>11</v>
      </c>
      <c r="BJ204" t="s">
        <v>190</v>
      </c>
      <c r="BK204" t="s">
        <v>101</v>
      </c>
      <c r="BL204" t="s">
        <v>190</v>
      </c>
      <c r="BM204" t="s">
        <v>4261</v>
      </c>
      <c r="BN204" t="s">
        <v>74</v>
      </c>
      <c r="BO204" t="s">
        <v>74</v>
      </c>
      <c r="BP204" t="s">
        <v>74</v>
      </c>
      <c r="BQ204" t="s">
        <v>74</v>
      </c>
      <c r="BR204" t="s">
        <v>103</v>
      </c>
      <c r="BS204" t="s">
        <v>4290</v>
      </c>
      <c r="BT204" t="str">
        <f>HYPERLINK("https%3A%2F%2Fwww.webofscience.com%2Fwos%2Fwoscc%2Ffull-record%2FWOS:000480300600023","View Full Record in Web of Science")</f>
        <v>View Full Record in Web of Science</v>
      </c>
    </row>
    <row r="205" spans="1:72" x14ac:dyDescent="0.15">
      <c r="A205" t="s">
        <v>72</v>
      </c>
      <c r="B205" t="s">
        <v>4291</v>
      </c>
      <c r="C205" t="s">
        <v>74</v>
      </c>
      <c r="D205" t="s">
        <v>74</v>
      </c>
      <c r="E205" t="s">
        <v>74</v>
      </c>
      <c r="F205" t="s">
        <v>4292</v>
      </c>
      <c r="G205" t="s">
        <v>74</v>
      </c>
      <c r="H205" t="s">
        <v>74</v>
      </c>
      <c r="I205" t="s">
        <v>4293</v>
      </c>
      <c r="J205" t="s">
        <v>4294</v>
      </c>
      <c r="K205" t="s">
        <v>74</v>
      </c>
      <c r="L205" t="s">
        <v>74</v>
      </c>
      <c r="M205" t="s">
        <v>78</v>
      </c>
      <c r="N205" t="s">
        <v>108</v>
      </c>
      <c r="O205" t="s">
        <v>74</v>
      </c>
      <c r="P205" t="s">
        <v>74</v>
      </c>
      <c r="Q205" t="s">
        <v>74</v>
      </c>
      <c r="R205" t="s">
        <v>74</v>
      </c>
      <c r="S205" t="s">
        <v>74</v>
      </c>
      <c r="T205" t="s">
        <v>4295</v>
      </c>
      <c r="U205" t="s">
        <v>4296</v>
      </c>
      <c r="V205" t="s">
        <v>4297</v>
      </c>
      <c r="W205" t="s">
        <v>4298</v>
      </c>
      <c r="X205" t="s">
        <v>4299</v>
      </c>
      <c r="Y205" t="s">
        <v>4300</v>
      </c>
      <c r="Z205" t="s">
        <v>4301</v>
      </c>
      <c r="AA205" t="s">
        <v>4302</v>
      </c>
      <c r="AB205" t="s">
        <v>4303</v>
      </c>
      <c r="AC205" t="s">
        <v>4304</v>
      </c>
      <c r="AD205" t="s">
        <v>4305</v>
      </c>
      <c r="AE205" t="s">
        <v>4306</v>
      </c>
      <c r="AF205" t="s">
        <v>74</v>
      </c>
      <c r="AG205">
        <v>35</v>
      </c>
      <c r="AH205">
        <v>10</v>
      </c>
      <c r="AI205">
        <v>10</v>
      </c>
      <c r="AJ205">
        <v>1</v>
      </c>
      <c r="AK205">
        <v>8</v>
      </c>
      <c r="AL205" t="s">
        <v>1140</v>
      </c>
      <c r="AM205" t="s">
        <v>1141</v>
      </c>
      <c r="AN205" t="s">
        <v>1142</v>
      </c>
      <c r="AO205" t="s">
        <v>4307</v>
      </c>
      <c r="AP205" t="s">
        <v>4308</v>
      </c>
      <c r="AQ205" t="s">
        <v>74</v>
      </c>
      <c r="AR205" t="s">
        <v>4309</v>
      </c>
      <c r="AS205" t="s">
        <v>4310</v>
      </c>
      <c r="AT205" t="s">
        <v>2930</v>
      </c>
      <c r="AU205">
        <v>2019</v>
      </c>
      <c r="AV205">
        <v>39</v>
      </c>
      <c r="AW205">
        <v>10</v>
      </c>
      <c r="AX205" t="s">
        <v>74</v>
      </c>
      <c r="AY205" t="s">
        <v>74</v>
      </c>
      <c r="AZ205" t="s">
        <v>74</v>
      </c>
      <c r="BA205" t="s">
        <v>74</v>
      </c>
      <c r="BB205">
        <v>4029</v>
      </c>
      <c r="BC205">
        <v>4040</v>
      </c>
      <c r="BD205" t="s">
        <v>74</v>
      </c>
      <c r="BE205" t="s">
        <v>4311</v>
      </c>
      <c r="BF205" t="str">
        <f>HYPERLINK("http://dx.doi.org/10.1002/joc.6057","http://dx.doi.org/10.1002/joc.6057")</f>
        <v>http://dx.doi.org/10.1002/joc.6057</v>
      </c>
      <c r="BG205" t="s">
        <v>74</v>
      </c>
      <c r="BH205" t="s">
        <v>74</v>
      </c>
      <c r="BI205">
        <v>12</v>
      </c>
      <c r="BJ205" t="s">
        <v>259</v>
      </c>
      <c r="BK205" t="s">
        <v>101</v>
      </c>
      <c r="BL205" t="s">
        <v>259</v>
      </c>
      <c r="BM205" t="s">
        <v>4312</v>
      </c>
      <c r="BN205" t="s">
        <v>74</v>
      </c>
      <c r="BO205" t="s">
        <v>74</v>
      </c>
      <c r="BP205" t="s">
        <v>74</v>
      </c>
      <c r="BQ205" t="s">
        <v>74</v>
      </c>
      <c r="BR205" t="s">
        <v>103</v>
      </c>
      <c r="BS205" t="s">
        <v>4313</v>
      </c>
      <c r="BT205" t="str">
        <f>HYPERLINK("https%3A%2F%2Fwww.webofscience.com%2Fwos%2Fwoscc%2Ffull-record%2FWOS:000479031900010","View Full Record in Web of Science")</f>
        <v>View Full Record in Web of Science</v>
      </c>
    </row>
    <row r="206" spans="1:72" x14ac:dyDescent="0.15">
      <c r="A206" t="s">
        <v>72</v>
      </c>
      <c r="B206" t="s">
        <v>4314</v>
      </c>
      <c r="C206" t="s">
        <v>74</v>
      </c>
      <c r="D206" t="s">
        <v>74</v>
      </c>
      <c r="E206" t="s">
        <v>74</v>
      </c>
      <c r="F206" t="s">
        <v>4315</v>
      </c>
      <c r="G206" t="s">
        <v>74</v>
      </c>
      <c r="H206" t="s">
        <v>74</v>
      </c>
      <c r="I206" t="s">
        <v>4316</v>
      </c>
      <c r="J206" t="s">
        <v>3172</v>
      </c>
      <c r="K206" t="s">
        <v>74</v>
      </c>
      <c r="L206" t="s">
        <v>74</v>
      </c>
      <c r="M206" t="s">
        <v>78</v>
      </c>
      <c r="N206" t="s">
        <v>108</v>
      </c>
      <c r="O206" t="s">
        <v>74</v>
      </c>
      <c r="P206" t="s">
        <v>74</v>
      </c>
      <c r="Q206" t="s">
        <v>74</v>
      </c>
      <c r="R206" t="s">
        <v>74</v>
      </c>
      <c r="S206" t="s">
        <v>74</v>
      </c>
      <c r="T206" t="s">
        <v>4317</v>
      </c>
      <c r="U206" t="s">
        <v>4318</v>
      </c>
      <c r="V206" t="s">
        <v>4319</v>
      </c>
      <c r="W206" t="s">
        <v>4320</v>
      </c>
      <c r="X206" t="s">
        <v>4321</v>
      </c>
      <c r="Y206" t="s">
        <v>4322</v>
      </c>
      <c r="Z206" t="s">
        <v>4323</v>
      </c>
      <c r="AA206" t="s">
        <v>4324</v>
      </c>
      <c r="AB206" t="s">
        <v>4325</v>
      </c>
      <c r="AC206" t="s">
        <v>4326</v>
      </c>
      <c r="AD206" t="s">
        <v>4327</v>
      </c>
      <c r="AE206" t="s">
        <v>4328</v>
      </c>
      <c r="AF206" t="s">
        <v>74</v>
      </c>
      <c r="AG206">
        <v>80</v>
      </c>
      <c r="AH206">
        <v>15</v>
      </c>
      <c r="AI206">
        <v>15</v>
      </c>
      <c r="AJ206">
        <v>0</v>
      </c>
      <c r="AK206">
        <v>2</v>
      </c>
      <c r="AL206" t="s">
        <v>182</v>
      </c>
      <c r="AM206" t="s">
        <v>183</v>
      </c>
      <c r="AN206" t="s">
        <v>184</v>
      </c>
      <c r="AO206" t="s">
        <v>3184</v>
      </c>
      <c r="AP206" t="s">
        <v>74</v>
      </c>
      <c r="AQ206" t="s">
        <v>74</v>
      </c>
      <c r="AR206" t="s">
        <v>3185</v>
      </c>
      <c r="AS206" t="s">
        <v>3186</v>
      </c>
      <c r="AT206" t="s">
        <v>2930</v>
      </c>
      <c r="AU206">
        <v>2019</v>
      </c>
      <c r="AV206">
        <v>11</v>
      </c>
      <c r="AW206">
        <v>7</v>
      </c>
      <c r="AX206" t="s">
        <v>74</v>
      </c>
      <c r="AY206" t="s">
        <v>74</v>
      </c>
      <c r="AZ206" t="s">
        <v>74</v>
      </c>
      <c r="BA206" t="s">
        <v>74</v>
      </c>
      <c r="BB206">
        <v>1917</v>
      </c>
      <c r="BC206">
        <v>1939</v>
      </c>
      <c r="BD206" t="s">
        <v>74</v>
      </c>
      <c r="BE206" t="s">
        <v>4329</v>
      </c>
      <c r="BF206" t="str">
        <f>HYPERLINK("http://dx.doi.org/10.1029/2019MS001613","http://dx.doi.org/10.1029/2019MS001613")</f>
        <v>http://dx.doi.org/10.1029/2019MS001613</v>
      </c>
      <c r="BG206" t="s">
        <v>74</v>
      </c>
      <c r="BH206" t="s">
        <v>74</v>
      </c>
      <c r="BI206">
        <v>23</v>
      </c>
      <c r="BJ206" t="s">
        <v>259</v>
      </c>
      <c r="BK206" t="s">
        <v>101</v>
      </c>
      <c r="BL206" t="s">
        <v>259</v>
      </c>
      <c r="BM206" t="s">
        <v>4330</v>
      </c>
      <c r="BN206">
        <v>31598190</v>
      </c>
      <c r="BO206" t="s">
        <v>313</v>
      </c>
      <c r="BP206" t="s">
        <v>74</v>
      </c>
      <c r="BQ206" t="s">
        <v>74</v>
      </c>
      <c r="BR206" t="s">
        <v>103</v>
      </c>
      <c r="BS206" t="s">
        <v>4331</v>
      </c>
      <c r="BT206" t="str">
        <f>HYPERLINK("https%3A%2F%2Fwww.webofscience.com%2Fwos%2Fwoscc%2Ffull-record%2FWOS:000480282800003","View Full Record in Web of Science")</f>
        <v>View Full Record in Web of Science</v>
      </c>
    </row>
    <row r="207" spans="1:72" x14ac:dyDescent="0.15">
      <c r="A207" t="s">
        <v>72</v>
      </c>
      <c r="B207" t="s">
        <v>4332</v>
      </c>
      <c r="C207" t="s">
        <v>74</v>
      </c>
      <c r="D207" t="s">
        <v>74</v>
      </c>
      <c r="E207" t="s">
        <v>74</v>
      </c>
      <c r="F207" t="s">
        <v>4333</v>
      </c>
      <c r="G207" t="s">
        <v>74</v>
      </c>
      <c r="H207" t="s">
        <v>74</v>
      </c>
      <c r="I207" t="s">
        <v>4334</v>
      </c>
      <c r="J207" t="s">
        <v>4335</v>
      </c>
      <c r="K207" t="s">
        <v>74</v>
      </c>
      <c r="L207" t="s">
        <v>74</v>
      </c>
      <c r="M207" t="s">
        <v>78</v>
      </c>
      <c r="N207" t="s">
        <v>108</v>
      </c>
      <c r="O207" t="s">
        <v>74</v>
      </c>
      <c r="P207" t="s">
        <v>74</v>
      </c>
      <c r="Q207" t="s">
        <v>74</v>
      </c>
      <c r="R207" t="s">
        <v>74</v>
      </c>
      <c r="S207" t="s">
        <v>74</v>
      </c>
      <c r="T207" t="s">
        <v>4336</v>
      </c>
      <c r="U207" t="s">
        <v>4337</v>
      </c>
      <c r="V207" t="s">
        <v>4338</v>
      </c>
      <c r="W207" t="s">
        <v>4339</v>
      </c>
      <c r="X207" t="s">
        <v>4340</v>
      </c>
      <c r="Y207" t="s">
        <v>4341</v>
      </c>
      <c r="Z207" t="s">
        <v>4342</v>
      </c>
      <c r="AA207" t="s">
        <v>4343</v>
      </c>
      <c r="AB207" t="s">
        <v>4344</v>
      </c>
      <c r="AC207" t="s">
        <v>4345</v>
      </c>
      <c r="AD207" t="s">
        <v>4346</v>
      </c>
      <c r="AE207" t="s">
        <v>4347</v>
      </c>
      <c r="AF207" t="s">
        <v>74</v>
      </c>
      <c r="AG207">
        <v>94</v>
      </c>
      <c r="AH207">
        <v>11</v>
      </c>
      <c r="AI207">
        <v>13</v>
      </c>
      <c r="AJ207">
        <v>2</v>
      </c>
      <c r="AK207">
        <v>33</v>
      </c>
      <c r="AL207" t="s">
        <v>154</v>
      </c>
      <c r="AM207" t="s">
        <v>155</v>
      </c>
      <c r="AN207" t="s">
        <v>156</v>
      </c>
      <c r="AO207" t="s">
        <v>4348</v>
      </c>
      <c r="AP207" t="s">
        <v>4349</v>
      </c>
      <c r="AQ207" t="s">
        <v>74</v>
      </c>
      <c r="AR207" t="s">
        <v>4350</v>
      </c>
      <c r="AS207" t="s">
        <v>4351</v>
      </c>
      <c r="AT207" t="s">
        <v>2930</v>
      </c>
      <c r="AU207">
        <v>2019</v>
      </c>
      <c r="AV207">
        <v>31</v>
      </c>
      <c r="AW207">
        <v>4</v>
      </c>
      <c r="AX207" t="s">
        <v>74</v>
      </c>
      <c r="AY207" t="s">
        <v>74</v>
      </c>
      <c r="AZ207" t="s">
        <v>74</v>
      </c>
      <c r="BA207" t="s">
        <v>74</v>
      </c>
      <c r="BB207">
        <v>2629</v>
      </c>
      <c r="BC207">
        <v>2642</v>
      </c>
      <c r="BD207" t="s">
        <v>74</v>
      </c>
      <c r="BE207" t="s">
        <v>4352</v>
      </c>
      <c r="BF207" t="str">
        <f>HYPERLINK("http://dx.doi.org/10.1007/s10811-019-01777-x","http://dx.doi.org/10.1007/s10811-019-01777-x")</f>
        <v>http://dx.doi.org/10.1007/s10811-019-01777-x</v>
      </c>
      <c r="BG207" t="s">
        <v>74</v>
      </c>
      <c r="BH207" t="s">
        <v>74</v>
      </c>
      <c r="BI207">
        <v>14</v>
      </c>
      <c r="BJ207" t="s">
        <v>4353</v>
      </c>
      <c r="BK207" t="s">
        <v>101</v>
      </c>
      <c r="BL207" t="s">
        <v>4353</v>
      </c>
      <c r="BM207" t="s">
        <v>4354</v>
      </c>
      <c r="BN207" t="s">
        <v>74</v>
      </c>
      <c r="BO207" t="s">
        <v>261</v>
      </c>
      <c r="BP207" t="s">
        <v>74</v>
      </c>
      <c r="BQ207" t="s">
        <v>74</v>
      </c>
      <c r="BR207" t="s">
        <v>103</v>
      </c>
      <c r="BS207" t="s">
        <v>4355</v>
      </c>
      <c r="BT207" t="str">
        <f>HYPERLINK("https%3A%2F%2Fwww.webofscience.com%2Fwos%2Fwoscc%2Ffull-record%2FWOS:000479057200042","View Full Record in Web of Science")</f>
        <v>View Full Record in Web of Science</v>
      </c>
    </row>
    <row r="208" spans="1:72" x14ac:dyDescent="0.15">
      <c r="A208" t="s">
        <v>72</v>
      </c>
      <c r="B208" t="s">
        <v>4356</v>
      </c>
      <c r="C208" t="s">
        <v>74</v>
      </c>
      <c r="D208" t="s">
        <v>74</v>
      </c>
      <c r="E208" t="s">
        <v>74</v>
      </c>
      <c r="F208" t="s">
        <v>4357</v>
      </c>
      <c r="G208" t="s">
        <v>74</v>
      </c>
      <c r="H208" t="s">
        <v>74</v>
      </c>
      <c r="I208" t="s">
        <v>4358</v>
      </c>
      <c r="J208" t="s">
        <v>4359</v>
      </c>
      <c r="K208" t="s">
        <v>74</v>
      </c>
      <c r="L208" t="s">
        <v>74</v>
      </c>
      <c r="M208" t="s">
        <v>78</v>
      </c>
      <c r="N208" t="s">
        <v>108</v>
      </c>
      <c r="O208" t="s">
        <v>74</v>
      </c>
      <c r="P208" t="s">
        <v>74</v>
      </c>
      <c r="Q208" t="s">
        <v>74</v>
      </c>
      <c r="R208" t="s">
        <v>74</v>
      </c>
      <c r="S208" t="s">
        <v>74</v>
      </c>
      <c r="T208" t="s">
        <v>4360</v>
      </c>
      <c r="U208" t="s">
        <v>4361</v>
      </c>
      <c r="V208" t="s">
        <v>4362</v>
      </c>
      <c r="W208" t="s">
        <v>4363</v>
      </c>
      <c r="X208" t="s">
        <v>4364</v>
      </c>
      <c r="Y208" t="s">
        <v>4365</v>
      </c>
      <c r="Z208" t="s">
        <v>4366</v>
      </c>
      <c r="AA208" t="s">
        <v>4367</v>
      </c>
      <c r="AB208" t="s">
        <v>4368</v>
      </c>
      <c r="AC208" t="s">
        <v>4369</v>
      </c>
      <c r="AD208" t="s">
        <v>4370</v>
      </c>
      <c r="AE208" t="s">
        <v>4371</v>
      </c>
      <c r="AF208" t="s">
        <v>74</v>
      </c>
      <c r="AG208">
        <v>46</v>
      </c>
      <c r="AH208">
        <v>11</v>
      </c>
      <c r="AI208">
        <v>14</v>
      </c>
      <c r="AJ208">
        <v>1</v>
      </c>
      <c r="AK208">
        <v>17</v>
      </c>
      <c r="AL208" t="s">
        <v>251</v>
      </c>
      <c r="AM208" t="s">
        <v>252</v>
      </c>
      <c r="AN208" t="s">
        <v>4372</v>
      </c>
      <c r="AO208" t="s">
        <v>4373</v>
      </c>
      <c r="AP208" t="s">
        <v>4374</v>
      </c>
      <c r="AQ208" t="s">
        <v>74</v>
      </c>
      <c r="AR208" t="s">
        <v>4375</v>
      </c>
      <c r="AS208" t="s">
        <v>4376</v>
      </c>
      <c r="AT208" t="s">
        <v>2930</v>
      </c>
      <c r="AU208">
        <v>2019</v>
      </c>
      <c r="AV208">
        <v>20</v>
      </c>
      <c r="AW208">
        <v>8</v>
      </c>
      <c r="AX208" t="s">
        <v>74</v>
      </c>
      <c r="AY208" t="s">
        <v>74</v>
      </c>
      <c r="AZ208" t="s">
        <v>74</v>
      </c>
      <c r="BA208" t="s">
        <v>74</v>
      </c>
      <c r="BB208">
        <v>1707</v>
      </c>
      <c r="BC208">
        <v>1720</v>
      </c>
      <c r="BD208" t="s">
        <v>74</v>
      </c>
      <c r="BE208" t="s">
        <v>4377</v>
      </c>
      <c r="BF208" t="str">
        <f>HYPERLINK("http://dx.doi.org/10.1175/JHM-D-19-0045.1","http://dx.doi.org/10.1175/JHM-D-19-0045.1")</f>
        <v>http://dx.doi.org/10.1175/JHM-D-19-0045.1</v>
      </c>
      <c r="BG208" t="s">
        <v>74</v>
      </c>
      <c r="BH208" t="s">
        <v>74</v>
      </c>
      <c r="BI208">
        <v>14</v>
      </c>
      <c r="BJ208" t="s">
        <v>259</v>
      </c>
      <c r="BK208" t="s">
        <v>101</v>
      </c>
      <c r="BL208" t="s">
        <v>259</v>
      </c>
      <c r="BM208" t="s">
        <v>4378</v>
      </c>
      <c r="BN208" t="s">
        <v>74</v>
      </c>
      <c r="BO208" t="s">
        <v>1308</v>
      </c>
      <c r="BP208" t="s">
        <v>74</v>
      </c>
      <c r="BQ208" t="s">
        <v>74</v>
      </c>
      <c r="BR208" t="s">
        <v>103</v>
      </c>
      <c r="BS208" t="s">
        <v>4379</v>
      </c>
      <c r="BT208" t="str">
        <f>HYPERLINK("https%3A%2F%2Fwww.webofscience.com%2Fwos%2Fwoscc%2Ffull-record%2FWOS:000480583100001","View Full Record in Web of Science")</f>
        <v>View Full Record in Web of Science</v>
      </c>
    </row>
    <row r="209" spans="1:72" x14ac:dyDescent="0.15">
      <c r="A209" t="s">
        <v>72</v>
      </c>
      <c r="B209" t="s">
        <v>4380</v>
      </c>
      <c r="C209" t="s">
        <v>74</v>
      </c>
      <c r="D209" t="s">
        <v>74</v>
      </c>
      <c r="E209" t="s">
        <v>74</v>
      </c>
      <c r="F209" t="s">
        <v>4381</v>
      </c>
      <c r="G209" t="s">
        <v>74</v>
      </c>
      <c r="H209" t="s">
        <v>74</v>
      </c>
      <c r="I209" t="s">
        <v>4382</v>
      </c>
      <c r="J209" t="s">
        <v>4383</v>
      </c>
      <c r="K209" t="s">
        <v>74</v>
      </c>
      <c r="L209" t="s">
        <v>74</v>
      </c>
      <c r="M209" t="s">
        <v>78</v>
      </c>
      <c r="N209" t="s">
        <v>108</v>
      </c>
      <c r="O209" t="s">
        <v>74</v>
      </c>
      <c r="P209" t="s">
        <v>74</v>
      </c>
      <c r="Q209" t="s">
        <v>74</v>
      </c>
      <c r="R209" t="s">
        <v>74</v>
      </c>
      <c r="S209" t="s">
        <v>74</v>
      </c>
      <c r="T209" t="s">
        <v>4384</v>
      </c>
      <c r="U209" t="s">
        <v>4385</v>
      </c>
      <c r="V209" t="s">
        <v>4386</v>
      </c>
      <c r="W209" t="s">
        <v>4387</v>
      </c>
      <c r="X209" t="s">
        <v>4388</v>
      </c>
      <c r="Y209" t="s">
        <v>4389</v>
      </c>
      <c r="Z209" t="s">
        <v>4390</v>
      </c>
      <c r="AA209" t="s">
        <v>4391</v>
      </c>
      <c r="AB209" t="s">
        <v>4392</v>
      </c>
      <c r="AC209" t="s">
        <v>4393</v>
      </c>
      <c r="AD209" t="s">
        <v>4394</v>
      </c>
      <c r="AE209" t="s">
        <v>4395</v>
      </c>
      <c r="AF209" t="s">
        <v>74</v>
      </c>
      <c r="AG209">
        <v>65</v>
      </c>
      <c r="AH209">
        <v>4</v>
      </c>
      <c r="AI209">
        <v>4</v>
      </c>
      <c r="AJ209">
        <v>2</v>
      </c>
      <c r="AK209">
        <v>5</v>
      </c>
      <c r="AL209" t="s">
        <v>2396</v>
      </c>
      <c r="AM209" t="s">
        <v>2397</v>
      </c>
      <c r="AN209" t="s">
        <v>2398</v>
      </c>
      <c r="AO209" t="s">
        <v>4396</v>
      </c>
      <c r="AP209" t="s">
        <v>4397</v>
      </c>
      <c r="AQ209" t="s">
        <v>74</v>
      </c>
      <c r="AR209" t="s">
        <v>4398</v>
      </c>
      <c r="AS209" t="s">
        <v>4399</v>
      </c>
      <c r="AT209" t="s">
        <v>2930</v>
      </c>
      <c r="AU209">
        <v>2019</v>
      </c>
      <c r="AV209">
        <v>49</v>
      </c>
      <c r="AW209">
        <v>4</v>
      </c>
      <c r="AX209" t="s">
        <v>74</v>
      </c>
      <c r="AY209" t="s">
        <v>74</v>
      </c>
      <c r="AZ209" t="s">
        <v>74</v>
      </c>
      <c r="BA209" t="s">
        <v>74</v>
      </c>
      <c r="BB209">
        <v>1987</v>
      </c>
      <c r="BC209">
        <v>1996</v>
      </c>
      <c r="BD209" t="s">
        <v>74</v>
      </c>
      <c r="BE209" t="s">
        <v>4400</v>
      </c>
      <c r="BF209" t="str">
        <f>HYPERLINK("http://dx.doi.org/10.1007/s12526-019-00959-7","http://dx.doi.org/10.1007/s12526-019-00959-7")</f>
        <v>http://dx.doi.org/10.1007/s12526-019-00959-7</v>
      </c>
      <c r="BG209" t="s">
        <v>74</v>
      </c>
      <c r="BH209" t="s">
        <v>74</v>
      </c>
      <c r="BI209">
        <v>10</v>
      </c>
      <c r="BJ209" t="s">
        <v>4401</v>
      </c>
      <c r="BK209" t="s">
        <v>101</v>
      </c>
      <c r="BL209" t="s">
        <v>4402</v>
      </c>
      <c r="BM209" t="s">
        <v>4403</v>
      </c>
      <c r="BN209" t="s">
        <v>74</v>
      </c>
      <c r="BO209" t="s">
        <v>74</v>
      </c>
      <c r="BP209" t="s">
        <v>74</v>
      </c>
      <c r="BQ209" t="s">
        <v>74</v>
      </c>
      <c r="BR209" t="s">
        <v>103</v>
      </c>
      <c r="BS209" t="s">
        <v>4404</v>
      </c>
      <c r="BT209" t="str">
        <f>HYPERLINK("https%3A%2F%2Fwww.webofscience.com%2Fwos%2Fwoscc%2Ffull-record%2FWOS:000478774000026","View Full Record in Web of Science")</f>
        <v>View Full Record in Web of Science</v>
      </c>
    </row>
    <row r="210" spans="1:72" x14ac:dyDescent="0.15">
      <c r="A210" t="s">
        <v>72</v>
      </c>
      <c r="B210" t="s">
        <v>4405</v>
      </c>
      <c r="C210" t="s">
        <v>74</v>
      </c>
      <c r="D210" t="s">
        <v>74</v>
      </c>
      <c r="E210" t="s">
        <v>74</v>
      </c>
      <c r="F210" t="s">
        <v>4406</v>
      </c>
      <c r="G210" t="s">
        <v>74</v>
      </c>
      <c r="H210" t="s">
        <v>74</v>
      </c>
      <c r="I210" t="s">
        <v>4407</v>
      </c>
      <c r="J210" t="s">
        <v>4408</v>
      </c>
      <c r="K210" t="s">
        <v>74</v>
      </c>
      <c r="L210" t="s">
        <v>74</v>
      </c>
      <c r="M210" t="s">
        <v>78</v>
      </c>
      <c r="N210" t="s">
        <v>108</v>
      </c>
      <c r="O210" t="s">
        <v>74</v>
      </c>
      <c r="P210" t="s">
        <v>74</v>
      </c>
      <c r="Q210" t="s">
        <v>74</v>
      </c>
      <c r="R210" t="s">
        <v>74</v>
      </c>
      <c r="S210" t="s">
        <v>74</v>
      </c>
      <c r="T210" t="s">
        <v>74</v>
      </c>
      <c r="U210" t="s">
        <v>4409</v>
      </c>
      <c r="V210" t="s">
        <v>4410</v>
      </c>
      <c r="W210" t="s">
        <v>4411</v>
      </c>
      <c r="X210" t="s">
        <v>4412</v>
      </c>
      <c r="Y210" t="s">
        <v>4413</v>
      </c>
      <c r="Z210" t="s">
        <v>4414</v>
      </c>
      <c r="AA210" t="s">
        <v>4415</v>
      </c>
      <c r="AB210" t="s">
        <v>4416</v>
      </c>
      <c r="AC210" t="s">
        <v>4417</v>
      </c>
      <c r="AD210" t="s">
        <v>4418</v>
      </c>
      <c r="AE210" t="s">
        <v>4419</v>
      </c>
      <c r="AF210" t="s">
        <v>74</v>
      </c>
      <c r="AG210">
        <v>36</v>
      </c>
      <c r="AH210">
        <v>24</v>
      </c>
      <c r="AI210">
        <v>25</v>
      </c>
      <c r="AJ210">
        <v>0</v>
      </c>
      <c r="AK210">
        <v>7</v>
      </c>
      <c r="AL210" t="s">
        <v>998</v>
      </c>
      <c r="AM210" t="s">
        <v>657</v>
      </c>
      <c r="AN210" t="s">
        <v>999</v>
      </c>
      <c r="AO210" t="s">
        <v>4420</v>
      </c>
      <c r="AP210" t="s">
        <v>74</v>
      </c>
      <c r="AQ210" t="s">
        <v>74</v>
      </c>
      <c r="AR210" t="s">
        <v>4421</v>
      </c>
      <c r="AS210" t="s">
        <v>4422</v>
      </c>
      <c r="AT210" t="s">
        <v>2930</v>
      </c>
      <c r="AU210">
        <v>2019</v>
      </c>
      <c r="AV210">
        <v>3</v>
      </c>
      <c r="AW210">
        <v>8</v>
      </c>
      <c r="AX210" t="s">
        <v>74</v>
      </c>
      <c r="AY210" t="s">
        <v>74</v>
      </c>
      <c r="AZ210" t="s">
        <v>74</v>
      </c>
      <c r="BA210" t="s">
        <v>74</v>
      </c>
      <c r="BB210">
        <v>725</v>
      </c>
      <c r="BC210">
        <v>729</v>
      </c>
      <c r="BD210" t="s">
        <v>74</v>
      </c>
      <c r="BE210" t="s">
        <v>4423</v>
      </c>
      <c r="BF210" t="str">
        <f>HYPERLINK("http://dx.doi.org/10.1038/s41550-019-0788-x","http://dx.doi.org/10.1038/s41550-019-0788-x")</f>
        <v>http://dx.doi.org/10.1038/s41550-019-0788-x</v>
      </c>
      <c r="BG210" t="s">
        <v>74</v>
      </c>
      <c r="BH210" t="s">
        <v>74</v>
      </c>
      <c r="BI210">
        <v>5</v>
      </c>
      <c r="BJ210" t="s">
        <v>1696</v>
      </c>
      <c r="BK210" t="s">
        <v>101</v>
      </c>
      <c r="BL210" t="s">
        <v>1696</v>
      </c>
      <c r="BM210" t="s">
        <v>4424</v>
      </c>
      <c r="BN210" t="s">
        <v>74</v>
      </c>
      <c r="BO210" t="s">
        <v>74</v>
      </c>
      <c r="BP210" t="s">
        <v>74</v>
      </c>
      <c r="BQ210" t="s">
        <v>74</v>
      </c>
      <c r="BR210" t="s">
        <v>103</v>
      </c>
      <c r="BS210" t="s">
        <v>4425</v>
      </c>
      <c r="BT210" t="str">
        <f>HYPERLINK("https%3A%2F%2Fwww.webofscience.com%2Fwos%2Fwoscc%2Ffull-record%2FWOS:000479146100015","View Full Record in Web of Science")</f>
        <v>View Full Record in Web of Science</v>
      </c>
    </row>
    <row r="211" spans="1:72" x14ac:dyDescent="0.15">
      <c r="A211" t="s">
        <v>72</v>
      </c>
      <c r="B211" t="s">
        <v>4426</v>
      </c>
      <c r="C211" t="s">
        <v>74</v>
      </c>
      <c r="D211" t="s">
        <v>74</v>
      </c>
      <c r="E211" t="s">
        <v>74</v>
      </c>
      <c r="F211" t="s">
        <v>4427</v>
      </c>
      <c r="G211" t="s">
        <v>74</v>
      </c>
      <c r="H211" t="s">
        <v>74</v>
      </c>
      <c r="I211" t="s">
        <v>4428</v>
      </c>
      <c r="J211" t="s">
        <v>4429</v>
      </c>
      <c r="K211" t="s">
        <v>74</v>
      </c>
      <c r="L211" t="s">
        <v>74</v>
      </c>
      <c r="M211" t="s">
        <v>78</v>
      </c>
      <c r="N211" t="s">
        <v>108</v>
      </c>
      <c r="O211" t="s">
        <v>74</v>
      </c>
      <c r="P211" t="s">
        <v>74</v>
      </c>
      <c r="Q211" t="s">
        <v>74</v>
      </c>
      <c r="R211" t="s">
        <v>74</v>
      </c>
      <c r="S211" t="s">
        <v>74</v>
      </c>
      <c r="T211" t="s">
        <v>74</v>
      </c>
      <c r="U211" t="s">
        <v>4430</v>
      </c>
      <c r="V211" t="s">
        <v>4431</v>
      </c>
      <c r="W211" t="s">
        <v>4432</v>
      </c>
      <c r="X211" t="s">
        <v>4433</v>
      </c>
      <c r="Y211" t="s">
        <v>4434</v>
      </c>
      <c r="Z211" t="s">
        <v>4435</v>
      </c>
      <c r="AA211" t="s">
        <v>74</v>
      </c>
      <c r="AB211" t="s">
        <v>4436</v>
      </c>
      <c r="AC211" t="s">
        <v>4437</v>
      </c>
      <c r="AD211" t="s">
        <v>4438</v>
      </c>
      <c r="AE211" t="s">
        <v>4439</v>
      </c>
      <c r="AF211" t="s">
        <v>74</v>
      </c>
      <c r="AG211">
        <v>41</v>
      </c>
      <c r="AH211">
        <v>3</v>
      </c>
      <c r="AI211">
        <v>3</v>
      </c>
      <c r="AJ211">
        <v>0</v>
      </c>
      <c r="AK211">
        <v>3</v>
      </c>
      <c r="AL211" t="s">
        <v>1140</v>
      </c>
      <c r="AM211" t="s">
        <v>1141</v>
      </c>
      <c r="AN211" t="s">
        <v>1142</v>
      </c>
      <c r="AO211" t="s">
        <v>4440</v>
      </c>
      <c r="AP211" t="s">
        <v>4441</v>
      </c>
      <c r="AQ211" t="s">
        <v>74</v>
      </c>
      <c r="AR211" t="s">
        <v>4429</v>
      </c>
      <c r="AS211" t="s">
        <v>4442</v>
      </c>
      <c r="AT211" t="s">
        <v>2930</v>
      </c>
      <c r="AU211">
        <v>2019</v>
      </c>
      <c r="AV211">
        <v>74</v>
      </c>
      <c r="AW211">
        <v>8</v>
      </c>
      <c r="AX211" t="s">
        <v>74</v>
      </c>
      <c r="AY211" t="s">
        <v>74</v>
      </c>
      <c r="AZ211" t="s">
        <v>74</v>
      </c>
      <c r="BA211" t="s">
        <v>74</v>
      </c>
      <c r="BB211">
        <v>278</v>
      </c>
      <c r="BC211">
        <v>285</v>
      </c>
      <c r="BD211" t="s">
        <v>74</v>
      </c>
      <c r="BE211" t="s">
        <v>4443</v>
      </c>
      <c r="BF211" t="str">
        <f>HYPERLINK("http://dx.doi.org/10.1002/wea.3385","http://dx.doi.org/10.1002/wea.3385")</f>
        <v>http://dx.doi.org/10.1002/wea.3385</v>
      </c>
      <c r="BG211" t="s">
        <v>74</v>
      </c>
      <c r="BH211" t="s">
        <v>74</v>
      </c>
      <c r="BI211">
        <v>8</v>
      </c>
      <c r="BJ211" t="s">
        <v>259</v>
      </c>
      <c r="BK211" t="s">
        <v>101</v>
      </c>
      <c r="BL211" t="s">
        <v>259</v>
      </c>
      <c r="BM211" t="s">
        <v>4444</v>
      </c>
      <c r="BN211" t="s">
        <v>74</v>
      </c>
      <c r="BO211" t="s">
        <v>1465</v>
      </c>
      <c r="BP211" t="s">
        <v>74</v>
      </c>
      <c r="BQ211" t="s">
        <v>74</v>
      </c>
      <c r="BR211" t="s">
        <v>103</v>
      </c>
      <c r="BS211" t="s">
        <v>4445</v>
      </c>
      <c r="BT211" t="str">
        <f>HYPERLINK("https%3A%2F%2Fwww.webofscience.com%2Fwos%2Fwoscc%2Ffull-record%2FWOS:000479258600007","View Full Record in Web of Science")</f>
        <v>View Full Record in Web of Science</v>
      </c>
    </row>
    <row r="212" spans="1:72" x14ac:dyDescent="0.15">
      <c r="A212" t="s">
        <v>72</v>
      </c>
      <c r="B212" t="s">
        <v>4446</v>
      </c>
      <c r="C212" t="s">
        <v>74</v>
      </c>
      <c r="D212" t="s">
        <v>74</v>
      </c>
      <c r="E212" t="s">
        <v>74</v>
      </c>
      <c r="F212" t="s">
        <v>4447</v>
      </c>
      <c r="G212" t="s">
        <v>74</v>
      </c>
      <c r="H212" t="s">
        <v>74</v>
      </c>
      <c r="I212" t="s">
        <v>4448</v>
      </c>
      <c r="J212" t="s">
        <v>4449</v>
      </c>
      <c r="K212" t="s">
        <v>74</v>
      </c>
      <c r="L212" t="s">
        <v>74</v>
      </c>
      <c r="M212" t="s">
        <v>78</v>
      </c>
      <c r="N212" t="s">
        <v>108</v>
      </c>
      <c r="O212" t="s">
        <v>74</v>
      </c>
      <c r="P212" t="s">
        <v>74</v>
      </c>
      <c r="Q212" t="s">
        <v>74</v>
      </c>
      <c r="R212" t="s">
        <v>74</v>
      </c>
      <c r="S212" t="s">
        <v>74</v>
      </c>
      <c r="T212" t="s">
        <v>4450</v>
      </c>
      <c r="U212" t="s">
        <v>4451</v>
      </c>
      <c r="V212" t="s">
        <v>4452</v>
      </c>
      <c r="W212" t="s">
        <v>4453</v>
      </c>
      <c r="X212" t="s">
        <v>4454</v>
      </c>
      <c r="Y212" t="s">
        <v>4455</v>
      </c>
      <c r="Z212" t="s">
        <v>4456</v>
      </c>
      <c r="AA212" t="s">
        <v>74</v>
      </c>
      <c r="AB212" t="s">
        <v>4457</v>
      </c>
      <c r="AC212" t="s">
        <v>4458</v>
      </c>
      <c r="AD212" t="s">
        <v>4459</v>
      </c>
      <c r="AE212" t="s">
        <v>4460</v>
      </c>
      <c r="AF212" t="s">
        <v>74</v>
      </c>
      <c r="AG212">
        <v>52</v>
      </c>
      <c r="AH212">
        <v>9</v>
      </c>
      <c r="AI212">
        <v>10</v>
      </c>
      <c r="AJ212">
        <v>0</v>
      </c>
      <c r="AK212">
        <v>9</v>
      </c>
      <c r="AL212" t="s">
        <v>92</v>
      </c>
      <c r="AM212" t="s">
        <v>93</v>
      </c>
      <c r="AN212" t="s">
        <v>94</v>
      </c>
      <c r="AO212" t="s">
        <v>4461</v>
      </c>
      <c r="AP212" t="s">
        <v>74</v>
      </c>
      <c r="AQ212" t="s">
        <v>74</v>
      </c>
      <c r="AR212" t="s">
        <v>4462</v>
      </c>
      <c r="AS212" t="s">
        <v>4463</v>
      </c>
      <c r="AT212" t="s">
        <v>2930</v>
      </c>
      <c r="AU212">
        <v>2019</v>
      </c>
      <c r="AV212">
        <v>107</v>
      </c>
      <c r="AW212" t="s">
        <v>74</v>
      </c>
      <c r="AX212" t="s">
        <v>74</v>
      </c>
      <c r="AY212" t="s">
        <v>74</v>
      </c>
      <c r="AZ212" t="s">
        <v>74</v>
      </c>
      <c r="BA212" t="s">
        <v>74</v>
      </c>
      <c r="BB212">
        <v>91</v>
      </c>
      <c r="BC212">
        <v>104</v>
      </c>
      <c r="BD212" t="s">
        <v>74</v>
      </c>
      <c r="BE212" t="s">
        <v>4464</v>
      </c>
      <c r="BF212" t="str">
        <f>HYPERLINK("http://dx.doi.org/10.1016/j.apgeochem.2019.05.006","http://dx.doi.org/10.1016/j.apgeochem.2019.05.006")</f>
        <v>http://dx.doi.org/10.1016/j.apgeochem.2019.05.006</v>
      </c>
      <c r="BG212" t="s">
        <v>74</v>
      </c>
      <c r="BH212" t="s">
        <v>74</v>
      </c>
      <c r="BI212">
        <v>14</v>
      </c>
      <c r="BJ212" t="s">
        <v>190</v>
      </c>
      <c r="BK212" t="s">
        <v>101</v>
      </c>
      <c r="BL212" t="s">
        <v>190</v>
      </c>
      <c r="BM212" t="s">
        <v>4465</v>
      </c>
      <c r="BN212" t="s">
        <v>74</v>
      </c>
      <c r="BO212" t="s">
        <v>537</v>
      </c>
      <c r="BP212" t="s">
        <v>74</v>
      </c>
      <c r="BQ212" t="s">
        <v>74</v>
      </c>
      <c r="BR212" t="s">
        <v>103</v>
      </c>
      <c r="BS212" t="s">
        <v>4466</v>
      </c>
      <c r="BT212" t="str">
        <f>HYPERLINK("https%3A%2F%2Fwww.webofscience.com%2Fwos%2Fwoscc%2Ffull-record%2FWOS:000476985500008","View Full Record in Web of Science")</f>
        <v>View Full Record in Web of Science</v>
      </c>
    </row>
    <row r="213" spans="1:72" x14ac:dyDescent="0.15">
      <c r="A213" t="s">
        <v>72</v>
      </c>
      <c r="B213" t="s">
        <v>4467</v>
      </c>
      <c r="C213" t="s">
        <v>74</v>
      </c>
      <c r="D213" t="s">
        <v>74</v>
      </c>
      <c r="E213" t="s">
        <v>74</v>
      </c>
      <c r="F213" t="s">
        <v>4468</v>
      </c>
      <c r="G213" t="s">
        <v>74</v>
      </c>
      <c r="H213" t="s">
        <v>74</v>
      </c>
      <c r="I213" t="s">
        <v>4469</v>
      </c>
      <c r="J213" t="s">
        <v>4470</v>
      </c>
      <c r="K213" t="s">
        <v>74</v>
      </c>
      <c r="L213" t="s">
        <v>74</v>
      </c>
      <c r="M213" t="s">
        <v>78</v>
      </c>
      <c r="N213" t="s">
        <v>108</v>
      </c>
      <c r="O213" t="s">
        <v>74</v>
      </c>
      <c r="P213" t="s">
        <v>74</v>
      </c>
      <c r="Q213" t="s">
        <v>74</v>
      </c>
      <c r="R213" t="s">
        <v>74</v>
      </c>
      <c r="S213" t="s">
        <v>74</v>
      </c>
      <c r="T213" t="s">
        <v>74</v>
      </c>
      <c r="U213" t="s">
        <v>4471</v>
      </c>
      <c r="V213" t="s">
        <v>4472</v>
      </c>
      <c r="W213" t="s">
        <v>4473</v>
      </c>
      <c r="X213" t="s">
        <v>4474</v>
      </c>
      <c r="Y213" t="s">
        <v>4475</v>
      </c>
      <c r="Z213" t="s">
        <v>4476</v>
      </c>
      <c r="AA213" t="s">
        <v>4477</v>
      </c>
      <c r="AB213" t="s">
        <v>4478</v>
      </c>
      <c r="AC213" t="s">
        <v>4479</v>
      </c>
      <c r="AD213" t="s">
        <v>4480</v>
      </c>
      <c r="AE213" t="s">
        <v>4481</v>
      </c>
      <c r="AF213" t="s">
        <v>74</v>
      </c>
      <c r="AG213">
        <v>49</v>
      </c>
      <c r="AH213">
        <v>45</v>
      </c>
      <c r="AI213">
        <v>48</v>
      </c>
      <c r="AJ213">
        <v>5</v>
      </c>
      <c r="AK213">
        <v>77</v>
      </c>
      <c r="AL213" t="s">
        <v>998</v>
      </c>
      <c r="AM213" t="s">
        <v>657</v>
      </c>
      <c r="AN213" t="s">
        <v>999</v>
      </c>
      <c r="AO213" t="s">
        <v>4482</v>
      </c>
      <c r="AP213" t="s">
        <v>4483</v>
      </c>
      <c r="AQ213" t="s">
        <v>74</v>
      </c>
      <c r="AR213" t="s">
        <v>4484</v>
      </c>
      <c r="AS213" t="s">
        <v>4485</v>
      </c>
      <c r="AT213" t="s">
        <v>2930</v>
      </c>
      <c r="AU213">
        <v>2019</v>
      </c>
      <c r="AV213">
        <v>9</v>
      </c>
      <c r="AW213">
        <v>8</v>
      </c>
      <c r="AX213" t="s">
        <v>74</v>
      </c>
      <c r="AY213" t="s">
        <v>74</v>
      </c>
      <c r="AZ213" t="s">
        <v>74</v>
      </c>
      <c r="BA213" t="s">
        <v>74</v>
      </c>
      <c r="BB213">
        <v>581</v>
      </c>
      <c r="BC213">
        <v>586</v>
      </c>
      <c r="BD213" t="s">
        <v>74</v>
      </c>
      <c r="BE213" t="s">
        <v>4486</v>
      </c>
      <c r="BF213" t="str">
        <f>HYPERLINK("http://dx.doi.org/10.1038/s41558-019-0526-5","http://dx.doi.org/10.1038/s41558-019-0526-5")</f>
        <v>http://dx.doi.org/10.1038/s41558-019-0526-5</v>
      </c>
      <c r="BG213" t="s">
        <v>74</v>
      </c>
      <c r="BH213" t="s">
        <v>74</v>
      </c>
      <c r="BI213">
        <v>6</v>
      </c>
      <c r="BJ213" t="s">
        <v>4487</v>
      </c>
      <c r="BK213" t="s">
        <v>3718</v>
      </c>
      <c r="BL213" t="s">
        <v>2268</v>
      </c>
      <c r="BM213" t="s">
        <v>4488</v>
      </c>
      <c r="BN213" t="s">
        <v>74</v>
      </c>
      <c r="BO213" t="s">
        <v>74</v>
      </c>
      <c r="BP213" t="s">
        <v>74</v>
      </c>
      <c r="BQ213" t="s">
        <v>74</v>
      </c>
      <c r="BR213" t="s">
        <v>103</v>
      </c>
      <c r="BS213" t="s">
        <v>4489</v>
      </c>
      <c r="BT213" t="str">
        <f>HYPERLINK("https%3A%2F%2Fwww.webofscience.com%2Fwos%2Fwoscc%2Ffull-record%2FWOS:000477738300011","View Full Record in Web of Science")</f>
        <v>View Full Record in Web of Science</v>
      </c>
    </row>
    <row r="214" spans="1:72" x14ac:dyDescent="0.15">
      <c r="A214" t="s">
        <v>72</v>
      </c>
      <c r="B214" t="s">
        <v>4490</v>
      </c>
      <c r="C214" t="s">
        <v>74</v>
      </c>
      <c r="D214" t="s">
        <v>74</v>
      </c>
      <c r="E214" t="s">
        <v>74</v>
      </c>
      <c r="F214" t="s">
        <v>4491</v>
      </c>
      <c r="G214" t="s">
        <v>74</v>
      </c>
      <c r="H214" t="s">
        <v>74</v>
      </c>
      <c r="I214" t="s">
        <v>4492</v>
      </c>
      <c r="J214" t="s">
        <v>4493</v>
      </c>
      <c r="K214" t="s">
        <v>74</v>
      </c>
      <c r="L214" t="s">
        <v>74</v>
      </c>
      <c r="M214" t="s">
        <v>78</v>
      </c>
      <c r="N214" t="s">
        <v>108</v>
      </c>
      <c r="O214" t="s">
        <v>74</v>
      </c>
      <c r="P214" t="s">
        <v>74</v>
      </c>
      <c r="Q214" t="s">
        <v>74</v>
      </c>
      <c r="R214" t="s">
        <v>74</v>
      </c>
      <c r="S214" t="s">
        <v>74</v>
      </c>
      <c r="T214" t="s">
        <v>4494</v>
      </c>
      <c r="U214" t="s">
        <v>4495</v>
      </c>
      <c r="V214" t="s">
        <v>4496</v>
      </c>
      <c r="W214" t="s">
        <v>4497</v>
      </c>
      <c r="X214" t="s">
        <v>4498</v>
      </c>
      <c r="Y214" t="s">
        <v>4499</v>
      </c>
      <c r="Z214" t="s">
        <v>4500</v>
      </c>
      <c r="AA214" t="s">
        <v>74</v>
      </c>
      <c r="AB214" t="s">
        <v>74</v>
      </c>
      <c r="AC214" t="s">
        <v>4501</v>
      </c>
      <c r="AD214" t="s">
        <v>4502</v>
      </c>
      <c r="AE214" t="s">
        <v>4503</v>
      </c>
      <c r="AF214" t="s">
        <v>74</v>
      </c>
      <c r="AG214">
        <v>56</v>
      </c>
      <c r="AH214">
        <v>8</v>
      </c>
      <c r="AI214">
        <v>11</v>
      </c>
      <c r="AJ214">
        <v>1</v>
      </c>
      <c r="AK214">
        <v>28</v>
      </c>
      <c r="AL214" t="s">
        <v>154</v>
      </c>
      <c r="AM214" t="s">
        <v>4016</v>
      </c>
      <c r="AN214" t="s">
        <v>4017</v>
      </c>
      <c r="AO214" t="s">
        <v>4504</v>
      </c>
      <c r="AP214" t="s">
        <v>4505</v>
      </c>
      <c r="AQ214" t="s">
        <v>74</v>
      </c>
      <c r="AR214" t="s">
        <v>4506</v>
      </c>
      <c r="AS214" t="s">
        <v>4507</v>
      </c>
      <c r="AT214" t="s">
        <v>2930</v>
      </c>
      <c r="AU214">
        <v>2019</v>
      </c>
      <c r="AV214">
        <v>38</v>
      </c>
      <c r="AW214">
        <v>8</v>
      </c>
      <c r="AX214" t="s">
        <v>74</v>
      </c>
      <c r="AY214" t="s">
        <v>74</v>
      </c>
      <c r="AZ214" t="s">
        <v>74</v>
      </c>
      <c r="BA214" t="s">
        <v>74</v>
      </c>
      <c r="BB214">
        <v>64</v>
      </c>
      <c r="BC214">
        <v>71</v>
      </c>
      <c r="BD214" t="s">
        <v>74</v>
      </c>
      <c r="BE214" t="s">
        <v>4508</v>
      </c>
      <c r="BF214" t="str">
        <f>HYPERLINK("http://dx.doi.org/10.1007/s13131-019-1393-7","http://dx.doi.org/10.1007/s13131-019-1393-7")</f>
        <v>http://dx.doi.org/10.1007/s13131-019-1393-7</v>
      </c>
      <c r="BG214" t="s">
        <v>74</v>
      </c>
      <c r="BH214" t="s">
        <v>74</v>
      </c>
      <c r="BI214">
        <v>8</v>
      </c>
      <c r="BJ214" t="s">
        <v>100</v>
      </c>
      <c r="BK214" t="s">
        <v>101</v>
      </c>
      <c r="BL214" t="s">
        <v>100</v>
      </c>
      <c r="BM214" t="s">
        <v>4509</v>
      </c>
      <c r="BN214" t="s">
        <v>74</v>
      </c>
      <c r="BO214" t="s">
        <v>74</v>
      </c>
      <c r="BP214" t="s">
        <v>74</v>
      </c>
      <c r="BQ214" t="s">
        <v>74</v>
      </c>
      <c r="BR214" t="s">
        <v>103</v>
      </c>
      <c r="BS214" t="s">
        <v>4510</v>
      </c>
      <c r="BT214" t="str">
        <f>HYPERLINK("https%3A%2F%2Fwww.webofscience.com%2Fwos%2Fwoscc%2Ffull-record%2FWOS:000478744600009","View Full Record in Web of Science")</f>
        <v>View Full Record in Web of Science</v>
      </c>
    </row>
    <row r="215" spans="1:72" x14ac:dyDescent="0.15">
      <c r="A215" t="s">
        <v>72</v>
      </c>
      <c r="B215" t="s">
        <v>4511</v>
      </c>
      <c r="C215" t="s">
        <v>74</v>
      </c>
      <c r="D215" t="s">
        <v>74</v>
      </c>
      <c r="E215" t="s">
        <v>74</v>
      </c>
      <c r="F215" t="s">
        <v>4512</v>
      </c>
      <c r="G215" t="s">
        <v>74</v>
      </c>
      <c r="H215" t="s">
        <v>74</v>
      </c>
      <c r="I215" t="s">
        <v>4513</v>
      </c>
      <c r="J215" t="s">
        <v>4493</v>
      </c>
      <c r="K215" t="s">
        <v>74</v>
      </c>
      <c r="L215" t="s">
        <v>74</v>
      </c>
      <c r="M215" t="s">
        <v>78</v>
      </c>
      <c r="N215" t="s">
        <v>108</v>
      </c>
      <c r="O215" t="s">
        <v>74</v>
      </c>
      <c r="P215" t="s">
        <v>74</v>
      </c>
      <c r="Q215" t="s">
        <v>74</v>
      </c>
      <c r="R215" t="s">
        <v>74</v>
      </c>
      <c r="S215" t="s">
        <v>74</v>
      </c>
      <c r="T215" t="s">
        <v>4514</v>
      </c>
      <c r="U215" t="s">
        <v>4515</v>
      </c>
      <c r="V215" t="s">
        <v>4516</v>
      </c>
      <c r="W215" t="s">
        <v>4517</v>
      </c>
      <c r="X215" t="s">
        <v>4518</v>
      </c>
      <c r="Y215" t="s">
        <v>4519</v>
      </c>
      <c r="Z215" t="s">
        <v>4520</v>
      </c>
      <c r="AA215" t="s">
        <v>4521</v>
      </c>
      <c r="AB215" t="s">
        <v>4522</v>
      </c>
      <c r="AC215" t="s">
        <v>4523</v>
      </c>
      <c r="AD215" t="s">
        <v>4524</v>
      </c>
      <c r="AE215" t="s">
        <v>4525</v>
      </c>
      <c r="AF215" t="s">
        <v>74</v>
      </c>
      <c r="AG215">
        <v>32</v>
      </c>
      <c r="AH215">
        <v>6</v>
      </c>
      <c r="AI215">
        <v>9</v>
      </c>
      <c r="AJ215">
        <v>3</v>
      </c>
      <c r="AK215">
        <v>28</v>
      </c>
      <c r="AL215" t="s">
        <v>154</v>
      </c>
      <c r="AM215" t="s">
        <v>4016</v>
      </c>
      <c r="AN215" t="s">
        <v>4017</v>
      </c>
      <c r="AO215" t="s">
        <v>4504</v>
      </c>
      <c r="AP215" t="s">
        <v>4505</v>
      </c>
      <c r="AQ215" t="s">
        <v>74</v>
      </c>
      <c r="AR215" t="s">
        <v>4506</v>
      </c>
      <c r="AS215" t="s">
        <v>4507</v>
      </c>
      <c r="AT215" t="s">
        <v>2930</v>
      </c>
      <c r="AU215">
        <v>2019</v>
      </c>
      <c r="AV215">
        <v>38</v>
      </c>
      <c r="AW215">
        <v>8</v>
      </c>
      <c r="AX215" t="s">
        <v>74</v>
      </c>
      <c r="AY215" t="s">
        <v>74</v>
      </c>
      <c r="AZ215" t="s">
        <v>74</v>
      </c>
      <c r="BA215" t="s">
        <v>74</v>
      </c>
      <c r="BB215">
        <v>101</v>
      </c>
      <c r="BC215">
        <v>110</v>
      </c>
      <c r="BD215" t="s">
        <v>74</v>
      </c>
      <c r="BE215" t="s">
        <v>4526</v>
      </c>
      <c r="BF215" t="str">
        <f>HYPERLINK("http://dx.doi.org/10.1007/s13131-019-1451-1","http://dx.doi.org/10.1007/s13131-019-1451-1")</f>
        <v>http://dx.doi.org/10.1007/s13131-019-1451-1</v>
      </c>
      <c r="BG215" t="s">
        <v>74</v>
      </c>
      <c r="BH215" t="s">
        <v>74</v>
      </c>
      <c r="BI215">
        <v>10</v>
      </c>
      <c r="BJ215" t="s">
        <v>100</v>
      </c>
      <c r="BK215" t="s">
        <v>101</v>
      </c>
      <c r="BL215" t="s">
        <v>100</v>
      </c>
      <c r="BM215" t="s">
        <v>4509</v>
      </c>
      <c r="BN215" t="s">
        <v>74</v>
      </c>
      <c r="BO215" t="s">
        <v>74</v>
      </c>
      <c r="BP215" t="s">
        <v>74</v>
      </c>
      <c r="BQ215" t="s">
        <v>74</v>
      </c>
      <c r="BR215" t="s">
        <v>103</v>
      </c>
      <c r="BS215" t="s">
        <v>4527</v>
      </c>
      <c r="BT215" t="str">
        <f>HYPERLINK("https%3A%2F%2Fwww.webofscience.com%2Fwos%2Fwoscc%2Ffull-record%2FWOS:000478744600014","View Full Record in Web of Science")</f>
        <v>View Full Record in Web of Science</v>
      </c>
    </row>
    <row r="216" spans="1:72" x14ac:dyDescent="0.15">
      <c r="A216" t="s">
        <v>72</v>
      </c>
      <c r="B216" t="s">
        <v>4528</v>
      </c>
      <c r="C216" t="s">
        <v>74</v>
      </c>
      <c r="D216" t="s">
        <v>74</v>
      </c>
      <c r="E216" t="s">
        <v>74</v>
      </c>
      <c r="F216" t="s">
        <v>4529</v>
      </c>
      <c r="G216" t="s">
        <v>74</v>
      </c>
      <c r="H216" t="s">
        <v>74</v>
      </c>
      <c r="I216" t="s">
        <v>4530</v>
      </c>
      <c r="J216" t="s">
        <v>4531</v>
      </c>
      <c r="K216" t="s">
        <v>74</v>
      </c>
      <c r="L216" t="s">
        <v>74</v>
      </c>
      <c r="M216" t="s">
        <v>78</v>
      </c>
      <c r="N216" t="s">
        <v>108</v>
      </c>
      <c r="O216" t="s">
        <v>74</v>
      </c>
      <c r="P216" t="s">
        <v>74</v>
      </c>
      <c r="Q216" t="s">
        <v>74</v>
      </c>
      <c r="R216" t="s">
        <v>74</v>
      </c>
      <c r="S216" t="s">
        <v>74</v>
      </c>
      <c r="T216" t="s">
        <v>4532</v>
      </c>
      <c r="U216" t="s">
        <v>74</v>
      </c>
      <c r="V216" t="s">
        <v>4533</v>
      </c>
      <c r="W216" t="s">
        <v>4534</v>
      </c>
      <c r="X216" t="s">
        <v>4535</v>
      </c>
      <c r="Y216" t="s">
        <v>4536</v>
      </c>
      <c r="Z216" t="s">
        <v>4537</v>
      </c>
      <c r="AA216" t="s">
        <v>74</v>
      </c>
      <c r="AB216" t="s">
        <v>4538</v>
      </c>
      <c r="AC216" t="s">
        <v>4539</v>
      </c>
      <c r="AD216" t="s">
        <v>4540</v>
      </c>
      <c r="AE216" t="s">
        <v>4541</v>
      </c>
      <c r="AF216" t="s">
        <v>74</v>
      </c>
      <c r="AG216">
        <v>20</v>
      </c>
      <c r="AH216">
        <v>1</v>
      </c>
      <c r="AI216">
        <v>1</v>
      </c>
      <c r="AJ216">
        <v>2</v>
      </c>
      <c r="AK216">
        <v>14</v>
      </c>
      <c r="AL216" t="s">
        <v>302</v>
      </c>
      <c r="AM216" t="s">
        <v>4016</v>
      </c>
      <c r="AN216" t="s">
        <v>4542</v>
      </c>
      <c r="AO216" t="s">
        <v>4543</v>
      </c>
      <c r="AP216" t="s">
        <v>4544</v>
      </c>
      <c r="AQ216" t="s">
        <v>74</v>
      </c>
      <c r="AR216" t="s">
        <v>4545</v>
      </c>
      <c r="AS216" t="s">
        <v>4546</v>
      </c>
      <c r="AT216" t="s">
        <v>2930</v>
      </c>
      <c r="AU216">
        <v>2019</v>
      </c>
      <c r="AV216">
        <v>31</v>
      </c>
      <c r="AW216">
        <v>4</v>
      </c>
      <c r="AX216" t="s">
        <v>74</v>
      </c>
      <c r="AY216" t="s">
        <v>74</v>
      </c>
      <c r="AZ216" t="s">
        <v>74</v>
      </c>
      <c r="BA216" t="s">
        <v>74</v>
      </c>
      <c r="BB216">
        <v>189</v>
      </c>
      <c r="BC216">
        <v>194</v>
      </c>
      <c r="BD216" t="s">
        <v>4547</v>
      </c>
      <c r="BE216" t="s">
        <v>4548</v>
      </c>
      <c r="BF216" t="str">
        <f>HYPERLINK("http://dx.doi.org/10.1017/S095410201900018X","http://dx.doi.org/10.1017/S095410201900018X")</f>
        <v>http://dx.doi.org/10.1017/S095410201900018X</v>
      </c>
      <c r="BG216" t="s">
        <v>74</v>
      </c>
      <c r="BH216" t="s">
        <v>74</v>
      </c>
      <c r="BI216">
        <v>6</v>
      </c>
      <c r="BJ216" t="s">
        <v>4549</v>
      </c>
      <c r="BK216" t="s">
        <v>101</v>
      </c>
      <c r="BL216" t="s">
        <v>4550</v>
      </c>
      <c r="BM216" t="s">
        <v>4551</v>
      </c>
      <c r="BN216" t="s">
        <v>74</v>
      </c>
      <c r="BO216" t="s">
        <v>74</v>
      </c>
      <c r="BP216" t="s">
        <v>74</v>
      </c>
      <c r="BQ216" t="s">
        <v>74</v>
      </c>
      <c r="BR216" t="s">
        <v>103</v>
      </c>
      <c r="BS216" t="s">
        <v>4552</v>
      </c>
      <c r="BT216" t="str">
        <f>HYPERLINK("https%3A%2F%2Fwww.webofscience.com%2Fwos%2Fwoscc%2Ffull-record%2FWOS:000478614300002","View Full Record in Web of Science")</f>
        <v>View Full Record in Web of Science</v>
      </c>
    </row>
    <row r="217" spans="1:72" x14ac:dyDescent="0.15">
      <c r="A217" t="s">
        <v>72</v>
      </c>
      <c r="B217" t="s">
        <v>4553</v>
      </c>
      <c r="C217" t="s">
        <v>74</v>
      </c>
      <c r="D217" t="s">
        <v>74</v>
      </c>
      <c r="E217" t="s">
        <v>74</v>
      </c>
      <c r="F217" t="s">
        <v>4554</v>
      </c>
      <c r="G217" t="s">
        <v>74</v>
      </c>
      <c r="H217" t="s">
        <v>74</v>
      </c>
      <c r="I217" t="s">
        <v>4555</v>
      </c>
      <c r="J217" t="s">
        <v>4531</v>
      </c>
      <c r="K217" t="s">
        <v>74</v>
      </c>
      <c r="L217" t="s">
        <v>74</v>
      </c>
      <c r="M217" t="s">
        <v>78</v>
      </c>
      <c r="N217" t="s">
        <v>108</v>
      </c>
      <c r="O217" t="s">
        <v>74</v>
      </c>
      <c r="P217" t="s">
        <v>74</v>
      </c>
      <c r="Q217" t="s">
        <v>74</v>
      </c>
      <c r="R217" t="s">
        <v>74</v>
      </c>
      <c r="S217" t="s">
        <v>74</v>
      </c>
      <c r="T217" t="s">
        <v>4556</v>
      </c>
      <c r="U217" t="s">
        <v>4557</v>
      </c>
      <c r="V217" t="s">
        <v>4558</v>
      </c>
      <c r="W217" t="s">
        <v>4559</v>
      </c>
      <c r="X217" t="s">
        <v>4560</v>
      </c>
      <c r="Y217" t="s">
        <v>4561</v>
      </c>
      <c r="Z217" t="s">
        <v>4562</v>
      </c>
      <c r="AA217" t="s">
        <v>4563</v>
      </c>
      <c r="AB217" t="s">
        <v>4564</v>
      </c>
      <c r="AC217" t="s">
        <v>4565</v>
      </c>
      <c r="AD217" t="s">
        <v>4566</v>
      </c>
      <c r="AE217" t="s">
        <v>4567</v>
      </c>
      <c r="AF217" t="s">
        <v>74</v>
      </c>
      <c r="AG217">
        <v>39</v>
      </c>
      <c r="AH217">
        <v>5</v>
      </c>
      <c r="AI217">
        <v>6</v>
      </c>
      <c r="AJ217">
        <v>0</v>
      </c>
      <c r="AK217">
        <v>37</v>
      </c>
      <c r="AL217" t="s">
        <v>302</v>
      </c>
      <c r="AM217" t="s">
        <v>4016</v>
      </c>
      <c r="AN217" t="s">
        <v>4542</v>
      </c>
      <c r="AO217" t="s">
        <v>4543</v>
      </c>
      <c r="AP217" t="s">
        <v>4544</v>
      </c>
      <c r="AQ217" t="s">
        <v>74</v>
      </c>
      <c r="AR217" t="s">
        <v>4545</v>
      </c>
      <c r="AS217" t="s">
        <v>4546</v>
      </c>
      <c r="AT217" t="s">
        <v>2930</v>
      </c>
      <c r="AU217">
        <v>2019</v>
      </c>
      <c r="AV217">
        <v>31</v>
      </c>
      <c r="AW217">
        <v>4</v>
      </c>
      <c r="AX217" t="s">
        <v>74</v>
      </c>
      <c r="AY217" t="s">
        <v>74</v>
      </c>
      <c r="AZ217" t="s">
        <v>74</v>
      </c>
      <c r="BA217" t="s">
        <v>74</v>
      </c>
      <c r="BB217">
        <v>195</v>
      </c>
      <c r="BC217">
        <v>207</v>
      </c>
      <c r="BD217" t="s">
        <v>4568</v>
      </c>
      <c r="BE217" t="s">
        <v>4569</v>
      </c>
      <c r="BF217" t="str">
        <f>HYPERLINK("http://dx.doi.org/10.1017/S0954102019000245","http://dx.doi.org/10.1017/S0954102019000245")</f>
        <v>http://dx.doi.org/10.1017/S0954102019000245</v>
      </c>
      <c r="BG217" t="s">
        <v>74</v>
      </c>
      <c r="BH217" t="s">
        <v>74</v>
      </c>
      <c r="BI217">
        <v>13</v>
      </c>
      <c r="BJ217" t="s">
        <v>4549</v>
      </c>
      <c r="BK217" t="s">
        <v>101</v>
      </c>
      <c r="BL217" t="s">
        <v>4550</v>
      </c>
      <c r="BM217" t="s">
        <v>4551</v>
      </c>
      <c r="BN217" t="s">
        <v>74</v>
      </c>
      <c r="BO217" t="s">
        <v>74</v>
      </c>
      <c r="BP217" t="s">
        <v>74</v>
      </c>
      <c r="BQ217" t="s">
        <v>74</v>
      </c>
      <c r="BR217" t="s">
        <v>103</v>
      </c>
      <c r="BS217" t="s">
        <v>4570</v>
      </c>
      <c r="BT217" t="str">
        <f>HYPERLINK("https%3A%2F%2Fwww.webofscience.com%2Fwos%2Fwoscc%2Ffull-record%2FWOS:000478614300003","View Full Record in Web of Science")</f>
        <v>View Full Record in Web of Science</v>
      </c>
    </row>
    <row r="218" spans="1:72" x14ac:dyDescent="0.15">
      <c r="A218" t="s">
        <v>72</v>
      </c>
      <c r="B218" t="s">
        <v>4571</v>
      </c>
      <c r="C218" t="s">
        <v>74</v>
      </c>
      <c r="D218" t="s">
        <v>74</v>
      </c>
      <c r="E218" t="s">
        <v>74</v>
      </c>
      <c r="F218" t="s">
        <v>4572</v>
      </c>
      <c r="G218" t="s">
        <v>74</v>
      </c>
      <c r="H218" t="s">
        <v>74</v>
      </c>
      <c r="I218" t="s">
        <v>4573</v>
      </c>
      <c r="J218" t="s">
        <v>4531</v>
      </c>
      <c r="K218" t="s">
        <v>74</v>
      </c>
      <c r="L218" t="s">
        <v>74</v>
      </c>
      <c r="M218" t="s">
        <v>78</v>
      </c>
      <c r="N218" t="s">
        <v>108</v>
      </c>
      <c r="O218" t="s">
        <v>74</v>
      </c>
      <c r="P218" t="s">
        <v>74</v>
      </c>
      <c r="Q218" t="s">
        <v>74</v>
      </c>
      <c r="R218" t="s">
        <v>74</v>
      </c>
      <c r="S218" t="s">
        <v>74</v>
      </c>
      <c r="T218" t="s">
        <v>4574</v>
      </c>
      <c r="U218" t="s">
        <v>4575</v>
      </c>
      <c r="V218" t="s">
        <v>4576</v>
      </c>
      <c r="W218" t="s">
        <v>4577</v>
      </c>
      <c r="X218" t="s">
        <v>4578</v>
      </c>
      <c r="Y218" t="s">
        <v>4579</v>
      </c>
      <c r="Z218" t="s">
        <v>4580</v>
      </c>
      <c r="AA218" t="s">
        <v>4581</v>
      </c>
      <c r="AB218" t="s">
        <v>4582</v>
      </c>
      <c r="AC218" t="s">
        <v>4583</v>
      </c>
      <c r="AD218" t="s">
        <v>4583</v>
      </c>
      <c r="AE218" t="s">
        <v>4584</v>
      </c>
      <c r="AF218" t="s">
        <v>74</v>
      </c>
      <c r="AG218">
        <v>38</v>
      </c>
      <c r="AH218">
        <v>12</v>
      </c>
      <c r="AI218">
        <v>12</v>
      </c>
      <c r="AJ218">
        <v>1</v>
      </c>
      <c r="AK218">
        <v>4</v>
      </c>
      <c r="AL218" t="s">
        <v>302</v>
      </c>
      <c r="AM218" t="s">
        <v>4016</v>
      </c>
      <c r="AN218" t="s">
        <v>4542</v>
      </c>
      <c r="AO218" t="s">
        <v>4543</v>
      </c>
      <c r="AP218" t="s">
        <v>4544</v>
      </c>
      <c r="AQ218" t="s">
        <v>74</v>
      </c>
      <c r="AR218" t="s">
        <v>4545</v>
      </c>
      <c r="AS218" t="s">
        <v>4546</v>
      </c>
      <c r="AT218" t="s">
        <v>2930</v>
      </c>
      <c r="AU218">
        <v>2019</v>
      </c>
      <c r="AV218">
        <v>31</v>
      </c>
      <c r="AW218">
        <v>4</v>
      </c>
      <c r="AX218" t="s">
        <v>74</v>
      </c>
      <c r="AY218" t="s">
        <v>74</v>
      </c>
      <c r="AZ218" t="s">
        <v>74</v>
      </c>
      <c r="BA218" t="s">
        <v>74</v>
      </c>
      <c r="BB218">
        <v>208</v>
      </c>
      <c r="BC218">
        <v>215</v>
      </c>
      <c r="BD218" t="s">
        <v>4585</v>
      </c>
      <c r="BE218" t="s">
        <v>4586</v>
      </c>
      <c r="BF218" t="str">
        <f>HYPERLINK("http://dx.doi.org/10.1017/S0954102019000257","http://dx.doi.org/10.1017/S0954102019000257")</f>
        <v>http://dx.doi.org/10.1017/S0954102019000257</v>
      </c>
      <c r="BG218" t="s">
        <v>74</v>
      </c>
      <c r="BH218" t="s">
        <v>74</v>
      </c>
      <c r="BI218">
        <v>8</v>
      </c>
      <c r="BJ218" t="s">
        <v>4549</v>
      </c>
      <c r="BK218" t="s">
        <v>101</v>
      </c>
      <c r="BL218" t="s">
        <v>4550</v>
      </c>
      <c r="BM218" t="s">
        <v>4551</v>
      </c>
      <c r="BN218" t="s">
        <v>74</v>
      </c>
      <c r="BO218" t="s">
        <v>74</v>
      </c>
      <c r="BP218" t="s">
        <v>74</v>
      </c>
      <c r="BQ218" t="s">
        <v>74</v>
      </c>
      <c r="BR218" t="s">
        <v>103</v>
      </c>
      <c r="BS218" t="s">
        <v>4587</v>
      </c>
      <c r="BT218" t="str">
        <f>HYPERLINK("https%3A%2F%2Fwww.webofscience.com%2Fwos%2Fwoscc%2Ffull-record%2FWOS:000478614300004","View Full Record in Web of Science")</f>
        <v>View Full Record in Web of Science</v>
      </c>
    </row>
    <row r="219" spans="1:72" x14ac:dyDescent="0.15">
      <c r="A219" t="s">
        <v>72</v>
      </c>
      <c r="B219" t="s">
        <v>4588</v>
      </c>
      <c r="C219" t="s">
        <v>74</v>
      </c>
      <c r="D219" t="s">
        <v>74</v>
      </c>
      <c r="E219" t="s">
        <v>74</v>
      </c>
      <c r="F219" t="s">
        <v>4589</v>
      </c>
      <c r="G219" t="s">
        <v>74</v>
      </c>
      <c r="H219" t="s">
        <v>74</v>
      </c>
      <c r="I219" t="s">
        <v>4590</v>
      </c>
      <c r="J219" t="s">
        <v>4531</v>
      </c>
      <c r="K219" t="s">
        <v>74</v>
      </c>
      <c r="L219" t="s">
        <v>74</v>
      </c>
      <c r="M219" t="s">
        <v>78</v>
      </c>
      <c r="N219" t="s">
        <v>108</v>
      </c>
      <c r="O219" t="s">
        <v>74</v>
      </c>
      <c r="P219" t="s">
        <v>74</v>
      </c>
      <c r="Q219" t="s">
        <v>74</v>
      </c>
      <c r="R219" t="s">
        <v>74</v>
      </c>
      <c r="S219" t="s">
        <v>74</v>
      </c>
      <c r="T219" t="s">
        <v>74</v>
      </c>
      <c r="U219" t="s">
        <v>74</v>
      </c>
      <c r="V219" t="s">
        <v>4591</v>
      </c>
      <c r="W219" t="s">
        <v>4592</v>
      </c>
      <c r="X219" t="s">
        <v>4593</v>
      </c>
      <c r="Y219" t="s">
        <v>4594</v>
      </c>
      <c r="Z219" t="s">
        <v>4595</v>
      </c>
      <c r="AA219" t="s">
        <v>4596</v>
      </c>
      <c r="AB219" t="s">
        <v>4597</v>
      </c>
      <c r="AC219" t="s">
        <v>74</v>
      </c>
      <c r="AD219" t="s">
        <v>74</v>
      </c>
      <c r="AE219" t="s">
        <v>74</v>
      </c>
      <c r="AF219" t="s">
        <v>74</v>
      </c>
      <c r="AG219">
        <v>7</v>
      </c>
      <c r="AH219">
        <v>2</v>
      </c>
      <c r="AI219">
        <v>2</v>
      </c>
      <c r="AJ219">
        <v>3</v>
      </c>
      <c r="AK219">
        <v>26</v>
      </c>
      <c r="AL219" t="s">
        <v>302</v>
      </c>
      <c r="AM219" t="s">
        <v>4016</v>
      </c>
      <c r="AN219" t="s">
        <v>4542</v>
      </c>
      <c r="AO219" t="s">
        <v>4543</v>
      </c>
      <c r="AP219" t="s">
        <v>4544</v>
      </c>
      <c r="AQ219" t="s">
        <v>74</v>
      </c>
      <c r="AR219" t="s">
        <v>4545</v>
      </c>
      <c r="AS219" t="s">
        <v>4546</v>
      </c>
      <c r="AT219" t="s">
        <v>2930</v>
      </c>
      <c r="AU219">
        <v>2019</v>
      </c>
      <c r="AV219">
        <v>31</v>
      </c>
      <c r="AW219">
        <v>4</v>
      </c>
      <c r="AX219" t="s">
        <v>74</v>
      </c>
      <c r="AY219" t="s">
        <v>74</v>
      </c>
      <c r="AZ219" t="s">
        <v>74</v>
      </c>
      <c r="BA219" t="s">
        <v>74</v>
      </c>
      <c r="BB219">
        <v>216</v>
      </c>
      <c r="BC219">
        <v>217</v>
      </c>
      <c r="BD219" t="s">
        <v>4598</v>
      </c>
      <c r="BE219" t="s">
        <v>4599</v>
      </c>
      <c r="BF219" t="str">
        <f>HYPERLINK("http://dx.doi.org/10.1017/S0954102019000221","http://dx.doi.org/10.1017/S0954102019000221")</f>
        <v>http://dx.doi.org/10.1017/S0954102019000221</v>
      </c>
      <c r="BG219" t="s">
        <v>74</v>
      </c>
      <c r="BH219" t="s">
        <v>74</v>
      </c>
      <c r="BI219">
        <v>2</v>
      </c>
      <c r="BJ219" t="s">
        <v>4549</v>
      </c>
      <c r="BK219" t="s">
        <v>101</v>
      </c>
      <c r="BL219" t="s">
        <v>4550</v>
      </c>
      <c r="BM219" t="s">
        <v>4551</v>
      </c>
      <c r="BN219" t="s">
        <v>74</v>
      </c>
      <c r="BO219" t="s">
        <v>74</v>
      </c>
      <c r="BP219" t="s">
        <v>74</v>
      </c>
      <c r="BQ219" t="s">
        <v>74</v>
      </c>
      <c r="BR219" t="s">
        <v>103</v>
      </c>
      <c r="BS219" t="s">
        <v>4600</v>
      </c>
      <c r="BT219" t="str">
        <f>HYPERLINK("https%3A%2F%2Fwww.webofscience.com%2Fwos%2Fwoscc%2Ffull-record%2FWOS:000478614300005","View Full Record in Web of Science")</f>
        <v>View Full Record in Web of Science</v>
      </c>
    </row>
    <row r="220" spans="1:72" x14ac:dyDescent="0.15">
      <c r="A220" t="s">
        <v>72</v>
      </c>
      <c r="B220" t="s">
        <v>4601</v>
      </c>
      <c r="C220" t="s">
        <v>74</v>
      </c>
      <c r="D220" t="s">
        <v>74</v>
      </c>
      <c r="E220" t="s">
        <v>74</v>
      </c>
      <c r="F220" t="s">
        <v>4602</v>
      </c>
      <c r="G220" t="s">
        <v>74</v>
      </c>
      <c r="H220" t="s">
        <v>74</v>
      </c>
      <c r="I220" t="s">
        <v>4603</v>
      </c>
      <c r="J220" t="s">
        <v>4531</v>
      </c>
      <c r="K220" t="s">
        <v>74</v>
      </c>
      <c r="L220" t="s">
        <v>74</v>
      </c>
      <c r="M220" t="s">
        <v>78</v>
      </c>
      <c r="N220" t="s">
        <v>108</v>
      </c>
      <c r="O220" t="s">
        <v>74</v>
      </c>
      <c r="P220" t="s">
        <v>74</v>
      </c>
      <c r="Q220" t="s">
        <v>74</v>
      </c>
      <c r="R220" t="s">
        <v>74</v>
      </c>
      <c r="S220" t="s">
        <v>74</v>
      </c>
      <c r="T220" t="s">
        <v>4604</v>
      </c>
      <c r="U220" t="s">
        <v>4605</v>
      </c>
      <c r="V220" t="s">
        <v>4606</v>
      </c>
      <c r="W220" t="s">
        <v>4607</v>
      </c>
      <c r="X220" t="s">
        <v>4608</v>
      </c>
      <c r="Y220" t="s">
        <v>4609</v>
      </c>
      <c r="Z220" t="s">
        <v>4610</v>
      </c>
      <c r="AA220" t="s">
        <v>4611</v>
      </c>
      <c r="AB220" t="s">
        <v>4612</v>
      </c>
      <c r="AC220" t="s">
        <v>4613</v>
      </c>
      <c r="AD220" t="s">
        <v>4614</v>
      </c>
      <c r="AE220" t="s">
        <v>4615</v>
      </c>
      <c r="AF220" t="s">
        <v>74</v>
      </c>
      <c r="AG220">
        <v>39</v>
      </c>
      <c r="AH220">
        <v>6</v>
      </c>
      <c r="AI220">
        <v>6</v>
      </c>
      <c r="AJ220">
        <v>0</v>
      </c>
      <c r="AK220">
        <v>9</v>
      </c>
      <c r="AL220" t="s">
        <v>302</v>
      </c>
      <c r="AM220" t="s">
        <v>4016</v>
      </c>
      <c r="AN220" t="s">
        <v>4542</v>
      </c>
      <c r="AO220" t="s">
        <v>4543</v>
      </c>
      <c r="AP220" t="s">
        <v>4544</v>
      </c>
      <c r="AQ220" t="s">
        <v>74</v>
      </c>
      <c r="AR220" t="s">
        <v>4545</v>
      </c>
      <c r="AS220" t="s">
        <v>4546</v>
      </c>
      <c r="AT220" t="s">
        <v>2930</v>
      </c>
      <c r="AU220">
        <v>2019</v>
      </c>
      <c r="AV220">
        <v>31</v>
      </c>
      <c r="AW220">
        <v>4</v>
      </c>
      <c r="AX220" t="s">
        <v>74</v>
      </c>
      <c r="AY220" t="s">
        <v>74</v>
      </c>
      <c r="AZ220" t="s">
        <v>74</v>
      </c>
      <c r="BA220" t="s">
        <v>74</v>
      </c>
      <c r="BB220">
        <v>218</v>
      </c>
      <c r="BC220">
        <v>227</v>
      </c>
      <c r="BD220" t="s">
        <v>4616</v>
      </c>
      <c r="BE220" t="s">
        <v>4617</v>
      </c>
      <c r="BF220" t="str">
        <f>HYPERLINK("http://dx.doi.org/10.1017/S0954102019000191","http://dx.doi.org/10.1017/S0954102019000191")</f>
        <v>http://dx.doi.org/10.1017/S0954102019000191</v>
      </c>
      <c r="BG220" t="s">
        <v>74</v>
      </c>
      <c r="BH220" t="s">
        <v>74</v>
      </c>
      <c r="BI220">
        <v>10</v>
      </c>
      <c r="BJ220" t="s">
        <v>4549</v>
      </c>
      <c r="BK220" t="s">
        <v>101</v>
      </c>
      <c r="BL220" t="s">
        <v>4550</v>
      </c>
      <c r="BM220" t="s">
        <v>4551</v>
      </c>
      <c r="BN220" t="s">
        <v>74</v>
      </c>
      <c r="BO220" t="s">
        <v>919</v>
      </c>
      <c r="BP220" t="s">
        <v>74</v>
      </c>
      <c r="BQ220" t="s">
        <v>74</v>
      </c>
      <c r="BR220" t="s">
        <v>103</v>
      </c>
      <c r="BS220" t="s">
        <v>4618</v>
      </c>
      <c r="BT220" t="str">
        <f>HYPERLINK("https%3A%2F%2Fwww.webofscience.com%2Fwos%2Fwoscc%2Ffull-record%2FWOS:000478614300006","View Full Record in Web of Science")</f>
        <v>View Full Record in Web of Science</v>
      </c>
    </row>
    <row r="221" spans="1:72" x14ac:dyDescent="0.15">
      <c r="A221" t="s">
        <v>72</v>
      </c>
      <c r="B221" t="s">
        <v>4619</v>
      </c>
      <c r="C221" t="s">
        <v>74</v>
      </c>
      <c r="D221" t="s">
        <v>74</v>
      </c>
      <c r="E221" t="s">
        <v>74</v>
      </c>
      <c r="F221" t="s">
        <v>4620</v>
      </c>
      <c r="G221" t="s">
        <v>74</v>
      </c>
      <c r="H221" t="s">
        <v>74</v>
      </c>
      <c r="I221" t="s">
        <v>4621</v>
      </c>
      <c r="J221" t="s">
        <v>4622</v>
      </c>
      <c r="K221" t="s">
        <v>74</v>
      </c>
      <c r="L221" t="s">
        <v>74</v>
      </c>
      <c r="M221" t="s">
        <v>78</v>
      </c>
      <c r="N221" t="s">
        <v>108</v>
      </c>
      <c r="O221" t="s">
        <v>74</v>
      </c>
      <c r="P221" t="s">
        <v>74</v>
      </c>
      <c r="Q221" t="s">
        <v>74</v>
      </c>
      <c r="R221" t="s">
        <v>74</v>
      </c>
      <c r="S221" t="s">
        <v>74</v>
      </c>
      <c r="T221" t="s">
        <v>4623</v>
      </c>
      <c r="U221" t="s">
        <v>4624</v>
      </c>
      <c r="V221" t="s">
        <v>4625</v>
      </c>
      <c r="W221" t="s">
        <v>4626</v>
      </c>
      <c r="X221" t="s">
        <v>4627</v>
      </c>
      <c r="Y221" t="s">
        <v>4628</v>
      </c>
      <c r="Z221" t="s">
        <v>4629</v>
      </c>
      <c r="AA221" t="s">
        <v>4630</v>
      </c>
      <c r="AB221" t="s">
        <v>4631</v>
      </c>
      <c r="AC221" t="s">
        <v>74</v>
      </c>
      <c r="AD221" t="s">
        <v>74</v>
      </c>
      <c r="AE221" t="s">
        <v>74</v>
      </c>
      <c r="AF221" t="s">
        <v>74</v>
      </c>
      <c r="AG221">
        <v>66</v>
      </c>
      <c r="AH221">
        <v>8</v>
      </c>
      <c r="AI221">
        <v>8</v>
      </c>
      <c r="AJ221">
        <v>0</v>
      </c>
      <c r="AK221">
        <v>8</v>
      </c>
      <c r="AL221" t="s">
        <v>4632</v>
      </c>
      <c r="AM221" t="s">
        <v>4633</v>
      </c>
      <c r="AN221" t="s">
        <v>4634</v>
      </c>
      <c r="AO221" t="s">
        <v>4635</v>
      </c>
      <c r="AP221" t="s">
        <v>4636</v>
      </c>
      <c r="AQ221" t="s">
        <v>74</v>
      </c>
      <c r="AR221" t="s">
        <v>4622</v>
      </c>
      <c r="AS221" t="s">
        <v>4637</v>
      </c>
      <c r="AT221" t="s">
        <v>3993</v>
      </c>
      <c r="AU221">
        <v>2019</v>
      </c>
      <c r="AV221">
        <v>19</v>
      </c>
      <c r="AW221">
        <v>8</v>
      </c>
      <c r="AX221" t="s">
        <v>74</v>
      </c>
      <c r="AY221" t="s">
        <v>74</v>
      </c>
      <c r="AZ221" t="s">
        <v>74</v>
      </c>
      <c r="BA221" t="s">
        <v>74</v>
      </c>
      <c r="BB221">
        <v>1018</v>
      </c>
      <c r="BC221">
        <v>1036</v>
      </c>
      <c r="BD221" t="s">
        <v>74</v>
      </c>
      <c r="BE221" t="s">
        <v>4638</v>
      </c>
      <c r="BF221" t="str">
        <f>HYPERLINK("http://dx.doi.org/10.1089/ast.2018.1853","http://dx.doi.org/10.1089/ast.2018.1853")</f>
        <v>http://dx.doi.org/10.1089/ast.2018.1853</v>
      </c>
      <c r="BG221" t="s">
        <v>74</v>
      </c>
      <c r="BH221" t="s">
        <v>74</v>
      </c>
      <c r="BI221">
        <v>19</v>
      </c>
      <c r="BJ221" t="s">
        <v>4639</v>
      </c>
      <c r="BK221" t="s">
        <v>101</v>
      </c>
      <c r="BL221" t="s">
        <v>4640</v>
      </c>
      <c r="BM221" t="s">
        <v>4641</v>
      </c>
      <c r="BN221">
        <v>30653337</v>
      </c>
      <c r="BO221" t="s">
        <v>74</v>
      </c>
      <c r="BP221" t="s">
        <v>74</v>
      </c>
      <c r="BQ221" t="s">
        <v>74</v>
      </c>
      <c r="BR221" t="s">
        <v>103</v>
      </c>
      <c r="BS221" t="s">
        <v>4642</v>
      </c>
      <c r="BT221" t="str">
        <f>HYPERLINK("https%3A%2F%2Fwww.webofscience.com%2Fwos%2Fwoscc%2Ffull-record%2FWOS:000478581200006","View Full Record in Web of Science")</f>
        <v>View Full Record in Web of Science</v>
      </c>
    </row>
    <row r="222" spans="1:72" x14ac:dyDescent="0.15">
      <c r="A222" t="s">
        <v>72</v>
      </c>
      <c r="B222" t="s">
        <v>4643</v>
      </c>
      <c r="C222" t="s">
        <v>74</v>
      </c>
      <c r="D222" t="s">
        <v>74</v>
      </c>
      <c r="E222" t="s">
        <v>74</v>
      </c>
      <c r="F222" t="s">
        <v>4644</v>
      </c>
      <c r="G222" t="s">
        <v>74</v>
      </c>
      <c r="H222" t="s">
        <v>74</v>
      </c>
      <c r="I222" t="s">
        <v>4645</v>
      </c>
      <c r="J222" t="s">
        <v>4646</v>
      </c>
      <c r="K222" t="s">
        <v>74</v>
      </c>
      <c r="L222" t="s">
        <v>74</v>
      </c>
      <c r="M222" t="s">
        <v>78</v>
      </c>
      <c r="N222" t="s">
        <v>108</v>
      </c>
      <c r="O222" t="s">
        <v>74</v>
      </c>
      <c r="P222" t="s">
        <v>74</v>
      </c>
      <c r="Q222" t="s">
        <v>74</v>
      </c>
      <c r="R222" t="s">
        <v>74</v>
      </c>
      <c r="S222" t="s">
        <v>74</v>
      </c>
      <c r="T222" t="s">
        <v>4647</v>
      </c>
      <c r="U222" t="s">
        <v>4648</v>
      </c>
      <c r="V222" t="s">
        <v>4649</v>
      </c>
      <c r="W222" t="s">
        <v>4650</v>
      </c>
      <c r="X222" t="s">
        <v>4651</v>
      </c>
      <c r="Y222" t="s">
        <v>4652</v>
      </c>
      <c r="Z222" t="s">
        <v>4653</v>
      </c>
      <c r="AA222" t="s">
        <v>4654</v>
      </c>
      <c r="AB222" t="s">
        <v>4655</v>
      </c>
      <c r="AC222" t="s">
        <v>4656</v>
      </c>
      <c r="AD222" t="s">
        <v>4657</v>
      </c>
      <c r="AE222" t="s">
        <v>4658</v>
      </c>
      <c r="AF222" t="s">
        <v>74</v>
      </c>
      <c r="AG222">
        <v>60</v>
      </c>
      <c r="AH222">
        <v>6</v>
      </c>
      <c r="AI222">
        <v>6</v>
      </c>
      <c r="AJ222">
        <v>0</v>
      </c>
      <c r="AK222">
        <v>10</v>
      </c>
      <c r="AL222" t="s">
        <v>4659</v>
      </c>
      <c r="AM222" t="s">
        <v>657</v>
      </c>
      <c r="AN222" t="s">
        <v>4660</v>
      </c>
      <c r="AO222" t="s">
        <v>4661</v>
      </c>
      <c r="AP222" t="s">
        <v>4662</v>
      </c>
      <c r="AQ222" t="s">
        <v>74</v>
      </c>
      <c r="AR222" t="s">
        <v>4663</v>
      </c>
      <c r="AS222" t="s">
        <v>4664</v>
      </c>
      <c r="AT222" t="s">
        <v>2930</v>
      </c>
      <c r="AU222">
        <v>2019</v>
      </c>
      <c r="AV222">
        <v>69</v>
      </c>
      <c r="AW222">
        <v>8</v>
      </c>
      <c r="AX222" t="s">
        <v>74</v>
      </c>
      <c r="AY222" t="s">
        <v>74</v>
      </c>
      <c r="AZ222" t="s">
        <v>74</v>
      </c>
      <c r="BA222" t="s">
        <v>74</v>
      </c>
      <c r="BB222">
        <v>2415</v>
      </c>
      <c r="BC222">
        <v>2423</v>
      </c>
      <c r="BD222" t="s">
        <v>74</v>
      </c>
      <c r="BE222" t="s">
        <v>4665</v>
      </c>
      <c r="BF222" t="str">
        <f>HYPERLINK("http://dx.doi.org/10.1099/ijsem.0.003490","http://dx.doi.org/10.1099/ijsem.0.003490")</f>
        <v>http://dx.doi.org/10.1099/ijsem.0.003490</v>
      </c>
      <c r="BG222" t="s">
        <v>74</v>
      </c>
      <c r="BH222" t="s">
        <v>74</v>
      </c>
      <c r="BI222">
        <v>9</v>
      </c>
      <c r="BJ222" t="s">
        <v>1514</v>
      </c>
      <c r="BK222" t="s">
        <v>101</v>
      </c>
      <c r="BL222" t="s">
        <v>1514</v>
      </c>
      <c r="BM222" t="s">
        <v>4666</v>
      </c>
      <c r="BN222">
        <v>31145675</v>
      </c>
      <c r="BO222" t="s">
        <v>1308</v>
      </c>
      <c r="BP222" t="s">
        <v>74</v>
      </c>
      <c r="BQ222" t="s">
        <v>74</v>
      </c>
      <c r="BR222" t="s">
        <v>103</v>
      </c>
      <c r="BS222" t="s">
        <v>4667</v>
      </c>
      <c r="BT222" t="str">
        <f>HYPERLINK("https%3A%2F%2Fwww.webofscience.com%2Fwos%2Fwoscc%2Ffull-record%2FWOS:000478785800035","View Full Record in Web of Science")</f>
        <v>View Full Record in Web of Science</v>
      </c>
    </row>
    <row r="223" spans="1:72" x14ac:dyDescent="0.15">
      <c r="A223" t="s">
        <v>72</v>
      </c>
      <c r="B223" t="s">
        <v>4668</v>
      </c>
      <c r="C223" t="s">
        <v>74</v>
      </c>
      <c r="D223" t="s">
        <v>74</v>
      </c>
      <c r="E223" t="s">
        <v>74</v>
      </c>
      <c r="F223" t="s">
        <v>4669</v>
      </c>
      <c r="G223" t="s">
        <v>74</v>
      </c>
      <c r="H223" t="s">
        <v>74</v>
      </c>
      <c r="I223" t="s">
        <v>4670</v>
      </c>
      <c r="J223" t="s">
        <v>4671</v>
      </c>
      <c r="K223" t="s">
        <v>74</v>
      </c>
      <c r="L223" t="s">
        <v>74</v>
      </c>
      <c r="M223" t="s">
        <v>78</v>
      </c>
      <c r="N223" t="s">
        <v>108</v>
      </c>
      <c r="O223" t="s">
        <v>74</v>
      </c>
      <c r="P223" t="s">
        <v>74</v>
      </c>
      <c r="Q223" t="s">
        <v>74</v>
      </c>
      <c r="R223" t="s">
        <v>74</v>
      </c>
      <c r="S223" t="s">
        <v>74</v>
      </c>
      <c r="T223" t="s">
        <v>4672</v>
      </c>
      <c r="U223" t="s">
        <v>4673</v>
      </c>
      <c r="V223" t="s">
        <v>4674</v>
      </c>
      <c r="W223" t="s">
        <v>4675</v>
      </c>
      <c r="X223" t="s">
        <v>4676</v>
      </c>
      <c r="Y223" t="s">
        <v>4677</v>
      </c>
      <c r="Z223" t="s">
        <v>4678</v>
      </c>
      <c r="AA223" t="s">
        <v>74</v>
      </c>
      <c r="AB223" t="s">
        <v>4679</v>
      </c>
      <c r="AC223" t="s">
        <v>4680</v>
      </c>
      <c r="AD223" t="s">
        <v>4681</v>
      </c>
      <c r="AE223" t="s">
        <v>4682</v>
      </c>
      <c r="AF223" t="s">
        <v>74</v>
      </c>
      <c r="AG223">
        <v>99</v>
      </c>
      <c r="AH223">
        <v>17</v>
      </c>
      <c r="AI223">
        <v>18</v>
      </c>
      <c r="AJ223">
        <v>1</v>
      </c>
      <c r="AK223">
        <v>22</v>
      </c>
      <c r="AL223" t="s">
        <v>154</v>
      </c>
      <c r="AM223" t="s">
        <v>155</v>
      </c>
      <c r="AN223" t="s">
        <v>156</v>
      </c>
      <c r="AO223" t="s">
        <v>4683</v>
      </c>
      <c r="AP223" t="s">
        <v>4684</v>
      </c>
      <c r="AQ223" t="s">
        <v>74</v>
      </c>
      <c r="AR223" t="s">
        <v>4685</v>
      </c>
      <c r="AS223" t="s">
        <v>4686</v>
      </c>
      <c r="AT223" t="s">
        <v>2930</v>
      </c>
      <c r="AU223">
        <v>2019</v>
      </c>
      <c r="AV223">
        <v>141</v>
      </c>
      <c r="AW223">
        <v>2</v>
      </c>
      <c r="AX223" t="s">
        <v>74</v>
      </c>
      <c r="AY223" t="s">
        <v>74</v>
      </c>
      <c r="AZ223" t="s">
        <v>74</v>
      </c>
      <c r="BA223" t="s">
        <v>74</v>
      </c>
      <c r="BB223">
        <v>209</v>
      </c>
      <c r="BC223">
        <v>228</v>
      </c>
      <c r="BD223" t="s">
        <v>74</v>
      </c>
      <c r="BE223" t="s">
        <v>4687</v>
      </c>
      <c r="BF223" t="str">
        <f>HYPERLINK("http://dx.doi.org/10.1007/s11120-019-00621-0","http://dx.doi.org/10.1007/s11120-019-00621-0")</f>
        <v>http://dx.doi.org/10.1007/s11120-019-00621-0</v>
      </c>
      <c r="BG223" t="s">
        <v>74</v>
      </c>
      <c r="BH223" t="s">
        <v>74</v>
      </c>
      <c r="BI223">
        <v>20</v>
      </c>
      <c r="BJ223" t="s">
        <v>2907</v>
      </c>
      <c r="BK223" t="s">
        <v>101</v>
      </c>
      <c r="BL223" t="s">
        <v>2907</v>
      </c>
      <c r="BM223" t="s">
        <v>4688</v>
      </c>
      <c r="BN223">
        <v>30729447</v>
      </c>
      <c r="BO223" t="s">
        <v>74</v>
      </c>
      <c r="BP223" t="s">
        <v>74</v>
      </c>
      <c r="BQ223" t="s">
        <v>74</v>
      </c>
      <c r="BR223" t="s">
        <v>103</v>
      </c>
      <c r="BS223" t="s">
        <v>4689</v>
      </c>
      <c r="BT223" t="str">
        <f>HYPERLINK("https%3A%2F%2Fwww.webofscience.com%2Fwos%2Fwoscc%2Ffull-record%2FWOS:000478675500007","View Full Record in Web of Science")</f>
        <v>View Full Record in Web of Science</v>
      </c>
    </row>
    <row r="224" spans="1:72" x14ac:dyDescent="0.15">
      <c r="A224" t="s">
        <v>72</v>
      </c>
      <c r="B224" t="s">
        <v>4690</v>
      </c>
      <c r="C224" t="s">
        <v>74</v>
      </c>
      <c r="D224" t="s">
        <v>74</v>
      </c>
      <c r="E224" t="s">
        <v>74</v>
      </c>
      <c r="F224" t="s">
        <v>4691</v>
      </c>
      <c r="G224" t="s">
        <v>74</v>
      </c>
      <c r="H224" t="s">
        <v>74</v>
      </c>
      <c r="I224" t="s">
        <v>4692</v>
      </c>
      <c r="J224" t="s">
        <v>4693</v>
      </c>
      <c r="K224" t="s">
        <v>74</v>
      </c>
      <c r="L224" t="s">
        <v>74</v>
      </c>
      <c r="M224" t="s">
        <v>78</v>
      </c>
      <c r="N224" t="s">
        <v>108</v>
      </c>
      <c r="O224" t="s">
        <v>74</v>
      </c>
      <c r="P224" t="s">
        <v>74</v>
      </c>
      <c r="Q224" t="s">
        <v>74</v>
      </c>
      <c r="R224" t="s">
        <v>74</v>
      </c>
      <c r="S224" t="s">
        <v>74</v>
      </c>
      <c r="T224" t="s">
        <v>4694</v>
      </c>
      <c r="U224" t="s">
        <v>4695</v>
      </c>
      <c r="V224" t="s">
        <v>4696</v>
      </c>
      <c r="W224" t="s">
        <v>4697</v>
      </c>
      <c r="X224" t="s">
        <v>4698</v>
      </c>
      <c r="Y224" t="s">
        <v>4699</v>
      </c>
      <c r="Z224" t="s">
        <v>4700</v>
      </c>
      <c r="AA224" t="s">
        <v>4701</v>
      </c>
      <c r="AB224" t="s">
        <v>4702</v>
      </c>
      <c r="AC224" t="s">
        <v>4703</v>
      </c>
      <c r="AD224" t="s">
        <v>4704</v>
      </c>
      <c r="AE224" t="s">
        <v>4705</v>
      </c>
      <c r="AF224" t="s">
        <v>74</v>
      </c>
      <c r="AG224">
        <v>54</v>
      </c>
      <c r="AH224">
        <v>4</v>
      </c>
      <c r="AI224">
        <v>4</v>
      </c>
      <c r="AJ224">
        <v>0</v>
      </c>
      <c r="AK224">
        <v>4</v>
      </c>
      <c r="AL224" t="s">
        <v>251</v>
      </c>
      <c r="AM224" t="s">
        <v>252</v>
      </c>
      <c r="AN224" t="s">
        <v>253</v>
      </c>
      <c r="AO224" t="s">
        <v>4706</v>
      </c>
      <c r="AP224" t="s">
        <v>4707</v>
      </c>
      <c r="AQ224" t="s">
        <v>74</v>
      </c>
      <c r="AR224" t="s">
        <v>4708</v>
      </c>
      <c r="AS224" t="s">
        <v>4709</v>
      </c>
      <c r="AT224" t="s">
        <v>2930</v>
      </c>
      <c r="AU224">
        <v>2019</v>
      </c>
      <c r="AV224">
        <v>34</v>
      </c>
      <c r="AW224">
        <v>4</v>
      </c>
      <c r="AX224" t="s">
        <v>74</v>
      </c>
      <c r="AY224" t="s">
        <v>74</v>
      </c>
      <c r="AZ224" t="s">
        <v>74</v>
      </c>
      <c r="BA224" t="s">
        <v>74</v>
      </c>
      <c r="BB224">
        <v>1081</v>
      </c>
      <c r="BC224">
        <v>1096</v>
      </c>
      <c r="BD224" t="s">
        <v>74</v>
      </c>
      <c r="BE224" t="s">
        <v>4710</v>
      </c>
      <c r="BF224" t="str">
        <f>HYPERLINK("http://dx.doi.org/10.1175/WAF-D-18-0171.1","http://dx.doi.org/10.1175/WAF-D-18-0171.1")</f>
        <v>http://dx.doi.org/10.1175/WAF-D-18-0171.1</v>
      </c>
      <c r="BG224" t="s">
        <v>74</v>
      </c>
      <c r="BH224" t="s">
        <v>74</v>
      </c>
      <c r="BI224">
        <v>16</v>
      </c>
      <c r="BJ224" t="s">
        <v>259</v>
      </c>
      <c r="BK224" t="s">
        <v>101</v>
      </c>
      <c r="BL224" t="s">
        <v>259</v>
      </c>
      <c r="BM224" t="s">
        <v>4711</v>
      </c>
      <c r="BN224" t="s">
        <v>74</v>
      </c>
      <c r="BO224" t="s">
        <v>4712</v>
      </c>
      <c r="BP224" t="s">
        <v>74</v>
      </c>
      <c r="BQ224" t="s">
        <v>74</v>
      </c>
      <c r="BR224" t="s">
        <v>103</v>
      </c>
      <c r="BS224" t="s">
        <v>4713</v>
      </c>
      <c r="BT224" t="str">
        <f>HYPERLINK("https%3A%2F%2Fwww.webofscience.com%2Fwos%2Fwoscc%2Ffull-record%2FWOS:000478905000001","View Full Record in Web of Science")</f>
        <v>View Full Record in Web of Science</v>
      </c>
    </row>
    <row r="225" spans="1:72" x14ac:dyDescent="0.15">
      <c r="A225" t="s">
        <v>72</v>
      </c>
      <c r="B225" t="s">
        <v>4714</v>
      </c>
      <c r="C225" t="s">
        <v>74</v>
      </c>
      <c r="D225" t="s">
        <v>74</v>
      </c>
      <c r="E225" t="s">
        <v>74</v>
      </c>
      <c r="F225" t="s">
        <v>4715</v>
      </c>
      <c r="G225" t="s">
        <v>74</v>
      </c>
      <c r="H225" t="s">
        <v>74</v>
      </c>
      <c r="I225" t="s">
        <v>4716</v>
      </c>
      <c r="J225" t="s">
        <v>4717</v>
      </c>
      <c r="K225" t="s">
        <v>74</v>
      </c>
      <c r="L225" t="s">
        <v>74</v>
      </c>
      <c r="M225" t="s">
        <v>78</v>
      </c>
      <c r="N225" t="s">
        <v>108</v>
      </c>
      <c r="O225" t="s">
        <v>74</v>
      </c>
      <c r="P225" t="s">
        <v>74</v>
      </c>
      <c r="Q225" t="s">
        <v>74</v>
      </c>
      <c r="R225" t="s">
        <v>74</v>
      </c>
      <c r="S225" t="s">
        <v>74</v>
      </c>
      <c r="T225" t="s">
        <v>4718</v>
      </c>
      <c r="U225" t="s">
        <v>4719</v>
      </c>
      <c r="V225" t="s">
        <v>4720</v>
      </c>
      <c r="W225" t="s">
        <v>4721</v>
      </c>
      <c r="X225" t="s">
        <v>4722</v>
      </c>
      <c r="Y225" t="s">
        <v>4723</v>
      </c>
      <c r="Z225" t="s">
        <v>4724</v>
      </c>
      <c r="AA225" t="s">
        <v>4725</v>
      </c>
      <c r="AB225" t="s">
        <v>4726</v>
      </c>
      <c r="AC225" t="s">
        <v>4727</v>
      </c>
      <c r="AD225" t="s">
        <v>4728</v>
      </c>
      <c r="AE225" t="s">
        <v>4729</v>
      </c>
      <c r="AF225" t="s">
        <v>74</v>
      </c>
      <c r="AG225">
        <v>89</v>
      </c>
      <c r="AH225">
        <v>1</v>
      </c>
      <c r="AI225">
        <v>1</v>
      </c>
      <c r="AJ225">
        <v>0</v>
      </c>
      <c r="AK225">
        <v>6</v>
      </c>
      <c r="AL225" t="s">
        <v>3084</v>
      </c>
      <c r="AM225" t="s">
        <v>93</v>
      </c>
      <c r="AN225" t="s">
        <v>3085</v>
      </c>
      <c r="AO225" t="s">
        <v>74</v>
      </c>
      <c r="AP225" t="s">
        <v>4730</v>
      </c>
      <c r="AQ225" t="s">
        <v>74</v>
      </c>
      <c r="AR225" t="s">
        <v>4731</v>
      </c>
      <c r="AS225" t="s">
        <v>4732</v>
      </c>
      <c r="AT225" t="s">
        <v>2930</v>
      </c>
      <c r="AU225">
        <v>2019</v>
      </c>
      <c r="AV225">
        <v>3</v>
      </c>
      <c r="AW225">
        <v>4</v>
      </c>
      <c r="AX225" t="s">
        <v>74</v>
      </c>
      <c r="AY225" t="s">
        <v>74</v>
      </c>
      <c r="AZ225" t="s">
        <v>74</v>
      </c>
      <c r="BA225" t="s">
        <v>74</v>
      </c>
      <c r="BB225">
        <v>374</v>
      </c>
      <c r="BC225">
        <v>391</v>
      </c>
      <c r="BD225" t="s">
        <v>74</v>
      </c>
      <c r="BE225" t="s">
        <v>4733</v>
      </c>
      <c r="BF225" t="str">
        <f>HYPERLINK("http://dx.doi.org/10.1002/evl3.128","http://dx.doi.org/10.1002/evl3.128")</f>
        <v>http://dx.doi.org/10.1002/evl3.128</v>
      </c>
      <c r="BG225" t="s">
        <v>74</v>
      </c>
      <c r="BH225" t="s">
        <v>74</v>
      </c>
      <c r="BI225">
        <v>18</v>
      </c>
      <c r="BJ225" t="s">
        <v>4734</v>
      </c>
      <c r="BK225" t="s">
        <v>101</v>
      </c>
      <c r="BL225" t="s">
        <v>4734</v>
      </c>
      <c r="BM225" t="s">
        <v>4735</v>
      </c>
      <c r="BN225">
        <v>31388447</v>
      </c>
      <c r="BO225" t="s">
        <v>1197</v>
      </c>
      <c r="BP225" t="s">
        <v>74</v>
      </c>
      <c r="BQ225" t="s">
        <v>74</v>
      </c>
      <c r="BR225" t="s">
        <v>103</v>
      </c>
      <c r="BS225" t="s">
        <v>4736</v>
      </c>
      <c r="BT225" t="str">
        <f>HYPERLINK("https%3A%2F%2Fwww.webofscience.com%2Fwos%2Fwoscc%2Ffull-record%2FWOS:000478074800005","View Full Record in Web of Science")</f>
        <v>View Full Record in Web of Science</v>
      </c>
    </row>
    <row r="226" spans="1:72" x14ac:dyDescent="0.15">
      <c r="A226" t="s">
        <v>72</v>
      </c>
      <c r="B226" t="s">
        <v>4737</v>
      </c>
      <c r="C226" t="s">
        <v>74</v>
      </c>
      <c r="D226" t="s">
        <v>74</v>
      </c>
      <c r="E226" t="s">
        <v>74</v>
      </c>
      <c r="F226" t="s">
        <v>4738</v>
      </c>
      <c r="G226" t="s">
        <v>74</v>
      </c>
      <c r="H226" t="s">
        <v>74</v>
      </c>
      <c r="I226" t="s">
        <v>4739</v>
      </c>
      <c r="J226" t="s">
        <v>4740</v>
      </c>
      <c r="K226" t="s">
        <v>74</v>
      </c>
      <c r="L226" t="s">
        <v>74</v>
      </c>
      <c r="M226" t="s">
        <v>78</v>
      </c>
      <c r="N226" t="s">
        <v>108</v>
      </c>
      <c r="O226" t="s">
        <v>74</v>
      </c>
      <c r="P226" t="s">
        <v>74</v>
      </c>
      <c r="Q226" t="s">
        <v>74</v>
      </c>
      <c r="R226" t="s">
        <v>74</v>
      </c>
      <c r="S226" t="s">
        <v>74</v>
      </c>
      <c r="T226" t="s">
        <v>4741</v>
      </c>
      <c r="U226" t="s">
        <v>4742</v>
      </c>
      <c r="V226" t="s">
        <v>4743</v>
      </c>
      <c r="W226" t="s">
        <v>4744</v>
      </c>
      <c r="X226" t="s">
        <v>4745</v>
      </c>
      <c r="Y226" t="s">
        <v>4746</v>
      </c>
      <c r="Z226" t="s">
        <v>4747</v>
      </c>
      <c r="AA226" t="s">
        <v>4748</v>
      </c>
      <c r="AB226" t="s">
        <v>4749</v>
      </c>
      <c r="AC226" t="s">
        <v>4750</v>
      </c>
      <c r="AD226" t="s">
        <v>4751</v>
      </c>
      <c r="AE226" t="s">
        <v>4752</v>
      </c>
      <c r="AF226" t="s">
        <v>74</v>
      </c>
      <c r="AG226">
        <v>108</v>
      </c>
      <c r="AH226">
        <v>8</v>
      </c>
      <c r="AI226">
        <v>8</v>
      </c>
      <c r="AJ226">
        <v>2</v>
      </c>
      <c r="AK226">
        <v>18</v>
      </c>
      <c r="AL226" t="s">
        <v>3533</v>
      </c>
      <c r="AM226" t="s">
        <v>93</v>
      </c>
      <c r="AN226" t="s">
        <v>3534</v>
      </c>
      <c r="AO226" t="s">
        <v>4753</v>
      </c>
      <c r="AP226" t="s">
        <v>4754</v>
      </c>
      <c r="AQ226" t="s">
        <v>74</v>
      </c>
      <c r="AR226" t="s">
        <v>4755</v>
      </c>
      <c r="AS226" t="s">
        <v>4756</v>
      </c>
      <c r="AT226" t="s">
        <v>2930</v>
      </c>
      <c r="AU226">
        <v>2019</v>
      </c>
      <c r="AV226">
        <v>149</v>
      </c>
      <c r="AW226" t="s">
        <v>74</v>
      </c>
      <c r="AX226" t="s">
        <v>74</v>
      </c>
      <c r="AY226" t="s">
        <v>74</v>
      </c>
      <c r="AZ226" t="s">
        <v>74</v>
      </c>
      <c r="BA226" t="s">
        <v>74</v>
      </c>
      <c r="BB226">
        <v>90</v>
      </c>
      <c r="BC226">
        <v>99</v>
      </c>
      <c r="BD226" t="s">
        <v>74</v>
      </c>
      <c r="BE226" t="s">
        <v>4757</v>
      </c>
      <c r="BF226" t="str">
        <f>HYPERLINK("http://dx.doi.org/10.1016/j.marenvres.2019.06.010","http://dx.doi.org/10.1016/j.marenvres.2019.06.010")</f>
        <v>http://dx.doi.org/10.1016/j.marenvres.2019.06.010</v>
      </c>
      <c r="BG226" t="s">
        <v>74</v>
      </c>
      <c r="BH226" t="s">
        <v>74</v>
      </c>
      <c r="BI226">
        <v>10</v>
      </c>
      <c r="BJ226" t="s">
        <v>4758</v>
      </c>
      <c r="BK226" t="s">
        <v>101</v>
      </c>
      <c r="BL226" t="s">
        <v>4759</v>
      </c>
      <c r="BM226" t="s">
        <v>4760</v>
      </c>
      <c r="BN226">
        <v>31254931</v>
      </c>
      <c r="BO226" t="s">
        <v>74</v>
      </c>
      <c r="BP226" t="s">
        <v>74</v>
      </c>
      <c r="BQ226" t="s">
        <v>74</v>
      </c>
      <c r="BR226" t="s">
        <v>103</v>
      </c>
      <c r="BS226" t="s">
        <v>4761</v>
      </c>
      <c r="BT226" t="str">
        <f>HYPERLINK("https%3A%2F%2Fwww.webofscience.com%2Fwos%2Fwoscc%2Ffull-record%2FWOS:000477690600009","View Full Record in Web of Science")</f>
        <v>View Full Record in Web of Science</v>
      </c>
    </row>
    <row r="227" spans="1:72" x14ac:dyDescent="0.15">
      <c r="A227" t="s">
        <v>72</v>
      </c>
      <c r="B227" t="s">
        <v>4762</v>
      </c>
      <c r="C227" t="s">
        <v>74</v>
      </c>
      <c r="D227" t="s">
        <v>74</v>
      </c>
      <c r="E227" t="s">
        <v>74</v>
      </c>
      <c r="F227" t="s">
        <v>4763</v>
      </c>
      <c r="G227" t="s">
        <v>74</v>
      </c>
      <c r="H227" t="s">
        <v>74</v>
      </c>
      <c r="I227" t="s">
        <v>4764</v>
      </c>
      <c r="J227" t="s">
        <v>4765</v>
      </c>
      <c r="K227" t="s">
        <v>74</v>
      </c>
      <c r="L227" t="s">
        <v>74</v>
      </c>
      <c r="M227" t="s">
        <v>78</v>
      </c>
      <c r="N227" t="s">
        <v>1314</v>
      </c>
      <c r="O227" t="s">
        <v>74</v>
      </c>
      <c r="P227" t="s">
        <v>74</v>
      </c>
      <c r="Q227" t="s">
        <v>74</v>
      </c>
      <c r="R227" t="s">
        <v>74</v>
      </c>
      <c r="S227" t="s">
        <v>74</v>
      </c>
      <c r="T227" t="s">
        <v>74</v>
      </c>
      <c r="U227" t="s">
        <v>4766</v>
      </c>
      <c r="V227" t="s">
        <v>74</v>
      </c>
      <c r="W227" t="s">
        <v>4767</v>
      </c>
      <c r="X227" t="s">
        <v>1135</v>
      </c>
      <c r="Y227" t="s">
        <v>4768</v>
      </c>
      <c r="Z227" t="s">
        <v>4769</v>
      </c>
      <c r="AA227" t="s">
        <v>4770</v>
      </c>
      <c r="AB227" t="s">
        <v>4771</v>
      </c>
      <c r="AC227" t="s">
        <v>74</v>
      </c>
      <c r="AD227" t="s">
        <v>74</v>
      </c>
      <c r="AE227" t="s">
        <v>74</v>
      </c>
      <c r="AF227" t="s">
        <v>74</v>
      </c>
      <c r="AG227">
        <v>10</v>
      </c>
      <c r="AH227">
        <v>2</v>
      </c>
      <c r="AI227">
        <v>2</v>
      </c>
      <c r="AJ227">
        <v>0</v>
      </c>
      <c r="AK227">
        <v>9</v>
      </c>
      <c r="AL227" t="s">
        <v>998</v>
      </c>
      <c r="AM227" t="s">
        <v>4016</v>
      </c>
      <c r="AN227" t="s">
        <v>4772</v>
      </c>
      <c r="AO227" t="s">
        <v>4773</v>
      </c>
      <c r="AP227" t="s">
        <v>4774</v>
      </c>
      <c r="AQ227" t="s">
        <v>74</v>
      </c>
      <c r="AR227" t="s">
        <v>4775</v>
      </c>
      <c r="AS227" t="s">
        <v>4776</v>
      </c>
      <c r="AT227" t="s">
        <v>2930</v>
      </c>
      <c r="AU227">
        <v>2019</v>
      </c>
      <c r="AV227">
        <v>12</v>
      </c>
      <c r="AW227">
        <v>8</v>
      </c>
      <c r="AX227" t="s">
        <v>74</v>
      </c>
      <c r="AY227" t="s">
        <v>74</v>
      </c>
      <c r="AZ227" t="s">
        <v>74</v>
      </c>
      <c r="BA227" t="s">
        <v>74</v>
      </c>
      <c r="BB227">
        <v>587</v>
      </c>
      <c r="BC227">
        <v>588</v>
      </c>
      <c r="BD227" t="s">
        <v>74</v>
      </c>
      <c r="BE227" t="s">
        <v>4777</v>
      </c>
      <c r="BF227" t="str">
        <f>HYPERLINK("http://dx.doi.org/10.1038/s41561-019-0416-5","http://dx.doi.org/10.1038/s41561-019-0416-5")</f>
        <v>http://dx.doi.org/10.1038/s41561-019-0416-5</v>
      </c>
      <c r="BG227" t="s">
        <v>74</v>
      </c>
      <c r="BH227" t="s">
        <v>74</v>
      </c>
      <c r="BI227">
        <v>2</v>
      </c>
      <c r="BJ227" t="s">
        <v>471</v>
      </c>
      <c r="BK227" t="s">
        <v>101</v>
      </c>
      <c r="BL227" t="s">
        <v>472</v>
      </c>
      <c r="BM227" t="s">
        <v>4778</v>
      </c>
      <c r="BN227" t="s">
        <v>74</v>
      </c>
      <c r="BO227" t="s">
        <v>74</v>
      </c>
      <c r="BP227" t="s">
        <v>74</v>
      </c>
      <c r="BQ227" t="s">
        <v>74</v>
      </c>
      <c r="BR227" t="s">
        <v>103</v>
      </c>
      <c r="BS227" t="s">
        <v>4779</v>
      </c>
      <c r="BT227" t="str">
        <f>HYPERLINK("https%3A%2F%2Fwww.webofscience.com%2Fwos%2Fwoscc%2Ffull-record%2FWOS:000477864200004","View Full Record in Web of Science")</f>
        <v>View Full Record in Web of Science</v>
      </c>
    </row>
    <row r="228" spans="1:72" x14ac:dyDescent="0.15">
      <c r="A228" t="s">
        <v>72</v>
      </c>
      <c r="B228" t="s">
        <v>4780</v>
      </c>
      <c r="C228" t="s">
        <v>74</v>
      </c>
      <c r="D228" t="s">
        <v>74</v>
      </c>
      <c r="E228" t="s">
        <v>74</v>
      </c>
      <c r="F228" t="s">
        <v>4781</v>
      </c>
      <c r="G228" t="s">
        <v>74</v>
      </c>
      <c r="H228" t="s">
        <v>4782</v>
      </c>
      <c r="I228" t="s">
        <v>4783</v>
      </c>
      <c r="J228" t="s">
        <v>4765</v>
      </c>
      <c r="K228" t="s">
        <v>74</v>
      </c>
      <c r="L228" t="s">
        <v>74</v>
      </c>
      <c r="M228" t="s">
        <v>78</v>
      </c>
      <c r="N228" t="s">
        <v>108</v>
      </c>
      <c r="O228" t="s">
        <v>74</v>
      </c>
      <c r="P228" t="s">
        <v>74</v>
      </c>
      <c r="Q228" t="s">
        <v>74</v>
      </c>
      <c r="R228" t="s">
        <v>74</v>
      </c>
      <c r="S228" t="s">
        <v>74</v>
      </c>
      <c r="T228" t="s">
        <v>74</v>
      </c>
      <c r="U228" t="s">
        <v>4784</v>
      </c>
      <c r="V228" t="s">
        <v>4785</v>
      </c>
      <c r="W228" t="s">
        <v>4786</v>
      </c>
      <c r="X228" t="s">
        <v>4787</v>
      </c>
      <c r="Y228" t="s">
        <v>4788</v>
      </c>
      <c r="Z228" t="s">
        <v>4789</v>
      </c>
      <c r="AA228" t="s">
        <v>4790</v>
      </c>
      <c r="AB228" t="s">
        <v>4791</v>
      </c>
      <c r="AC228" t="s">
        <v>4792</v>
      </c>
      <c r="AD228" t="s">
        <v>4793</v>
      </c>
      <c r="AE228" t="s">
        <v>4794</v>
      </c>
      <c r="AF228" t="s">
        <v>74</v>
      </c>
      <c r="AG228">
        <v>122</v>
      </c>
      <c r="AH228">
        <v>213</v>
      </c>
      <c r="AI228">
        <v>234</v>
      </c>
      <c r="AJ228">
        <v>18</v>
      </c>
      <c r="AK228">
        <v>185</v>
      </c>
      <c r="AL228" t="s">
        <v>998</v>
      </c>
      <c r="AM228" t="s">
        <v>4016</v>
      </c>
      <c r="AN228" t="s">
        <v>4772</v>
      </c>
      <c r="AO228" t="s">
        <v>4773</v>
      </c>
      <c r="AP228" t="s">
        <v>4774</v>
      </c>
      <c r="AQ228" t="s">
        <v>74</v>
      </c>
      <c r="AR228" t="s">
        <v>4775</v>
      </c>
      <c r="AS228" t="s">
        <v>4776</v>
      </c>
      <c r="AT228" t="s">
        <v>2930</v>
      </c>
      <c r="AU228">
        <v>2019</v>
      </c>
      <c r="AV228">
        <v>12</v>
      </c>
      <c r="AW228">
        <v>8</v>
      </c>
      <c r="AX228" t="s">
        <v>74</v>
      </c>
      <c r="AY228" t="s">
        <v>74</v>
      </c>
      <c r="AZ228" t="s">
        <v>74</v>
      </c>
      <c r="BA228" t="s">
        <v>74</v>
      </c>
      <c r="BB228">
        <v>643</v>
      </c>
      <c r="BC228" t="s">
        <v>3569</v>
      </c>
      <c r="BD228" t="s">
        <v>74</v>
      </c>
      <c r="BE228" t="s">
        <v>4795</v>
      </c>
      <c r="BF228" t="str">
        <f>HYPERLINK("http://dx.doi.org/10.1038/s41561-019-0400-0","http://dx.doi.org/10.1038/s41561-019-0400-0")</f>
        <v>http://dx.doi.org/10.1038/s41561-019-0400-0</v>
      </c>
      <c r="BG228" t="s">
        <v>74</v>
      </c>
      <c r="BH228" t="s">
        <v>74</v>
      </c>
      <c r="BI228">
        <v>11</v>
      </c>
      <c r="BJ228" t="s">
        <v>471</v>
      </c>
      <c r="BK228" t="s">
        <v>101</v>
      </c>
      <c r="BL228" t="s">
        <v>472</v>
      </c>
      <c r="BM228" t="s">
        <v>4778</v>
      </c>
      <c r="BN228">
        <v>31372180</v>
      </c>
      <c r="BO228" t="s">
        <v>136</v>
      </c>
      <c r="BP228" t="s">
        <v>1784</v>
      </c>
      <c r="BQ228" t="s">
        <v>1785</v>
      </c>
      <c r="BR228" t="s">
        <v>103</v>
      </c>
      <c r="BS228" t="s">
        <v>4796</v>
      </c>
      <c r="BT228" t="str">
        <f>HYPERLINK("https%3A%2F%2Fwww.webofscience.com%2Fwos%2Fwoscc%2Ffull-record%2FWOS:000477864200015","View Full Record in Web of Science")</f>
        <v>View Full Record in Web of Science</v>
      </c>
    </row>
    <row r="229" spans="1:72" x14ac:dyDescent="0.15">
      <c r="A229" t="s">
        <v>72</v>
      </c>
      <c r="B229" t="s">
        <v>4797</v>
      </c>
      <c r="C229" t="s">
        <v>74</v>
      </c>
      <c r="D229" t="s">
        <v>74</v>
      </c>
      <c r="E229" t="s">
        <v>74</v>
      </c>
      <c r="F229" t="s">
        <v>4798</v>
      </c>
      <c r="G229" t="s">
        <v>74</v>
      </c>
      <c r="H229" t="s">
        <v>74</v>
      </c>
      <c r="I229" t="s">
        <v>4799</v>
      </c>
      <c r="J229" t="s">
        <v>4800</v>
      </c>
      <c r="K229" t="s">
        <v>74</v>
      </c>
      <c r="L229" t="s">
        <v>74</v>
      </c>
      <c r="M229" t="s">
        <v>78</v>
      </c>
      <c r="N229" t="s">
        <v>108</v>
      </c>
      <c r="O229" t="s">
        <v>74</v>
      </c>
      <c r="P229" t="s">
        <v>74</v>
      </c>
      <c r="Q229" t="s">
        <v>74</v>
      </c>
      <c r="R229" t="s">
        <v>74</v>
      </c>
      <c r="S229" t="s">
        <v>74</v>
      </c>
      <c r="T229" t="s">
        <v>4801</v>
      </c>
      <c r="U229" t="s">
        <v>4802</v>
      </c>
      <c r="V229" t="s">
        <v>4803</v>
      </c>
      <c r="W229" t="s">
        <v>4804</v>
      </c>
      <c r="X229" t="s">
        <v>4805</v>
      </c>
      <c r="Y229" t="s">
        <v>4806</v>
      </c>
      <c r="Z229" t="s">
        <v>4807</v>
      </c>
      <c r="AA229" t="s">
        <v>4808</v>
      </c>
      <c r="AB229" t="s">
        <v>4809</v>
      </c>
      <c r="AC229" t="s">
        <v>4810</v>
      </c>
      <c r="AD229" t="s">
        <v>981</v>
      </c>
      <c r="AE229" t="s">
        <v>4811</v>
      </c>
      <c r="AF229" t="s">
        <v>74</v>
      </c>
      <c r="AG229">
        <v>96</v>
      </c>
      <c r="AH229">
        <v>41</v>
      </c>
      <c r="AI229">
        <v>41</v>
      </c>
      <c r="AJ229">
        <v>6</v>
      </c>
      <c r="AK229">
        <v>35</v>
      </c>
      <c r="AL229" t="s">
        <v>1140</v>
      </c>
      <c r="AM229" t="s">
        <v>1141</v>
      </c>
      <c r="AN229" t="s">
        <v>1142</v>
      </c>
      <c r="AO229" t="s">
        <v>4812</v>
      </c>
      <c r="AP229" t="s">
        <v>4813</v>
      </c>
      <c r="AQ229" t="s">
        <v>74</v>
      </c>
      <c r="AR229" t="s">
        <v>4814</v>
      </c>
      <c r="AS229" t="s">
        <v>4815</v>
      </c>
      <c r="AT229" t="s">
        <v>2930</v>
      </c>
      <c r="AU229">
        <v>2019</v>
      </c>
      <c r="AV229">
        <v>25</v>
      </c>
      <c r="AW229">
        <v>8</v>
      </c>
      <c r="AX229" t="s">
        <v>74</v>
      </c>
      <c r="AY229" t="s">
        <v>74</v>
      </c>
      <c r="AZ229" t="s">
        <v>74</v>
      </c>
      <c r="BA229" t="s">
        <v>74</v>
      </c>
      <c r="BB229">
        <v>1259</v>
      </c>
      <c r="BC229">
        <v>1272</v>
      </c>
      <c r="BD229" t="s">
        <v>74</v>
      </c>
      <c r="BE229" t="s">
        <v>4816</v>
      </c>
      <c r="BF229" t="str">
        <f>HYPERLINK("http://dx.doi.org/10.1111/ddi.12934","http://dx.doi.org/10.1111/ddi.12934")</f>
        <v>http://dx.doi.org/10.1111/ddi.12934</v>
      </c>
      <c r="BG229" t="s">
        <v>74</v>
      </c>
      <c r="BH229" t="s">
        <v>74</v>
      </c>
      <c r="BI229">
        <v>14</v>
      </c>
      <c r="BJ229" t="s">
        <v>3802</v>
      </c>
      <c r="BK229" t="s">
        <v>101</v>
      </c>
      <c r="BL229" t="s">
        <v>1646</v>
      </c>
      <c r="BM229" t="s">
        <v>4817</v>
      </c>
      <c r="BN229" t="s">
        <v>74</v>
      </c>
      <c r="BO229" t="s">
        <v>4818</v>
      </c>
      <c r="BP229" t="s">
        <v>74</v>
      </c>
      <c r="BQ229" t="s">
        <v>74</v>
      </c>
      <c r="BR229" t="s">
        <v>103</v>
      </c>
      <c r="BS229" t="s">
        <v>4819</v>
      </c>
      <c r="BT229" t="str">
        <f>HYPERLINK("https%3A%2F%2Fwww.webofscience.com%2Fwos%2Fwoscc%2Ffull-record%2FWOS:000476676000007","View Full Record in Web of Science")</f>
        <v>View Full Record in Web of Science</v>
      </c>
    </row>
    <row r="230" spans="1:72" x14ac:dyDescent="0.15">
      <c r="A230" t="s">
        <v>72</v>
      </c>
      <c r="B230" t="s">
        <v>4820</v>
      </c>
      <c r="C230" t="s">
        <v>74</v>
      </c>
      <c r="D230" t="s">
        <v>74</v>
      </c>
      <c r="E230" t="s">
        <v>74</v>
      </c>
      <c r="F230" t="s">
        <v>4821</v>
      </c>
      <c r="G230" t="s">
        <v>74</v>
      </c>
      <c r="H230" t="s">
        <v>74</v>
      </c>
      <c r="I230" t="s">
        <v>4822</v>
      </c>
      <c r="J230" t="s">
        <v>4823</v>
      </c>
      <c r="K230" t="s">
        <v>74</v>
      </c>
      <c r="L230" t="s">
        <v>74</v>
      </c>
      <c r="M230" t="s">
        <v>78</v>
      </c>
      <c r="N230" t="s">
        <v>108</v>
      </c>
      <c r="O230" t="s">
        <v>74</v>
      </c>
      <c r="P230" t="s">
        <v>74</v>
      </c>
      <c r="Q230" t="s">
        <v>74</v>
      </c>
      <c r="R230" t="s">
        <v>74</v>
      </c>
      <c r="S230" t="s">
        <v>74</v>
      </c>
      <c r="T230" t="s">
        <v>4824</v>
      </c>
      <c r="U230" t="s">
        <v>4825</v>
      </c>
      <c r="V230" t="s">
        <v>4826</v>
      </c>
      <c r="W230" t="s">
        <v>4827</v>
      </c>
      <c r="X230" t="s">
        <v>4828</v>
      </c>
      <c r="Y230" t="s">
        <v>4829</v>
      </c>
      <c r="Z230" t="s">
        <v>4830</v>
      </c>
      <c r="AA230" t="s">
        <v>74</v>
      </c>
      <c r="AB230" t="s">
        <v>74</v>
      </c>
      <c r="AC230" t="s">
        <v>4831</v>
      </c>
      <c r="AD230" t="s">
        <v>4832</v>
      </c>
      <c r="AE230" t="s">
        <v>4833</v>
      </c>
      <c r="AF230" t="s">
        <v>74</v>
      </c>
      <c r="AG230">
        <v>25</v>
      </c>
      <c r="AH230">
        <v>1</v>
      </c>
      <c r="AI230">
        <v>2</v>
      </c>
      <c r="AJ230">
        <v>2</v>
      </c>
      <c r="AK230">
        <v>34</v>
      </c>
      <c r="AL230" t="s">
        <v>2396</v>
      </c>
      <c r="AM230" t="s">
        <v>2397</v>
      </c>
      <c r="AN230" t="s">
        <v>2398</v>
      </c>
      <c r="AO230" t="s">
        <v>4834</v>
      </c>
      <c r="AP230" t="s">
        <v>4835</v>
      </c>
      <c r="AQ230" t="s">
        <v>74</v>
      </c>
      <c r="AR230" t="s">
        <v>4836</v>
      </c>
      <c r="AS230" t="s">
        <v>4837</v>
      </c>
      <c r="AT230" t="s">
        <v>2930</v>
      </c>
      <c r="AU230">
        <v>2019</v>
      </c>
      <c r="AV230">
        <v>26</v>
      </c>
      <c r="AW230">
        <v>22</v>
      </c>
      <c r="AX230" t="s">
        <v>74</v>
      </c>
      <c r="AY230" t="s">
        <v>74</v>
      </c>
      <c r="AZ230" t="s">
        <v>74</v>
      </c>
      <c r="BA230" t="s">
        <v>74</v>
      </c>
      <c r="BB230">
        <v>22312</v>
      </c>
      <c r="BC230">
        <v>22322</v>
      </c>
      <c r="BD230" t="s">
        <v>74</v>
      </c>
      <c r="BE230" t="s">
        <v>4838</v>
      </c>
      <c r="BF230" t="str">
        <f>HYPERLINK("http://dx.doi.org/10.1007/s11356-019-05569-1","http://dx.doi.org/10.1007/s11356-019-05569-1")</f>
        <v>http://dx.doi.org/10.1007/s11356-019-05569-1</v>
      </c>
      <c r="BG230" t="s">
        <v>74</v>
      </c>
      <c r="BH230" t="s">
        <v>74</v>
      </c>
      <c r="BI230">
        <v>11</v>
      </c>
      <c r="BJ230" t="s">
        <v>797</v>
      </c>
      <c r="BK230" t="s">
        <v>101</v>
      </c>
      <c r="BL230" t="s">
        <v>799</v>
      </c>
      <c r="BM230" t="s">
        <v>4839</v>
      </c>
      <c r="BN230">
        <v>31154650</v>
      </c>
      <c r="BO230" t="s">
        <v>74</v>
      </c>
      <c r="BP230" t="s">
        <v>74</v>
      </c>
      <c r="BQ230" t="s">
        <v>74</v>
      </c>
      <c r="BR230" t="s">
        <v>103</v>
      </c>
      <c r="BS230" t="s">
        <v>4840</v>
      </c>
      <c r="BT230" t="str">
        <f>HYPERLINK("https%3A%2F%2Fwww.webofscience.com%2Fwos%2Fwoscc%2Ffull-record%2FWOS:000477591700020","View Full Record in Web of Science")</f>
        <v>View Full Record in Web of Science</v>
      </c>
    </row>
    <row r="231" spans="1:72" x14ac:dyDescent="0.15">
      <c r="A231" t="s">
        <v>72</v>
      </c>
      <c r="B231" t="s">
        <v>4841</v>
      </c>
      <c r="C231" t="s">
        <v>74</v>
      </c>
      <c r="D231" t="s">
        <v>74</v>
      </c>
      <c r="E231" t="s">
        <v>74</v>
      </c>
      <c r="F231" t="s">
        <v>4842</v>
      </c>
      <c r="G231" t="s">
        <v>74</v>
      </c>
      <c r="H231" t="s">
        <v>74</v>
      </c>
      <c r="I231" t="s">
        <v>4843</v>
      </c>
      <c r="J231" t="s">
        <v>238</v>
      </c>
      <c r="K231" t="s">
        <v>74</v>
      </c>
      <c r="L231" t="s">
        <v>74</v>
      </c>
      <c r="M231" t="s">
        <v>78</v>
      </c>
      <c r="N231" t="s">
        <v>108</v>
      </c>
      <c r="O231" t="s">
        <v>74</v>
      </c>
      <c r="P231" t="s">
        <v>74</v>
      </c>
      <c r="Q231" t="s">
        <v>74</v>
      </c>
      <c r="R231" t="s">
        <v>74</v>
      </c>
      <c r="S231" t="s">
        <v>74</v>
      </c>
      <c r="T231" t="s">
        <v>4844</v>
      </c>
      <c r="U231" t="s">
        <v>4845</v>
      </c>
      <c r="V231" t="s">
        <v>4846</v>
      </c>
      <c r="W231" t="s">
        <v>4847</v>
      </c>
      <c r="X231" t="s">
        <v>3440</v>
      </c>
      <c r="Y231" t="s">
        <v>4848</v>
      </c>
      <c r="Z231" t="s">
        <v>4849</v>
      </c>
      <c r="AA231" t="s">
        <v>4850</v>
      </c>
      <c r="AB231" t="s">
        <v>4851</v>
      </c>
      <c r="AC231" t="s">
        <v>4852</v>
      </c>
      <c r="AD231" t="s">
        <v>4853</v>
      </c>
      <c r="AE231" t="s">
        <v>4854</v>
      </c>
      <c r="AF231" t="s">
        <v>74</v>
      </c>
      <c r="AG231">
        <v>64</v>
      </c>
      <c r="AH231">
        <v>16</v>
      </c>
      <c r="AI231">
        <v>16</v>
      </c>
      <c r="AJ231">
        <v>0</v>
      </c>
      <c r="AK231">
        <v>13</v>
      </c>
      <c r="AL231" t="s">
        <v>251</v>
      </c>
      <c r="AM231" t="s">
        <v>252</v>
      </c>
      <c r="AN231" t="s">
        <v>253</v>
      </c>
      <c r="AO231" t="s">
        <v>254</v>
      </c>
      <c r="AP231" t="s">
        <v>255</v>
      </c>
      <c r="AQ231" t="s">
        <v>74</v>
      </c>
      <c r="AR231" t="s">
        <v>256</v>
      </c>
      <c r="AS231" t="s">
        <v>257</v>
      </c>
      <c r="AT231" t="s">
        <v>2930</v>
      </c>
      <c r="AU231">
        <v>2019</v>
      </c>
      <c r="AV231">
        <v>32</v>
      </c>
      <c r="AW231">
        <v>16</v>
      </c>
      <c r="AX231" t="s">
        <v>74</v>
      </c>
      <c r="AY231" t="s">
        <v>74</v>
      </c>
      <c r="AZ231" t="s">
        <v>74</v>
      </c>
      <c r="BA231" t="s">
        <v>74</v>
      </c>
      <c r="BB231">
        <v>5289</v>
      </c>
      <c r="BC231">
        <v>5303</v>
      </c>
      <c r="BD231" t="s">
        <v>74</v>
      </c>
      <c r="BE231" t="s">
        <v>4855</v>
      </c>
      <c r="BF231" t="str">
        <f>HYPERLINK("http://dx.doi.org/10.1175/JCLI-D-19-0203.1","http://dx.doi.org/10.1175/JCLI-D-19-0203.1")</f>
        <v>http://dx.doi.org/10.1175/JCLI-D-19-0203.1</v>
      </c>
      <c r="BG231" t="s">
        <v>74</v>
      </c>
      <c r="BH231" t="s">
        <v>74</v>
      </c>
      <c r="BI231">
        <v>15</v>
      </c>
      <c r="BJ231" t="s">
        <v>259</v>
      </c>
      <c r="BK231" t="s">
        <v>101</v>
      </c>
      <c r="BL231" t="s">
        <v>259</v>
      </c>
      <c r="BM231" t="s">
        <v>4856</v>
      </c>
      <c r="BN231" t="s">
        <v>74</v>
      </c>
      <c r="BO231" t="s">
        <v>164</v>
      </c>
      <c r="BP231" t="s">
        <v>74</v>
      </c>
      <c r="BQ231" t="s">
        <v>74</v>
      </c>
      <c r="BR231" t="s">
        <v>103</v>
      </c>
      <c r="BS231" t="s">
        <v>4857</v>
      </c>
      <c r="BT231" t="str">
        <f>HYPERLINK("https%3A%2F%2Fwww.webofscience.com%2Fwos%2Fwoscc%2Ffull-record%2FWOS:000476906300005","View Full Record in Web of Science")</f>
        <v>View Full Record in Web of Science</v>
      </c>
    </row>
    <row r="232" spans="1:72" x14ac:dyDescent="0.15">
      <c r="A232" t="s">
        <v>72</v>
      </c>
      <c r="B232" t="s">
        <v>4858</v>
      </c>
      <c r="C232" t="s">
        <v>74</v>
      </c>
      <c r="D232" t="s">
        <v>74</v>
      </c>
      <c r="E232" t="s">
        <v>74</v>
      </c>
      <c r="F232" t="s">
        <v>4859</v>
      </c>
      <c r="G232" t="s">
        <v>74</v>
      </c>
      <c r="H232" t="s">
        <v>74</v>
      </c>
      <c r="I232" t="s">
        <v>4860</v>
      </c>
      <c r="J232" t="s">
        <v>4861</v>
      </c>
      <c r="K232" t="s">
        <v>74</v>
      </c>
      <c r="L232" t="s">
        <v>74</v>
      </c>
      <c r="M232" t="s">
        <v>78</v>
      </c>
      <c r="N232" t="s">
        <v>108</v>
      </c>
      <c r="O232" t="s">
        <v>74</v>
      </c>
      <c r="P232" t="s">
        <v>74</v>
      </c>
      <c r="Q232" t="s">
        <v>74</v>
      </c>
      <c r="R232" t="s">
        <v>74</v>
      </c>
      <c r="S232" t="s">
        <v>74</v>
      </c>
      <c r="T232" t="s">
        <v>4862</v>
      </c>
      <c r="U232" t="s">
        <v>4863</v>
      </c>
      <c r="V232" t="s">
        <v>4864</v>
      </c>
      <c r="W232" t="s">
        <v>4865</v>
      </c>
      <c r="X232" t="s">
        <v>4866</v>
      </c>
      <c r="Y232" t="s">
        <v>4867</v>
      </c>
      <c r="Z232" t="s">
        <v>4868</v>
      </c>
      <c r="AA232" t="s">
        <v>4869</v>
      </c>
      <c r="AB232" t="s">
        <v>4870</v>
      </c>
      <c r="AC232" t="s">
        <v>4871</v>
      </c>
      <c r="AD232" t="s">
        <v>4872</v>
      </c>
      <c r="AE232" t="s">
        <v>4873</v>
      </c>
      <c r="AF232" t="s">
        <v>74</v>
      </c>
      <c r="AG232">
        <v>91</v>
      </c>
      <c r="AH232">
        <v>36</v>
      </c>
      <c r="AI232">
        <v>41</v>
      </c>
      <c r="AJ232">
        <v>0</v>
      </c>
      <c r="AK232">
        <v>12</v>
      </c>
      <c r="AL232" t="s">
        <v>251</v>
      </c>
      <c r="AM232" t="s">
        <v>252</v>
      </c>
      <c r="AN232" t="s">
        <v>253</v>
      </c>
      <c r="AO232" t="s">
        <v>4874</v>
      </c>
      <c r="AP232" t="s">
        <v>4875</v>
      </c>
      <c r="AQ232" t="s">
        <v>74</v>
      </c>
      <c r="AR232" t="s">
        <v>4876</v>
      </c>
      <c r="AS232" t="s">
        <v>4877</v>
      </c>
      <c r="AT232" t="s">
        <v>2930</v>
      </c>
      <c r="AU232">
        <v>2019</v>
      </c>
      <c r="AV232">
        <v>49</v>
      </c>
      <c r="AW232">
        <v>8</v>
      </c>
      <c r="AX232" t="s">
        <v>74</v>
      </c>
      <c r="AY232" t="s">
        <v>74</v>
      </c>
      <c r="AZ232" t="s">
        <v>74</v>
      </c>
      <c r="BA232" t="s">
        <v>74</v>
      </c>
      <c r="BB232">
        <v>2043</v>
      </c>
      <c r="BC232">
        <v>2074</v>
      </c>
      <c r="BD232" t="s">
        <v>74</v>
      </c>
      <c r="BE232" t="s">
        <v>4878</v>
      </c>
      <c r="BF232" t="str">
        <f>HYPERLINK("http://dx.doi.org/10.1175/JPO-D-18-0221.1","http://dx.doi.org/10.1175/JPO-D-18-0221.1")</f>
        <v>http://dx.doi.org/10.1175/JPO-D-18-0221.1</v>
      </c>
      <c r="BG232" t="s">
        <v>74</v>
      </c>
      <c r="BH232" t="s">
        <v>74</v>
      </c>
      <c r="BI232">
        <v>32</v>
      </c>
      <c r="BJ232" t="s">
        <v>100</v>
      </c>
      <c r="BK232" t="s">
        <v>101</v>
      </c>
      <c r="BL232" t="s">
        <v>100</v>
      </c>
      <c r="BM232" t="s">
        <v>4879</v>
      </c>
      <c r="BN232" t="s">
        <v>74</v>
      </c>
      <c r="BO232" t="s">
        <v>1985</v>
      </c>
      <c r="BP232" t="s">
        <v>74</v>
      </c>
      <c r="BQ232" t="s">
        <v>74</v>
      </c>
      <c r="BR232" t="s">
        <v>103</v>
      </c>
      <c r="BS232" t="s">
        <v>4880</v>
      </c>
      <c r="BT232" t="str">
        <f>HYPERLINK("https%3A%2F%2Fwww.webofscience.com%2Fwos%2Fwoscc%2Ffull-record%2FWOS:000476766700001","View Full Record in Web of Science")</f>
        <v>View Full Record in Web of Science</v>
      </c>
    </row>
    <row r="233" spans="1:72" x14ac:dyDescent="0.15">
      <c r="A233" t="s">
        <v>72</v>
      </c>
      <c r="B233" t="s">
        <v>4881</v>
      </c>
      <c r="C233" t="s">
        <v>74</v>
      </c>
      <c r="D233" t="s">
        <v>74</v>
      </c>
      <c r="E233" t="s">
        <v>74</v>
      </c>
      <c r="F233" t="s">
        <v>4882</v>
      </c>
      <c r="G233" t="s">
        <v>74</v>
      </c>
      <c r="H233" t="s">
        <v>74</v>
      </c>
      <c r="I233" t="s">
        <v>4883</v>
      </c>
      <c r="J233" t="s">
        <v>4884</v>
      </c>
      <c r="K233" t="s">
        <v>74</v>
      </c>
      <c r="L233" t="s">
        <v>74</v>
      </c>
      <c r="M233" t="s">
        <v>78</v>
      </c>
      <c r="N233" t="s">
        <v>108</v>
      </c>
      <c r="O233" t="s">
        <v>74</v>
      </c>
      <c r="P233" t="s">
        <v>74</v>
      </c>
      <c r="Q233" t="s">
        <v>74</v>
      </c>
      <c r="R233" t="s">
        <v>74</v>
      </c>
      <c r="S233" t="s">
        <v>74</v>
      </c>
      <c r="T233" t="s">
        <v>4885</v>
      </c>
      <c r="U233" t="s">
        <v>4886</v>
      </c>
      <c r="V233" t="s">
        <v>4887</v>
      </c>
      <c r="W233" t="s">
        <v>4888</v>
      </c>
      <c r="X233" t="s">
        <v>4889</v>
      </c>
      <c r="Y233" t="s">
        <v>4890</v>
      </c>
      <c r="Z233" t="s">
        <v>4891</v>
      </c>
      <c r="AA233" t="s">
        <v>4892</v>
      </c>
      <c r="AB233" t="s">
        <v>4893</v>
      </c>
      <c r="AC233" t="s">
        <v>4894</v>
      </c>
      <c r="AD233" t="s">
        <v>4895</v>
      </c>
      <c r="AE233" t="s">
        <v>4896</v>
      </c>
      <c r="AF233" t="s">
        <v>74</v>
      </c>
      <c r="AG233">
        <v>66</v>
      </c>
      <c r="AH233">
        <v>20</v>
      </c>
      <c r="AI233">
        <v>20</v>
      </c>
      <c r="AJ233">
        <v>0</v>
      </c>
      <c r="AK233">
        <v>12</v>
      </c>
      <c r="AL233" t="s">
        <v>251</v>
      </c>
      <c r="AM233" t="s">
        <v>252</v>
      </c>
      <c r="AN233" t="s">
        <v>253</v>
      </c>
      <c r="AO233" t="s">
        <v>4897</v>
      </c>
      <c r="AP233" t="s">
        <v>4898</v>
      </c>
      <c r="AQ233" t="s">
        <v>74</v>
      </c>
      <c r="AR233" t="s">
        <v>4899</v>
      </c>
      <c r="AS233" t="s">
        <v>4900</v>
      </c>
      <c r="AT233" t="s">
        <v>2930</v>
      </c>
      <c r="AU233">
        <v>2019</v>
      </c>
      <c r="AV233">
        <v>76</v>
      </c>
      <c r="AW233">
        <v>8</v>
      </c>
      <c r="AX233" t="s">
        <v>74</v>
      </c>
      <c r="AY233" t="s">
        <v>74</v>
      </c>
      <c r="AZ233" t="s">
        <v>74</v>
      </c>
      <c r="BA233" t="s">
        <v>74</v>
      </c>
      <c r="BB233">
        <v>2481</v>
      </c>
      <c r="BC233">
        <v>2503</v>
      </c>
      <c r="BD233" t="s">
        <v>74</v>
      </c>
      <c r="BE233" t="s">
        <v>4901</v>
      </c>
      <c r="BF233" t="str">
        <f>HYPERLINK("http://dx.doi.org/10.1175/JAS-D-18-0277.1","http://dx.doi.org/10.1175/JAS-D-18-0277.1")</f>
        <v>http://dx.doi.org/10.1175/JAS-D-18-0277.1</v>
      </c>
      <c r="BG233" t="s">
        <v>74</v>
      </c>
      <c r="BH233" t="s">
        <v>74</v>
      </c>
      <c r="BI233">
        <v>23</v>
      </c>
      <c r="BJ233" t="s">
        <v>259</v>
      </c>
      <c r="BK233" t="s">
        <v>101</v>
      </c>
      <c r="BL233" t="s">
        <v>259</v>
      </c>
      <c r="BM233" t="s">
        <v>4902</v>
      </c>
      <c r="BN233" t="s">
        <v>74</v>
      </c>
      <c r="BO233" t="s">
        <v>1308</v>
      </c>
      <c r="BP233" t="s">
        <v>74</v>
      </c>
      <c r="BQ233" t="s">
        <v>74</v>
      </c>
      <c r="BR233" t="s">
        <v>103</v>
      </c>
      <c r="BS233" t="s">
        <v>4903</v>
      </c>
      <c r="BT233" t="str">
        <f>HYPERLINK("https%3A%2F%2Fwww.webofscience.com%2Fwos%2Fwoscc%2Ffull-record%2FWOS:000477588300001","View Full Record in Web of Science")</f>
        <v>View Full Record in Web of Science</v>
      </c>
    </row>
    <row r="234" spans="1:72" x14ac:dyDescent="0.15">
      <c r="A234" t="s">
        <v>72</v>
      </c>
      <c r="B234" t="s">
        <v>4904</v>
      </c>
      <c r="C234" t="s">
        <v>74</v>
      </c>
      <c r="D234" t="s">
        <v>74</v>
      </c>
      <c r="E234" t="s">
        <v>74</v>
      </c>
      <c r="F234" t="s">
        <v>4905</v>
      </c>
      <c r="G234" t="s">
        <v>74</v>
      </c>
      <c r="H234" t="s">
        <v>74</v>
      </c>
      <c r="I234" t="s">
        <v>4906</v>
      </c>
      <c r="J234" t="s">
        <v>4907</v>
      </c>
      <c r="K234" t="s">
        <v>74</v>
      </c>
      <c r="L234" t="s">
        <v>74</v>
      </c>
      <c r="M234" t="s">
        <v>78</v>
      </c>
      <c r="N234" t="s">
        <v>108</v>
      </c>
      <c r="O234" t="s">
        <v>74</v>
      </c>
      <c r="P234" t="s">
        <v>74</v>
      </c>
      <c r="Q234" t="s">
        <v>74</v>
      </c>
      <c r="R234" t="s">
        <v>74</v>
      </c>
      <c r="S234" t="s">
        <v>74</v>
      </c>
      <c r="T234" t="s">
        <v>4908</v>
      </c>
      <c r="U234" t="s">
        <v>4909</v>
      </c>
      <c r="V234" t="s">
        <v>4910</v>
      </c>
      <c r="W234" t="s">
        <v>4911</v>
      </c>
      <c r="X234" t="s">
        <v>4912</v>
      </c>
      <c r="Y234" t="s">
        <v>4913</v>
      </c>
      <c r="Z234" t="s">
        <v>4914</v>
      </c>
      <c r="AA234" t="s">
        <v>4915</v>
      </c>
      <c r="AB234" t="s">
        <v>4916</v>
      </c>
      <c r="AC234" t="s">
        <v>4917</v>
      </c>
      <c r="AD234" t="s">
        <v>4918</v>
      </c>
      <c r="AE234" t="s">
        <v>4919</v>
      </c>
      <c r="AF234" t="s">
        <v>74</v>
      </c>
      <c r="AG234">
        <v>82</v>
      </c>
      <c r="AH234">
        <v>6</v>
      </c>
      <c r="AI234">
        <v>7</v>
      </c>
      <c r="AJ234">
        <v>0</v>
      </c>
      <c r="AK234">
        <v>11</v>
      </c>
      <c r="AL234" t="s">
        <v>1140</v>
      </c>
      <c r="AM234" t="s">
        <v>1141</v>
      </c>
      <c r="AN234" t="s">
        <v>1142</v>
      </c>
      <c r="AO234" t="s">
        <v>4920</v>
      </c>
      <c r="AP234" t="s">
        <v>4921</v>
      </c>
      <c r="AQ234" t="s">
        <v>74</v>
      </c>
      <c r="AR234" t="s">
        <v>4922</v>
      </c>
      <c r="AS234" t="s">
        <v>4923</v>
      </c>
      <c r="AT234" t="s">
        <v>2930</v>
      </c>
      <c r="AU234">
        <v>2019</v>
      </c>
      <c r="AV234">
        <v>57</v>
      </c>
      <c r="AW234">
        <v>3</v>
      </c>
      <c r="AX234" t="s">
        <v>74</v>
      </c>
      <c r="AY234" t="s">
        <v>74</v>
      </c>
      <c r="AZ234" t="s">
        <v>74</v>
      </c>
      <c r="BA234" t="s">
        <v>74</v>
      </c>
      <c r="BB234">
        <v>485</v>
      </c>
      <c r="BC234">
        <v>496</v>
      </c>
      <c r="BD234" t="s">
        <v>74</v>
      </c>
      <c r="BE234" t="s">
        <v>4924</v>
      </c>
      <c r="BF234" t="str">
        <f>HYPERLINK("http://dx.doi.org/10.1111/jzs.12278","http://dx.doi.org/10.1111/jzs.12278")</f>
        <v>http://dx.doi.org/10.1111/jzs.12278</v>
      </c>
      <c r="BG234" t="s">
        <v>74</v>
      </c>
      <c r="BH234" t="s">
        <v>74</v>
      </c>
      <c r="BI234">
        <v>12</v>
      </c>
      <c r="BJ234" t="s">
        <v>4925</v>
      </c>
      <c r="BK234" t="s">
        <v>101</v>
      </c>
      <c r="BL234" t="s">
        <v>4925</v>
      </c>
      <c r="BM234" t="s">
        <v>4926</v>
      </c>
      <c r="BN234" t="s">
        <v>74</v>
      </c>
      <c r="BO234" t="s">
        <v>313</v>
      </c>
      <c r="BP234" t="s">
        <v>74</v>
      </c>
      <c r="BQ234" t="s">
        <v>74</v>
      </c>
      <c r="BR234" t="s">
        <v>103</v>
      </c>
      <c r="BS234" t="s">
        <v>4927</v>
      </c>
      <c r="BT234" t="str">
        <f>HYPERLINK("https%3A%2F%2Fwww.webofscience.com%2Fwos%2Fwoscc%2Ffull-record%2FWOS:000477667800001","View Full Record in Web of Science")</f>
        <v>View Full Record in Web of Science</v>
      </c>
    </row>
    <row r="235" spans="1:72" x14ac:dyDescent="0.15">
      <c r="A235" t="s">
        <v>72</v>
      </c>
      <c r="B235" t="s">
        <v>4928</v>
      </c>
      <c r="C235" t="s">
        <v>74</v>
      </c>
      <c r="D235" t="s">
        <v>74</v>
      </c>
      <c r="E235" t="s">
        <v>74</v>
      </c>
      <c r="F235" t="s">
        <v>4929</v>
      </c>
      <c r="G235" t="s">
        <v>74</v>
      </c>
      <c r="H235" t="s">
        <v>74</v>
      </c>
      <c r="I235" t="s">
        <v>4930</v>
      </c>
      <c r="J235" t="s">
        <v>4931</v>
      </c>
      <c r="K235" t="s">
        <v>74</v>
      </c>
      <c r="L235" t="s">
        <v>74</v>
      </c>
      <c r="M235" t="s">
        <v>78</v>
      </c>
      <c r="N235" t="s">
        <v>108</v>
      </c>
      <c r="O235" t="s">
        <v>74</v>
      </c>
      <c r="P235" t="s">
        <v>74</v>
      </c>
      <c r="Q235" t="s">
        <v>74</v>
      </c>
      <c r="R235" t="s">
        <v>74</v>
      </c>
      <c r="S235" t="s">
        <v>74</v>
      </c>
      <c r="T235" t="s">
        <v>74</v>
      </c>
      <c r="U235" t="s">
        <v>4932</v>
      </c>
      <c r="V235" t="s">
        <v>4933</v>
      </c>
      <c r="W235" t="s">
        <v>4934</v>
      </c>
      <c r="X235" t="s">
        <v>4935</v>
      </c>
      <c r="Y235" t="s">
        <v>4936</v>
      </c>
      <c r="Z235" t="s">
        <v>74</v>
      </c>
      <c r="AA235" t="s">
        <v>74</v>
      </c>
      <c r="AB235" t="s">
        <v>4937</v>
      </c>
      <c r="AC235" t="s">
        <v>74</v>
      </c>
      <c r="AD235" t="s">
        <v>74</v>
      </c>
      <c r="AE235" t="s">
        <v>74</v>
      </c>
      <c r="AF235" t="s">
        <v>74</v>
      </c>
      <c r="AG235">
        <v>79</v>
      </c>
      <c r="AH235">
        <v>8</v>
      </c>
      <c r="AI235">
        <v>9</v>
      </c>
      <c r="AJ235">
        <v>1</v>
      </c>
      <c r="AK235">
        <v>2</v>
      </c>
      <c r="AL235" t="s">
        <v>4938</v>
      </c>
      <c r="AM235" t="s">
        <v>4939</v>
      </c>
      <c r="AN235" t="s">
        <v>4940</v>
      </c>
      <c r="AO235" t="s">
        <v>4941</v>
      </c>
      <c r="AP235" t="s">
        <v>4942</v>
      </c>
      <c r="AQ235" t="s">
        <v>74</v>
      </c>
      <c r="AR235" t="s">
        <v>4943</v>
      </c>
      <c r="AS235" t="s">
        <v>4944</v>
      </c>
      <c r="AT235" t="s">
        <v>2930</v>
      </c>
      <c r="AU235">
        <v>2019</v>
      </c>
      <c r="AV235">
        <v>11</v>
      </c>
      <c r="AW235">
        <v>4</v>
      </c>
      <c r="AX235" t="s">
        <v>74</v>
      </c>
      <c r="AY235" t="s">
        <v>74</v>
      </c>
      <c r="AZ235" t="s">
        <v>74</v>
      </c>
      <c r="BA235" t="s">
        <v>74</v>
      </c>
      <c r="BB235">
        <v>551</v>
      </c>
      <c r="BC235">
        <v>559</v>
      </c>
      <c r="BD235" t="s">
        <v>74</v>
      </c>
      <c r="BE235" t="s">
        <v>4945</v>
      </c>
      <c r="BF235" t="str">
        <f>HYPERLINK("http://dx.doi.org/10.1130/L1072.1","http://dx.doi.org/10.1130/L1072.1")</f>
        <v>http://dx.doi.org/10.1130/L1072.1</v>
      </c>
      <c r="BG235" t="s">
        <v>74</v>
      </c>
      <c r="BH235" t="s">
        <v>74</v>
      </c>
      <c r="BI235">
        <v>9</v>
      </c>
      <c r="BJ235" t="s">
        <v>4946</v>
      </c>
      <c r="BK235" t="s">
        <v>101</v>
      </c>
      <c r="BL235" t="s">
        <v>4946</v>
      </c>
      <c r="BM235" t="s">
        <v>4947</v>
      </c>
      <c r="BN235" t="s">
        <v>74</v>
      </c>
      <c r="BO235" t="s">
        <v>2565</v>
      </c>
      <c r="BP235" t="s">
        <v>74</v>
      </c>
      <c r="BQ235" t="s">
        <v>74</v>
      </c>
      <c r="BR235" t="s">
        <v>103</v>
      </c>
      <c r="BS235" t="s">
        <v>4948</v>
      </c>
      <c r="BT235" t="str">
        <f>HYPERLINK("https%3A%2F%2Fwww.webofscience.com%2Fwos%2Fwoscc%2Ffull-record%2FWOS:000477562500008","View Full Record in Web of Science")</f>
        <v>View Full Record in Web of Science</v>
      </c>
    </row>
    <row r="236" spans="1:72" x14ac:dyDescent="0.15">
      <c r="A236" t="s">
        <v>72</v>
      </c>
      <c r="B236" t="s">
        <v>4949</v>
      </c>
      <c r="C236" t="s">
        <v>74</v>
      </c>
      <c r="D236" t="s">
        <v>74</v>
      </c>
      <c r="E236" t="s">
        <v>74</v>
      </c>
      <c r="F236" t="s">
        <v>4950</v>
      </c>
      <c r="G236" t="s">
        <v>74</v>
      </c>
      <c r="H236" t="s">
        <v>74</v>
      </c>
      <c r="I236" t="s">
        <v>4951</v>
      </c>
      <c r="J236" t="s">
        <v>4952</v>
      </c>
      <c r="K236" t="s">
        <v>74</v>
      </c>
      <c r="L236" t="s">
        <v>74</v>
      </c>
      <c r="M236" t="s">
        <v>78</v>
      </c>
      <c r="N236" t="s">
        <v>108</v>
      </c>
      <c r="O236" t="s">
        <v>74</v>
      </c>
      <c r="P236" t="s">
        <v>74</v>
      </c>
      <c r="Q236" t="s">
        <v>74</v>
      </c>
      <c r="R236" t="s">
        <v>74</v>
      </c>
      <c r="S236" t="s">
        <v>74</v>
      </c>
      <c r="T236" t="s">
        <v>4953</v>
      </c>
      <c r="U236" t="s">
        <v>4954</v>
      </c>
      <c r="V236" t="s">
        <v>4955</v>
      </c>
      <c r="W236" t="s">
        <v>4956</v>
      </c>
      <c r="X236" t="s">
        <v>4957</v>
      </c>
      <c r="Y236" t="s">
        <v>4958</v>
      </c>
      <c r="Z236" t="s">
        <v>4959</v>
      </c>
      <c r="AA236" t="s">
        <v>4960</v>
      </c>
      <c r="AB236" t="s">
        <v>4961</v>
      </c>
      <c r="AC236" t="s">
        <v>4962</v>
      </c>
      <c r="AD236" t="s">
        <v>4963</v>
      </c>
      <c r="AE236" t="s">
        <v>4964</v>
      </c>
      <c r="AF236" t="s">
        <v>74</v>
      </c>
      <c r="AG236">
        <v>87</v>
      </c>
      <c r="AH236">
        <v>6</v>
      </c>
      <c r="AI236">
        <v>8</v>
      </c>
      <c r="AJ236">
        <v>3</v>
      </c>
      <c r="AK236">
        <v>30</v>
      </c>
      <c r="AL236" t="s">
        <v>3533</v>
      </c>
      <c r="AM236" t="s">
        <v>93</v>
      </c>
      <c r="AN236" t="s">
        <v>3534</v>
      </c>
      <c r="AO236" t="s">
        <v>4965</v>
      </c>
      <c r="AP236" t="s">
        <v>4966</v>
      </c>
      <c r="AQ236" t="s">
        <v>74</v>
      </c>
      <c r="AR236" t="s">
        <v>4967</v>
      </c>
      <c r="AS236" t="s">
        <v>4968</v>
      </c>
      <c r="AT236" t="s">
        <v>3993</v>
      </c>
      <c r="AU236">
        <v>2019</v>
      </c>
      <c r="AV236">
        <v>178</v>
      </c>
      <c r="AW236" t="s">
        <v>74</v>
      </c>
      <c r="AX236" t="s">
        <v>74</v>
      </c>
      <c r="AY236" t="s">
        <v>74</v>
      </c>
      <c r="AZ236" t="s">
        <v>74</v>
      </c>
      <c r="BA236" t="s">
        <v>74</v>
      </c>
      <c r="BB236" t="s">
        <v>74</v>
      </c>
      <c r="BC236" t="s">
        <v>74</v>
      </c>
      <c r="BD236">
        <v>104824</v>
      </c>
      <c r="BE236" t="s">
        <v>4969</v>
      </c>
      <c r="BF236" t="str">
        <f>HYPERLINK("http://dx.doi.org/10.1016/j.ocecoaman.2019.104824","http://dx.doi.org/10.1016/j.ocecoaman.2019.104824")</f>
        <v>http://dx.doi.org/10.1016/j.ocecoaman.2019.104824</v>
      </c>
      <c r="BG236" t="s">
        <v>74</v>
      </c>
      <c r="BH236" t="s">
        <v>74</v>
      </c>
      <c r="BI236">
        <v>8</v>
      </c>
      <c r="BJ236" t="s">
        <v>4970</v>
      </c>
      <c r="BK236" t="s">
        <v>3718</v>
      </c>
      <c r="BL236" t="s">
        <v>4970</v>
      </c>
      <c r="BM236" t="s">
        <v>4971</v>
      </c>
      <c r="BN236" t="s">
        <v>74</v>
      </c>
      <c r="BO236" t="s">
        <v>261</v>
      </c>
      <c r="BP236" t="s">
        <v>74</v>
      </c>
      <c r="BQ236" t="s">
        <v>74</v>
      </c>
      <c r="BR236" t="s">
        <v>103</v>
      </c>
      <c r="BS236" t="s">
        <v>4972</v>
      </c>
      <c r="BT236" t="str">
        <f>HYPERLINK("https%3A%2F%2Fwww.webofscience.com%2Fwos%2Fwoscc%2Ffull-record%2FWOS:000477784400020","View Full Record in Web of Science")</f>
        <v>View Full Record in Web of Science</v>
      </c>
    </row>
    <row r="237" spans="1:72" x14ac:dyDescent="0.15">
      <c r="A237" t="s">
        <v>72</v>
      </c>
      <c r="B237" t="s">
        <v>4973</v>
      </c>
      <c r="C237" t="s">
        <v>74</v>
      </c>
      <c r="D237" t="s">
        <v>74</v>
      </c>
      <c r="E237" t="s">
        <v>74</v>
      </c>
      <c r="F237" t="s">
        <v>4974</v>
      </c>
      <c r="G237" t="s">
        <v>74</v>
      </c>
      <c r="H237" t="s">
        <v>74</v>
      </c>
      <c r="I237" t="s">
        <v>4975</v>
      </c>
      <c r="J237" t="s">
        <v>4952</v>
      </c>
      <c r="K237" t="s">
        <v>74</v>
      </c>
      <c r="L237" t="s">
        <v>74</v>
      </c>
      <c r="M237" t="s">
        <v>78</v>
      </c>
      <c r="N237" t="s">
        <v>108</v>
      </c>
      <c r="O237" t="s">
        <v>74</v>
      </c>
      <c r="P237" t="s">
        <v>74</v>
      </c>
      <c r="Q237" t="s">
        <v>74</v>
      </c>
      <c r="R237" t="s">
        <v>74</v>
      </c>
      <c r="S237" t="s">
        <v>74</v>
      </c>
      <c r="T237" t="s">
        <v>4976</v>
      </c>
      <c r="U237" t="s">
        <v>4977</v>
      </c>
      <c r="V237" t="s">
        <v>4978</v>
      </c>
      <c r="W237" t="s">
        <v>4979</v>
      </c>
      <c r="X237" t="s">
        <v>4980</v>
      </c>
      <c r="Y237" t="s">
        <v>4981</v>
      </c>
      <c r="Z237" t="s">
        <v>4982</v>
      </c>
      <c r="AA237" t="s">
        <v>4983</v>
      </c>
      <c r="AB237" t="s">
        <v>4984</v>
      </c>
      <c r="AC237" t="s">
        <v>4985</v>
      </c>
      <c r="AD237" t="s">
        <v>4986</v>
      </c>
      <c r="AE237" t="s">
        <v>4987</v>
      </c>
      <c r="AF237" t="s">
        <v>74</v>
      </c>
      <c r="AG237">
        <v>62</v>
      </c>
      <c r="AH237">
        <v>21</v>
      </c>
      <c r="AI237">
        <v>21</v>
      </c>
      <c r="AJ237">
        <v>2</v>
      </c>
      <c r="AK237">
        <v>30</v>
      </c>
      <c r="AL237" t="s">
        <v>3533</v>
      </c>
      <c r="AM237" t="s">
        <v>4988</v>
      </c>
      <c r="AN237" t="s">
        <v>4989</v>
      </c>
      <c r="AO237" t="s">
        <v>4965</v>
      </c>
      <c r="AP237" t="s">
        <v>4966</v>
      </c>
      <c r="AQ237" t="s">
        <v>74</v>
      </c>
      <c r="AR237" t="s">
        <v>4967</v>
      </c>
      <c r="AS237" t="s">
        <v>4968</v>
      </c>
      <c r="AT237" t="s">
        <v>3993</v>
      </c>
      <c r="AU237">
        <v>2019</v>
      </c>
      <c r="AV237">
        <v>178</v>
      </c>
      <c r="AW237" t="s">
        <v>74</v>
      </c>
      <c r="AX237" t="s">
        <v>74</v>
      </c>
      <c r="AY237" t="s">
        <v>74</v>
      </c>
      <c r="AZ237" t="s">
        <v>74</v>
      </c>
      <c r="BA237" t="s">
        <v>74</v>
      </c>
      <c r="BB237" t="s">
        <v>74</v>
      </c>
      <c r="BC237" t="s">
        <v>74</v>
      </c>
      <c r="BD237">
        <v>104855</v>
      </c>
      <c r="BE237" t="s">
        <v>4990</v>
      </c>
      <c r="BF237" t="str">
        <f>HYPERLINK("http://dx.doi.org/10.1016/j.ocecoaman.2019.104855","http://dx.doi.org/10.1016/j.ocecoaman.2019.104855")</f>
        <v>http://dx.doi.org/10.1016/j.ocecoaman.2019.104855</v>
      </c>
      <c r="BG237" t="s">
        <v>74</v>
      </c>
      <c r="BH237" t="s">
        <v>74</v>
      </c>
      <c r="BI237">
        <v>9</v>
      </c>
      <c r="BJ237" t="s">
        <v>4970</v>
      </c>
      <c r="BK237" t="s">
        <v>3718</v>
      </c>
      <c r="BL237" t="s">
        <v>4970</v>
      </c>
      <c r="BM237" t="s">
        <v>4971</v>
      </c>
      <c r="BN237" t="s">
        <v>74</v>
      </c>
      <c r="BO237" t="s">
        <v>74</v>
      </c>
      <c r="BP237" t="s">
        <v>74</v>
      </c>
      <c r="BQ237" t="s">
        <v>74</v>
      </c>
      <c r="BR237" t="s">
        <v>103</v>
      </c>
      <c r="BS237" t="s">
        <v>4991</v>
      </c>
      <c r="BT237" t="str">
        <f>HYPERLINK("https%3A%2F%2Fwww.webofscience.com%2Fwos%2Fwoscc%2Ffull-record%2FWOS:000477784400030","View Full Record in Web of Science")</f>
        <v>View Full Record in Web of Science</v>
      </c>
    </row>
    <row r="238" spans="1:72" x14ac:dyDescent="0.15">
      <c r="A238" t="s">
        <v>72</v>
      </c>
      <c r="B238" t="s">
        <v>4992</v>
      </c>
      <c r="C238" t="s">
        <v>74</v>
      </c>
      <c r="D238" t="s">
        <v>74</v>
      </c>
      <c r="E238" t="s">
        <v>74</v>
      </c>
      <c r="F238" t="s">
        <v>4993</v>
      </c>
      <c r="G238" t="s">
        <v>74</v>
      </c>
      <c r="H238" t="s">
        <v>74</v>
      </c>
      <c r="I238" t="s">
        <v>4994</v>
      </c>
      <c r="J238" t="s">
        <v>4995</v>
      </c>
      <c r="K238" t="s">
        <v>74</v>
      </c>
      <c r="L238" t="s">
        <v>74</v>
      </c>
      <c r="M238" t="s">
        <v>78</v>
      </c>
      <c r="N238" t="s">
        <v>108</v>
      </c>
      <c r="O238" t="s">
        <v>74</v>
      </c>
      <c r="P238" t="s">
        <v>74</v>
      </c>
      <c r="Q238" t="s">
        <v>74</v>
      </c>
      <c r="R238" t="s">
        <v>74</v>
      </c>
      <c r="S238" t="s">
        <v>74</v>
      </c>
      <c r="T238" t="s">
        <v>74</v>
      </c>
      <c r="U238" t="s">
        <v>4996</v>
      </c>
      <c r="V238" t="s">
        <v>4997</v>
      </c>
      <c r="W238" t="s">
        <v>4998</v>
      </c>
      <c r="X238" t="s">
        <v>4999</v>
      </c>
      <c r="Y238" t="s">
        <v>5000</v>
      </c>
      <c r="Z238" t="s">
        <v>5001</v>
      </c>
      <c r="AA238" t="s">
        <v>5002</v>
      </c>
      <c r="AB238" t="s">
        <v>5003</v>
      </c>
      <c r="AC238" t="s">
        <v>5004</v>
      </c>
      <c r="AD238" t="s">
        <v>5005</v>
      </c>
      <c r="AE238" t="s">
        <v>5006</v>
      </c>
      <c r="AF238" t="s">
        <v>74</v>
      </c>
      <c r="AG238">
        <v>46</v>
      </c>
      <c r="AH238">
        <v>14</v>
      </c>
      <c r="AI238">
        <v>15</v>
      </c>
      <c r="AJ238">
        <v>1</v>
      </c>
      <c r="AK238">
        <v>7</v>
      </c>
      <c r="AL238" t="s">
        <v>154</v>
      </c>
      <c r="AM238" t="s">
        <v>4016</v>
      </c>
      <c r="AN238" t="s">
        <v>4017</v>
      </c>
      <c r="AO238" t="s">
        <v>5007</v>
      </c>
      <c r="AP238" t="s">
        <v>5008</v>
      </c>
      <c r="AQ238" t="s">
        <v>74</v>
      </c>
      <c r="AR238" t="s">
        <v>5009</v>
      </c>
      <c r="AS238" t="s">
        <v>5010</v>
      </c>
      <c r="AT238" t="s">
        <v>2930</v>
      </c>
      <c r="AU238">
        <v>2019</v>
      </c>
      <c r="AV238">
        <v>53</v>
      </c>
      <c r="AW238" t="s">
        <v>5011</v>
      </c>
      <c r="AX238" t="s">
        <v>74</v>
      </c>
      <c r="AY238" t="s">
        <v>74</v>
      </c>
      <c r="AZ238" t="s">
        <v>74</v>
      </c>
      <c r="BA238" t="s">
        <v>74</v>
      </c>
      <c r="BB238">
        <v>1435</v>
      </c>
      <c r="BC238">
        <v>1452</v>
      </c>
      <c r="BD238" t="s">
        <v>74</v>
      </c>
      <c r="BE238" t="s">
        <v>5012</v>
      </c>
      <c r="BF238" t="str">
        <f>HYPERLINK("http://dx.doi.org/10.1007/s00382-019-04674-8","http://dx.doi.org/10.1007/s00382-019-04674-8")</f>
        <v>http://dx.doi.org/10.1007/s00382-019-04674-8</v>
      </c>
      <c r="BG238" t="s">
        <v>74</v>
      </c>
      <c r="BH238" t="s">
        <v>74</v>
      </c>
      <c r="BI238">
        <v>18</v>
      </c>
      <c r="BJ238" t="s">
        <v>259</v>
      </c>
      <c r="BK238" t="s">
        <v>101</v>
      </c>
      <c r="BL238" t="s">
        <v>259</v>
      </c>
      <c r="BM238" t="s">
        <v>5013</v>
      </c>
      <c r="BN238" t="s">
        <v>74</v>
      </c>
      <c r="BO238" t="s">
        <v>555</v>
      </c>
      <c r="BP238" t="s">
        <v>74</v>
      </c>
      <c r="BQ238" t="s">
        <v>74</v>
      </c>
      <c r="BR238" t="s">
        <v>103</v>
      </c>
      <c r="BS238" t="s">
        <v>5014</v>
      </c>
      <c r="BT238" t="str">
        <f>HYPERLINK("https%3A%2F%2Fwww.webofscience.com%2Fwos%2Fwoscc%2Ffull-record%2FWOS:000475558800012","View Full Record in Web of Science")</f>
        <v>View Full Record in Web of Science</v>
      </c>
    </row>
    <row r="239" spans="1:72" x14ac:dyDescent="0.15">
      <c r="A239" t="s">
        <v>72</v>
      </c>
      <c r="B239" t="s">
        <v>5015</v>
      </c>
      <c r="C239" t="s">
        <v>74</v>
      </c>
      <c r="D239" t="s">
        <v>74</v>
      </c>
      <c r="E239" t="s">
        <v>74</v>
      </c>
      <c r="F239" t="s">
        <v>5016</v>
      </c>
      <c r="G239" t="s">
        <v>74</v>
      </c>
      <c r="H239" t="s">
        <v>74</v>
      </c>
      <c r="I239" t="s">
        <v>5017</v>
      </c>
      <c r="J239" t="s">
        <v>5018</v>
      </c>
      <c r="K239" t="s">
        <v>74</v>
      </c>
      <c r="L239" t="s">
        <v>74</v>
      </c>
      <c r="M239" t="s">
        <v>78</v>
      </c>
      <c r="N239" t="s">
        <v>108</v>
      </c>
      <c r="O239" t="s">
        <v>74</v>
      </c>
      <c r="P239" t="s">
        <v>74</v>
      </c>
      <c r="Q239" t="s">
        <v>74</v>
      </c>
      <c r="R239" t="s">
        <v>74</v>
      </c>
      <c r="S239" t="s">
        <v>74</v>
      </c>
      <c r="T239" t="s">
        <v>5019</v>
      </c>
      <c r="U239" t="s">
        <v>5020</v>
      </c>
      <c r="V239" t="s">
        <v>5021</v>
      </c>
      <c r="W239" t="s">
        <v>5022</v>
      </c>
      <c r="X239" t="s">
        <v>5023</v>
      </c>
      <c r="Y239" t="s">
        <v>5024</v>
      </c>
      <c r="Z239" t="s">
        <v>5025</v>
      </c>
      <c r="AA239" t="s">
        <v>5026</v>
      </c>
      <c r="AB239" t="s">
        <v>5027</v>
      </c>
      <c r="AC239" t="s">
        <v>5028</v>
      </c>
      <c r="AD239" t="s">
        <v>5029</v>
      </c>
      <c r="AE239" t="s">
        <v>5030</v>
      </c>
      <c r="AF239" t="s">
        <v>74</v>
      </c>
      <c r="AG239">
        <v>129</v>
      </c>
      <c r="AH239">
        <v>1</v>
      </c>
      <c r="AI239">
        <v>2</v>
      </c>
      <c r="AJ239">
        <v>0</v>
      </c>
      <c r="AK239">
        <v>15</v>
      </c>
      <c r="AL239" t="s">
        <v>154</v>
      </c>
      <c r="AM239" t="s">
        <v>155</v>
      </c>
      <c r="AN239" t="s">
        <v>156</v>
      </c>
      <c r="AO239" t="s">
        <v>5031</v>
      </c>
      <c r="AP239" t="s">
        <v>5032</v>
      </c>
      <c r="AQ239" t="s">
        <v>74</v>
      </c>
      <c r="AR239" t="s">
        <v>5033</v>
      </c>
      <c r="AS239" t="s">
        <v>5034</v>
      </c>
      <c r="AT239" t="s">
        <v>2930</v>
      </c>
      <c r="AU239">
        <v>2019</v>
      </c>
      <c r="AV239">
        <v>45</v>
      </c>
      <c r="AW239">
        <v>4</v>
      </c>
      <c r="AX239" t="s">
        <v>74</v>
      </c>
      <c r="AY239" t="s">
        <v>74</v>
      </c>
      <c r="AZ239" t="s">
        <v>74</v>
      </c>
      <c r="BA239" t="s">
        <v>74</v>
      </c>
      <c r="BB239">
        <v>1445</v>
      </c>
      <c r="BC239">
        <v>1461</v>
      </c>
      <c r="BD239" t="s">
        <v>74</v>
      </c>
      <c r="BE239" t="s">
        <v>5035</v>
      </c>
      <c r="BF239" t="str">
        <f>HYPERLINK("http://dx.doi.org/10.1007/s10695-019-00660-3","http://dx.doi.org/10.1007/s10695-019-00660-3")</f>
        <v>http://dx.doi.org/10.1007/s10695-019-00660-3</v>
      </c>
      <c r="BG239" t="s">
        <v>74</v>
      </c>
      <c r="BH239" t="s">
        <v>74</v>
      </c>
      <c r="BI239">
        <v>17</v>
      </c>
      <c r="BJ239" t="s">
        <v>5036</v>
      </c>
      <c r="BK239" t="s">
        <v>101</v>
      </c>
      <c r="BL239" t="s">
        <v>5036</v>
      </c>
      <c r="BM239" t="s">
        <v>5037</v>
      </c>
      <c r="BN239">
        <v>31172345</v>
      </c>
      <c r="BO239" t="s">
        <v>74</v>
      </c>
      <c r="BP239" t="s">
        <v>74</v>
      </c>
      <c r="BQ239" t="s">
        <v>74</v>
      </c>
      <c r="BR239" t="s">
        <v>103</v>
      </c>
      <c r="BS239" t="s">
        <v>5038</v>
      </c>
      <c r="BT239" t="str">
        <f>HYPERLINK("https%3A%2F%2Fwww.webofscience.com%2Fwos%2Fwoscc%2Ffull-record%2FWOS:000476535800019","View Full Record in Web of Science")</f>
        <v>View Full Record in Web of Science</v>
      </c>
    </row>
    <row r="240" spans="1:72" x14ac:dyDescent="0.15">
      <c r="A240" t="s">
        <v>72</v>
      </c>
      <c r="B240" t="s">
        <v>5039</v>
      </c>
      <c r="C240" t="s">
        <v>74</v>
      </c>
      <c r="D240" t="s">
        <v>74</v>
      </c>
      <c r="E240" t="s">
        <v>74</v>
      </c>
      <c r="F240" t="s">
        <v>5040</v>
      </c>
      <c r="G240" t="s">
        <v>74</v>
      </c>
      <c r="H240" t="s">
        <v>74</v>
      </c>
      <c r="I240" t="s">
        <v>5041</v>
      </c>
      <c r="J240" t="s">
        <v>238</v>
      </c>
      <c r="K240" t="s">
        <v>74</v>
      </c>
      <c r="L240" t="s">
        <v>74</v>
      </c>
      <c r="M240" t="s">
        <v>78</v>
      </c>
      <c r="N240" t="s">
        <v>108</v>
      </c>
      <c r="O240" t="s">
        <v>74</v>
      </c>
      <c r="P240" t="s">
        <v>74</v>
      </c>
      <c r="Q240" t="s">
        <v>74</v>
      </c>
      <c r="R240" t="s">
        <v>74</v>
      </c>
      <c r="S240" t="s">
        <v>74</v>
      </c>
      <c r="T240" t="s">
        <v>5042</v>
      </c>
      <c r="U240" t="s">
        <v>5043</v>
      </c>
      <c r="V240" t="s">
        <v>5044</v>
      </c>
      <c r="W240" t="s">
        <v>5045</v>
      </c>
      <c r="X240" t="s">
        <v>5046</v>
      </c>
      <c r="Y240" t="s">
        <v>5047</v>
      </c>
      <c r="Z240" t="s">
        <v>5048</v>
      </c>
      <c r="AA240" t="s">
        <v>5049</v>
      </c>
      <c r="AB240" t="s">
        <v>5050</v>
      </c>
      <c r="AC240" t="s">
        <v>5051</v>
      </c>
      <c r="AD240" t="s">
        <v>3082</v>
      </c>
      <c r="AE240" t="s">
        <v>5052</v>
      </c>
      <c r="AF240" t="s">
        <v>74</v>
      </c>
      <c r="AG240">
        <v>46</v>
      </c>
      <c r="AH240">
        <v>21</v>
      </c>
      <c r="AI240">
        <v>22</v>
      </c>
      <c r="AJ240">
        <v>1</v>
      </c>
      <c r="AK240">
        <v>19</v>
      </c>
      <c r="AL240" t="s">
        <v>251</v>
      </c>
      <c r="AM240" t="s">
        <v>252</v>
      </c>
      <c r="AN240" t="s">
        <v>253</v>
      </c>
      <c r="AO240" t="s">
        <v>254</v>
      </c>
      <c r="AP240" t="s">
        <v>255</v>
      </c>
      <c r="AQ240" t="s">
        <v>74</v>
      </c>
      <c r="AR240" t="s">
        <v>256</v>
      </c>
      <c r="AS240" t="s">
        <v>257</v>
      </c>
      <c r="AT240" t="s">
        <v>2930</v>
      </c>
      <c r="AU240">
        <v>2019</v>
      </c>
      <c r="AV240">
        <v>32</v>
      </c>
      <c r="AW240">
        <v>16</v>
      </c>
      <c r="AX240" t="s">
        <v>74</v>
      </c>
      <c r="AY240" t="s">
        <v>74</v>
      </c>
      <c r="AZ240" t="s">
        <v>74</v>
      </c>
      <c r="BA240" t="s">
        <v>74</v>
      </c>
      <c r="BB240">
        <v>5107</v>
      </c>
      <c r="BC240">
        <v>5121</v>
      </c>
      <c r="BD240" t="s">
        <v>74</v>
      </c>
      <c r="BE240" t="s">
        <v>5053</v>
      </c>
      <c r="BF240" t="str">
        <f>HYPERLINK("http://dx.doi.org/10.1175/JCLI-D-19-0109.1","http://dx.doi.org/10.1175/JCLI-D-19-0109.1")</f>
        <v>http://dx.doi.org/10.1175/JCLI-D-19-0109.1</v>
      </c>
      <c r="BG240" t="s">
        <v>74</v>
      </c>
      <c r="BH240" t="s">
        <v>74</v>
      </c>
      <c r="BI240">
        <v>15</v>
      </c>
      <c r="BJ240" t="s">
        <v>259</v>
      </c>
      <c r="BK240" t="s">
        <v>101</v>
      </c>
      <c r="BL240" t="s">
        <v>259</v>
      </c>
      <c r="BM240" t="s">
        <v>5054</v>
      </c>
      <c r="BN240" t="s">
        <v>74</v>
      </c>
      <c r="BO240" t="s">
        <v>5055</v>
      </c>
      <c r="BP240" t="s">
        <v>74</v>
      </c>
      <c r="BQ240" t="s">
        <v>74</v>
      </c>
      <c r="BR240" t="s">
        <v>103</v>
      </c>
      <c r="BS240" t="s">
        <v>5056</v>
      </c>
      <c r="BT240" t="str">
        <f>HYPERLINK("https%3A%2F%2Fwww.webofscience.com%2Fwos%2Fwoscc%2Ffull-record%2FWOS:000476665300002","View Full Record in Web of Science")</f>
        <v>View Full Record in Web of Science</v>
      </c>
    </row>
    <row r="241" spans="1:72" x14ac:dyDescent="0.15">
      <c r="A241" t="s">
        <v>72</v>
      </c>
      <c r="B241" t="s">
        <v>5057</v>
      </c>
      <c r="C241" t="s">
        <v>74</v>
      </c>
      <c r="D241" t="s">
        <v>74</v>
      </c>
      <c r="E241" t="s">
        <v>74</v>
      </c>
      <c r="F241" t="s">
        <v>5058</v>
      </c>
      <c r="G241" t="s">
        <v>74</v>
      </c>
      <c r="H241" t="s">
        <v>74</v>
      </c>
      <c r="I241" t="s">
        <v>5059</v>
      </c>
      <c r="J241" t="s">
        <v>5060</v>
      </c>
      <c r="K241" t="s">
        <v>74</v>
      </c>
      <c r="L241" t="s">
        <v>74</v>
      </c>
      <c r="M241" t="s">
        <v>78</v>
      </c>
      <c r="N241" t="s">
        <v>108</v>
      </c>
      <c r="O241" t="s">
        <v>74</v>
      </c>
      <c r="P241" t="s">
        <v>74</v>
      </c>
      <c r="Q241" t="s">
        <v>74</v>
      </c>
      <c r="R241" t="s">
        <v>74</v>
      </c>
      <c r="S241" t="s">
        <v>74</v>
      </c>
      <c r="T241" t="s">
        <v>5061</v>
      </c>
      <c r="U241" t="s">
        <v>5062</v>
      </c>
      <c r="V241" t="s">
        <v>5063</v>
      </c>
      <c r="W241" t="s">
        <v>5064</v>
      </c>
      <c r="X241" t="s">
        <v>5065</v>
      </c>
      <c r="Y241" t="s">
        <v>5066</v>
      </c>
      <c r="Z241" t="s">
        <v>5067</v>
      </c>
      <c r="AA241" t="s">
        <v>5068</v>
      </c>
      <c r="AB241" t="s">
        <v>5069</v>
      </c>
      <c r="AC241" t="s">
        <v>5070</v>
      </c>
      <c r="AD241" t="s">
        <v>5070</v>
      </c>
      <c r="AE241" t="s">
        <v>5071</v>
      </c>
      <c r="AF241" t="s">
        <v>74</v>
      </c>
      <c r="AG241">
        <v>133</v>
      </c>
      <c r="AH241">
        <v>18</v>
      </c>
      <c r="AI241">
        <v>20</v>
      </c>
      <c r="AJ241">
        <v>5</v>
      </c>
      <c r="AK241">
        <v>88</v>
      </c>
      <c r="AL241" t="s">
        <v>438</v>
      </c>
      <c r="AM241" t="s">
        <v>439</v>
      </c>
      <c r="AN241" t="s">
        <v>440</v>
      </c>
      <c r="AO241" t="s">
        <v>5072</v>
      </c>
      <c r="AP241" t="s">
        <v>5073</v>
      </c>
      <c r="AQ241" t="s">
        <v>74</v>
      </c>
      <c r="AR241" t="s">
        <v>5074</v>
      </c>
      <c r="AS241" t="s">
        <v>5075</v>
      </c>
      <c r="AT241" t="s">
        <v>2930</v>
      </c>
      <c r="AU241">
        <v>2019</v>
      </c>
      <c r="AV241">
        <v>517</v>
      </c>
      <c r="AW241" t="s">
        <v>74</v>
      </c>
      <c r="AX241" t="s">
        <v>74</v>
      </c>
      <c r="AY241" t="s">
        <v>74</v>
      </c>
      <c r="AZ241" t="s">
        <v>74</v>
      </c>
      <c r="BA241" t="s">
        <v>74</v>
      </c>
      <c r="BB241">
        <v>1</v>
      </c>
      <c r="BC241">
        <v>12</v>
      </c>
      <c r="BD241" t="s">
        <v>74</v>
      </c>
      <c r="BE241" t="s">
        <v>5076</v>
      </c>
      <c r="BF241" t="str">
        <f>HYPERLINK("http://dx.doi.org/10.1016/j.jembe.2019.05.008","http://dx.doi.org/10.1016/j.jembe.2019.05.008")</f>
        <v>http://dx.doi.org/10.1016/j.jembe.2019.05.008</v>
      </c>
      <c r="BG241" t="s">
        <v>74</v>
      </c>
      <c r="BH241" t="s">
        <v>74</v>
      </c>
      <c r="BI241">
        <v>12</v>
      </c>
      <c r="BJ241" t="s">
        <v>5077</v>
      </c>
      <c r="BK241" t="s">
        <v>101</v>
      </c>
      <c r="BL241" t="s">
        <v>877</v>
      </c>
      <c r="BM241" t="s">
        <v>5078</v>
      </c>
      <c r="BN241" t="s">
        <v>74</v>
      </c>
      <c r="BO241" t="s">
        <v>537</v>
      </c>
      <c r="BP241" t="s">
        <v>74</v>
      </c>
      <c r="BQ241" t="s">
        <v>74</v>
      </c>
      <c r="BR241" t="s">
        <v>103</v>
      </c>
      <c r="BS241" t="s">
        <v>5079</v>
      </c>
      <c r="BT241" t="str">
        <f>HYPERLINK("https%3A%2F%2Fwww.webofscience.com%2Fwos%2Fwoscc%2Ffull-record%2FWOS:000475998800001","View Full Record in Web of Science")</f>
        <v>View Full Record in Web of Science</v>
      </c>
    </row>
    <row r="242" spans="1:72" x14ac:dyDescent="0.15">
      <c r="A242" t="s">
        <v>72</v>
      </c>
      <c r="B242" t="s">
        <v>5080</v>
      </c>
      <c r="C242" t="s">
        <v>74</v>
      </c>
      <c r="D242" t="s">
        <v>74</v>
      </c>
      <c r="E242" t="s">
        <v>74</v>
      </c>
      <c r="F242" t="s">
        <v>5081</v>
      </c>
      <c r="G242" t="s">
        <v>74</v>
      </c>
      <c r="H242" t="s">
        <v>74</v>
      </c>
      <c r="I242" t="s">
        <v>5082</v>
      </c>
      <c r="J242" t="s">
        <v>5083</v>
      </c>
      <c r="K242" t="s">
        <v>74</v>
      </c>
      <c r="L242" t="s">
        <v>74</v>
      </c>
      <c r="M242" t="s">
        <v>78</v>
      </c>
      <c r="N242" t="s">
        <v>108</v>
      </c>
      <c r="O242" t="s">
        <v>74</v>
      </c>
      <c r="P242" t="s">
        <v>74</v>
      </c>
      <c r="Q242" t="s">
        <v>74</v>
      </c>
      <c r="R242" t="s">
        <v>74</v>
      </c>
      <c r="S242" t="s">
        <v>74</v>
      </c>
      <c r="T242" t="s">
        <v>5084</v>
      </c>
      <c r="U242" t="s">
        <v>5085</v>
      </c>
      <c r="V242" t="s">
        <v>5086</v>
      </c>
      <c r="W242" t="s">
        <v>5087</v>
      </c>
      <c r="X242" t="s">
        <v>5088</v>
      </c>
      <c r="Y242" t="s">
        <v>5089</v>
      </c>
      <c r="Z242" t="s">
        <v>5090</v>
      </c>
      <c r="AA242" t="s">
        <v>5091</v>
      </c>
      <c r="AB242" t="s">
        <v>5092</v>
      </c>
      <c r="AC242" t="s">
        <v>5093</v>
      </c>
      <c r="AD242" t="s">
        <v>5094</v>
      </c>
      <c r="AE242" t="s">
        <v>5095</v>
      </c>
      <c r="AF242" t="s">
        <v>74</v>
      </c>
      <c r="AG242">
        <v>27</v>
      </c>
      <c r="AH242">
        <v>12</v>
      </c>
      <c r="AI242">
        <v>12</v>
      </c>
      <c r="AJ242">
        <v>0</v>
      </c>
      <c r="AK242">
        <v>9</v>
      </c>
      <c r="AL242" t="s">
        <v>154</v>
      </c>
      <c r="AM242" t="s">
        <v>4016</v>
      </c>
      <c r="AN242" t="s">
        <v>4040</v>
      </c>
      <c r="AO242" t="s">
        <v>5096</v>
      </c>
      <c r="AP242" t="s">
        <v>5097</v>
      </c>
      <c r="AQ242" t="s">
        <v>74</v>
      </c>
      <c r="AR242" t="s">
        <v>5098</v>
      </c>
      <c r="AS242" t="s">
        <v>5099</v>
      </c>
      <c r="AT242" t="s">
        <v>2930</v>
      </c>
      <c r="AU242">
        <v>2019</v>
      </c>
      <c r="AV242">
        <v>78</v>
      </c>
      <c r="AW242">
        <v>2</v>
      </c>
      <c r="AX242" t="s">
        <v>74</v>
      </c>
      <c r="AY242" t="s">
        <v>74</v>
      </c>
      <c r="AZ242" t="s">
        <v>74</v>
      </c>
      <c r="BA242" t="s">
        <v>74</v>
      </c>
      <c r="BB242">
        <v>534</v>
      </c>
      <c r="BC242">
        <v>538</v>
      </c>
      <c r="BD242" t="s">
        <v>74</v>
      </c>
      <c r="BE242" t="s">
        <v>5100</v>
      </c>
      <c r="BF242" t="str">
        <f>HYPERLINK("http://dx.doi.org/10.1007/s00248-018-1296-8","http://dx.doi.org/10.1007/s00248-018-1296-8")</f>
        <v>http://dx.doi.org/10.1007/s00248-018-1296-8</v>
      </c>
      <c r="BG242" t="s">
        <v>74</v>
      </c>
      <c r="BH242" t="s">
        <v>74</v>
      </c>
      <c r="BI242">
        <v>5</v>
      </c>
      <c r="BJ242" t="s">
        <v>5101</v>
      </c>
      <c r="BK242" t="s">
        <v>101</v>
      </c>
      <c r="BL242" t="s">
        <v>5102</v>
      </c>
      <c r="BM242" t="s">
        <v>5103</v>
      </c>
      <c r="BN242">
        <v>30535652</v>
      </c>
      <c r="BO242" t="s">
        <v>5104</v>
      </c>
      <c r="BP242" t="s">
        <v>74</v>
      </c>
      <c r="BQ242" t="s">
        <v>74</v>
      </c>
      <c r="BR242" t="s">
        <v>103</v>
      </c>
      <c r="BS242" t="s">
        <v>5105</v>
      </c>
      <c r="BT242" t="str">
        <f>HYPERLINK("https%3A%2F%2Fwww.webofscience.com%2Fwos%2Fwoscc%2Ffull-record%2FWOS:000475700200022","View Full Record in Web of Science")</f>
        <v>View Full Record in Web of Science</v>
      </c>
    </row>
    <row r="243" spans="1:72" x14ac:dyDescent="0.15">
      <c r="A243" t="s">
        <v>72</v>
      </c>
      <c r="B243" t="s">
        <v>5106</v>
      </c>
      <c r="C243" t="s">
        <v>74</v>
      </c>
      <c r="D243" t="s">
        <v>74</v>
      </c>
      <c r="E243" t="s">
        <v>74</v>
      </c>
      <c r="F243" t="s">
        <v>5107</v>
      </c>
      <c r="G243" t="s">
        <v>74</v>
      </c>
      <c r="H243" t="s">
        <v>74</v>
      </c>
      <c r="I243" t="s">
        <v>5108</v>
      </c>
      <c r="J243" t="s">
        <v>5109</v>
      </c>
      <c r="K243" t="s">
        <v>74</v>
      </c>
      <c r="L243" t="s">
        <v>74</v>
      </c>
      <c r="M243" t="s">
        <v>78</v>
      </c>
      <c r="N243" t="s">
        <v>108</v>
      </c>
      <c r="O243" t="s">
        <v>74</v>
      </c>
      <c r="P243" t="s">
        <v>74</v>
      </c>
      <c r="Q243" t="s">
        <v>74</v>
      </c>
      <c r="R243" t="s">
        <v>74</v>
      </c>
      <c r="S243" t="s">
        <v>74</v>
      </c>
      <c r="T243" t="s">
        <v>5110</v>
      </c>
      <c r="U243" t="s">
        <v>5111</v>
      </c>
      <c r="V243" t="s">
        <v>5112</v>
      </c>
      <c r="W243" t="s">
        <v>5113</v>
      </c>
      <c r="X243" t="s">
        <v>5114</v>
      </c>
      <c r="Y243" t="s">
        <v>5115</v>
      </c>
      <c r="Z243" t="s">
        <v>5116</v>
      </c>
      <c r="AA243" t="s">
        <v>5117</v>
      </c>
      <c r="AB243" t="s">
        <v>5118</v>
      </c>
      <c r="AC243" t="s">
        <v>5119</v>
      </c>
      <c r="AD243" t="s">
        <v>5120</v>
      </c>
      <c r="AE243" t="s">
        <v>5121</v>
      </c>
      <c r="AF243" t="s">
        <v>74</v>
      </c>
      <c r="AG243">
        <v>42</v>
      </c>
      <c r="AH243">
        <v>5</v>
      </c>
      <c r="AI243">
        <v>6</v>
      </c>
      <c r="AJ243">
        <v>2</v>
      </c>
      <c r="AK243">
        <v>26</v>
      </c>
      <c r="AL243" t="s">
        <v>92</v>
      </c>
      <c r="AM243" t="s">
        <v>93</v>
      </c>
      <c r="AN243" t="s">
        <v>94</v>
      </c>
      <c r="AO243" t="s">
        <v>5122</v>
      </c>
      <c r="AP243" t="s">
        <v>74</v>
      </c>
      <c r="AQ243" t="s">
        <v>74</v>
      </c>
      <c r="AR243" t="s">
        <v>5109</v>
      </c>
      <c r="AS243" t="s">
        <v>5123</v>
      </c>
      <c r="AT243" t="s">
        <v>2930</v>
      </c>
      <c r="AU243">
        <v>2019</v>
      </c>
      <c r="AV243">
        <v>164</v>
      </c>
      <c r="AW243" t="s">
        <v>74</v>
      </c>
      <c r="AX243" t="s">
        <v>74</v>
      </c>
      <c r="AY243" t="s">
        <v>74</v>
      </c>
      <c r="AZ243" t="s">
        <v>74</v>
      </c>
      <c r="BA243" t="s">
        <v>74</v>
      </c>
      <c r="BB243">
        <v>86</v>
      </c>
      <c r="BC243">
        <v>93</v>
      </c>
      <c r="BD243" t="s">
        <v>74</v>
      </c>
      <c r="BE243" t="s">
        <v>5124</v>
      </c>
      <c r="BF243" t="str">
        <f>HYPERLINK("http://dx.doi.org/10.1016/j.phytochem.2019.04.019","http://dx.doi.org/10.1016/j.phytochem.2019.04.019")</f>
        <v>http://dx.doi.org/10.1016/j.phytochem.2019.04.019</v>
      </c>
      <c r="BG243" t="s">
        <v>74</v>
      </c>
      <c r="BH243" t="s">
        <v>74</v>
      </c>
      <c r="BI243">
        <v>8</v>
      </c>
      <c r="BJ243" t="s">
        <v>5125</v>
      </c>
      <c r="BK243" t="s">
        <v>101</v>
      </c>
      <c r="BL243" t="s">
        <v>5125</v>
      </c>
      <c r="BM243" t="s">
        <v>5126</v>
      </c>
      <c r="BN243">
        <v>31102999</v>
      </c>
      <c r="BO243" t="s">
        <v>474</v>
      </c>
      <c r="BP243" t="s">
        <v>74</v>
      </c>
      <c r="BQ243" t="s">
        <v>74</v>
      </c>
      <c r="BR243" t="s">
        <v>103</v>
      </c>
      <c r="BS243" t="s">
        <v>5127</v>
      </c>
      <c r="BT243" t="str">
        <f>HYPERLINK("https%3A%2F%2Fwww.webofscience.com%2Fwos%2Fwoscc%2Ffull-record%2FWOS:000475996800010","View Full Record in Web of Science")</f>
        <v>View Full Record in Web of Science</v>
      </c>
    </row>
    <row r="244" spans="1:72" x14ac:dyDescent="0.15">
      <c r="A244" t="s">
        <v>72</v>
      </c>
      <c r="B244" t="s">
        <v>5128</v>
      </c>
      <c r="C244" t="s">
        <v>74</v>
      </c>
      <c r="D244" t="s">
        <v>74</v>
      </c>
      <c r="E244" t="s">
        <v>74</v>
      </c>
      <c r="F244" t="s">
        <v>5129</v>
      </c>
      <c r="G244" t="s">
        <v>74</v>
      </c>
      <c r="H244" t="s">
        <v>74</v>
      </c>
      <c r="I244" t="s">
        <v>5130</v>
      </c>
      <c r="J244" t="s">
        <v>5109</v>
      </c>
      <c r="K244" t="s">
        <v>74</v>
      </c>
      <c r="L244" t="s">
        <v>74</v>
      </c>
      <c r="M244" t="s">
        <v>78</v>
      </c>
      <c r="N244" t="s">
        <v>108</v>
      </c>
      <c r="O244" t="s">
        <v>74</v>
      </c>
      <c r="P244" t="s">
        <v>74</v>
      </c>
      <c r="Q244" t="s">
        <v>74</v>
      </c>
      <c r="R244" t="s">
        <v>74</v>
      </c>
      <c r="S244" t="s">
        <v>74</v>
      </c>
      <c r="T244" t="s">
        <v>5131</v>
      </c>
      <c r="U244" t="s">
        <v>5132</v>
      </c>
      <c r="V244" t="s">
        <v>5133</v>
      </c>
      <c r="W244" t="s">
        <v>5134</v>
      </c>
      <c r="X244" t="s">
        <v>5135</v>
      </c>
      <c r="Y244" t="s">
        <v>5136</v>
      </c>
      <c r="Z244" t="s">
        <v>5137</v>
      </c>
      <c r="AA244" t="s">
        <v>5138</v>
      </c>
      <c r="AB244" t="s">
        <v>74</v>
      </c>
      <c r="AC244" t="s">
        <v>5139</v>
      </c>
      <c r="AD244" t="s">
        <v>5140</v>
      </c>
      <c r="AE244" t="s">
        <v>5141</v>
      </c>
      <c r="AF244" t="s">
        <v>74</v>
      </c>
      <c r="AG244">
        <v>19</v>
      </c>
      <c r="AH244">
        <v>14</v>
      </c>
      <c r="AI244">
        <v>19</v>
      </c>
      <c r="AJ244">
        <v>1</v>
      </c>
      <c r="AK244">
        <v>28</v>
      </c>
      <c r="AL244" t="s">
        <v>92</v>
      </c>
      <c r="AM244" t="s">
        <v>93</v>
      </c>
      <c r="AN244" t="s">
        <v>94</v>
      </c>
      <c r="AO244" t="s">
        <v>5122</v>
      </c>
      <c r="AP244" t="s">
        <v>74</v>
      </c>
      <c r="AQ244" t="s">
        <v>74</v>
      </c>
      <c r="AR244" t="s">
        <v>5109</v>
      </c>
      <c r="AS244" t="s">
        <v>5123</v>
      </c>
      <c r="AT244" t="s">
        <v>2930</v>
      </c>
      <c r="AU244">
        <v>2019</v>
      </c>
      <c r="AV244">
        <v>164</v>
      </c>
      <c r="AW244" t="s">
        <v>74</v>
      </c>
      <c r="AX244" t="s">
        <v>74</v>
      </c>
      <c r="AY244" t="s">
        <v>74</v>
      </c>
      <c r="AZ244" t="s">
        <v>74</v>
      </c>
      <c r="BA244" t="s">
        <v>74</v>
      </c>
      <c r="BB244">
        <v>184</v>
      </c>
      <c r="BC244">
        <v>191</v>
      </c>
      <c r="BD244" t="s">
        <v>74</v>
      </c>
      <c r="BE244" t="s">
        <v>5142</v>
      </c>
      <c r="BF244" t="str">
        <f>HYPERLINK("http://dx.doi.org/10.1016/j.phytochem.2019.05.015","http://dx.doi.org/10.1016/j.phytochem.2019.05.015")</f>
        <v>http://dx.doi.org/10.1016/j.phytochem.2019.05.015</v>
      </c>
      <c r="BG244" t="s">
        <v>74</v>
      </c>
      <c r="BH244" t="s">
        <v>74</v>
      </c>
      <c r="BI244">
        <v>8</v>
      </c>
      <c r="BJ244" t="s">
        <v>5125</v>
      </c>
      <c r="BK244" t="s">
        <v>3850</v>
      </c>
      <c r="BL244" t="s">
        <v>5125</v>
      </c>
      <c r="BM244" t="s">
        <v>5126</v>
      </c>
      <c r="BN244">
        <v>31158603</v>
      </c>
      <c r="BO244" t="s">
        <v>74</v>
      </c>
      <c r="BP244" t="s">
        <v>74</v>
      </c>
      <c r="BQ244" t="s">
        <v>74</v>
      </c>
      <c r="BR244" t="s">
        <v>103</v>
      </c>
      <c r="BS244" t="s">
        <v>5143</v>
      </c>
      <c r="BT244" t="str">
        <f>HYPERLINK("https%3A%2F%2Fwww.webofscience.com%2Fwos%2Fwoscc%2Ffull-record%2FWOS:000475996800021","View Full Record in Web of Science")</f>
        <v>View Full Record in Web of Science</v>
      </c>
    </row>
    <row r="245" spans="1:72" x14ac:dyDescent="0.15">
      <c r="A245" t="s">
        <v>72</v>
      </c>
      <c r="B245" t="s">
        <v>5144</v>
      </c>
      <c r="C245" t="s">
        <v>74</v>
      </c>
      <c r="D245" t="s">
        <v>74</v>
      </c>
      <c r="E245" t="s">
        <v>74</v>
      </c>
      <c r="F245" t="s">
        <v>5145</v>
      </c>
      <c r="G245" t="s">
        <v>74</v>
      </c>
      <c r="H245" t="s">
        <v>74</v>
      </c>
      <c r="I245" t="s">
        <v>5146</v>
      </c>
      <c r="J245" t="s">
        <v>5147</v>
      </c>
      <c r="K245" t="s">
        <v>74</v>
      </c>
      <c r="L245" t="s">
        <v>74</v>
      </c>
      <c r="M245" t="s">
        <v>78</v>
      </c>
      <c r="N245" t="s">
        <v>108</v>
      </c>
      <c r="O245" t="s">
        <v>74</v>
      </c>
      <c r="P245" t="s">
        <v>74</v>
      </c>
      <c r="Q245" t="s">
        <v>74</v>
      </c>
      <c r="R245" t="s">
        <v>74</v>
      </c>
      <c r="S245" t="s">
        <v>74</v>
      </c>
      <c r="T245" t="s">
        <v>5148</v>
      </c>
      <c r="U245" t="s">
        <v>5149</v>
      </c>
      <c r="V245" t="s">
        <v>5150</v>
      </c>
      <c r="W245" t="s">
        <v>5151</v>
      </c>
      <c r="X245" t="s">
        <v>5152</v>
      </c>
      <c r="Y245" t="s">
        <v>5153</v>
      </c>
      <c r="Z245" t="s">
        <v>5154</v>
      </c>
      <c r="AA245" t="s">
        <v>5155</v>
      </c>
      <c r="AB245" t="s">
        <v>5156</v>
      </c>
      <c r="AC245" t="s">
        <v>5157</v>
      </c>
      <c r="AD245" t="s">
        <v>5158</v>
      </c>
      <c r="AE245" t="s">
        <v>5159</v>
      </c>
      <c r="AF245" t="s">
        <v>74</v>
      </c>
      <c r="AG245">
        <v>66</v>
      </c>
      <c r="AH245">
        <v>13</v>
      </c>
      <c r="AI245">
        <v>13</v>
      </c>
      <c r="AJ245">
        <v>7</v>
      </c>
      <c r="AK245">
        <v>41</v>
      </c>
      <c r="AL245" t="s">
        <v>5160</v>
      </c>
      <c r="AM245" t="s">
        <v>5161</v>
      </c>
      <c r="AN245" t="s">
        <v>5162</v>
      </c>
      <c r="AO245" t="s">
        <v>5163</v>
      </c>
      <c r="AP245" t="s">
        <v>5164</v>
      </c>
      <c r="AQ245" t="s">
        <v>74</v>
      </c>
      <c r="AR245" t="s">
        <v>5165</v>
      </c>
      <c r="AS245" t="s">
        <v>5166</v>
      </c>
      <c r="AT245" t="s">
        <v>2930</v>
      </c>
      <c r="AU245">
        <v>2019</v>
      </c>
      <c r="AV245">
        <v>141</v>
      </c>
      <c r="AW245" t="s">
        <v>74</v>
      </c>
      <c r="AX245" t="s">
        <v>74</v>
      </c>
      <c r="AY245" t="s">
        <v>74</v>
      </c>
      <c r="AZ245" t="s">
        <v>74</v>
      </c>
      <c r="BA245" t="s">
        <v>74</v>
      </c>
      <c r="BB245">
        <v>343</v>
      </c>
      <c r="BC245">
        <v>352</v>
      </c>
      <c r="BD245" t="s">
        <v>74</v>
      </c>
      <c r="BE245" t="s">
        <v>5167</v>
      </c>
      <c r="BF245" t="str">
        <f>HYPERLINK("http://dx.doi.org/10.1016/j.plaphy.2019.06.002","http://dx.doi.org/10.1016/j.plaphy.2019.06.002")</f>
        <v>http://dx.doi.org/10.1016/j.plaphy.2019.06.002</v>
      </c>
      <c r="BG245" t="s">
        <v>74</v>
      </c>
      <c r="BH245" t="s">
        <v>74</v>
      </c>
      <c r="BI245">
        <v>10</v>
      </c>
      <c r="BJ245" t="s">
        <v>2907</v>
      </c>
      <c r="BK245" t="s">
        <v>101</v>
      </c>
      <c r="BL245" t="s">
        <v>2907</v>
      </c>
      <c r="BM245" t="s">
        <v>5168</v>
      </c>
      <c r="BN245">
        <v>31207495</v>
      </c>
      <c r="BO245" t="s">
        <v>74</v>
      </c>
      <c r="BP245" t="s">
        <v>74</v>
      </c>
      <c r="BQ245" t="s">
        <v>74</v>
      </c>
      <c r="BR245" t="s">
        <v>103</v>
      </c>
      <c r="BS245" t="s">
        <v>5169</v>
      </c>
      <c r="BT245" t="str">
        <f>HYPERLINK("https%3A%2F%2Fwww.webofscience.com%2Fwos%2Fwoscc%2Ffull-record%2FWOS:000475997300035","View Full Record in Web of Science")</f>
        <v>View Full Record in Web of Science</v>
      </c>
    </row>
    <row r="246" spans="1:72" x14ac:dyDescent="0.15">
      <c r="A246" t="s">
        <v>72</v>
      </c>
      <c r="B246" t="s">
        <v>5170</v>
      </c>
      <c r="C246" t="s">
        <v>74</v>
      </c>
      <c r="D246" t="s">
        <v>74</v>
      </c>
      <c r="E246" t="s">
        <v>74</v>
      </c>
      <c r="F246" t="s">
        <v>5171</v>
      </c>
      <c r="G246" t="s">
        <v>74</v>
      </c>
      <c r="H246" t="s">
        <v>74</v>
      </c>
      <c r="I246" t="s">
        <v>5172</v>
      </c>
      <c r="J246" t="s">
        <v>4531</v>
      </c>
      <c r="K246" t="s">
        <v>74</v>
      </c>
      <c r="L246" t="s">
        <v>74</v>
      </c>
      <c r="M246" t="s">
        <v>78</v>
      </c>
      <c r="N246" t="s">
        <v>108</v>
      </c>
      <c r="O246" t="s">
        <v>74</v>
      </c>
      <c r="P246" t="s">
        <v>74</v>
      </c>
      <c r="Q246" t="s">
        <v>74</v>
      </c>
      <c r="R246" t="s">
        <v>74</v>
      </c>
      <c r="S246" t="s">
        <v>74</v>
      </c>
      <c r="T246" t="s">
        <v>5173</v>
      </c>
      <c r="U246" t="s">
        <v>5174</v>
      </c>
      <c r="V246" t="s">
        <v>5175</v>
      </c>
      <c r="W246" t="s">
        <v>5176</v>
      </c>
      <c r="X246" t="s">
        <v>5177</v>
      </c>
      <c r="Y246" t="s">
        <v>5178</v>
      </c>
      <c r="Z246" t="s">
        <v>5179</v>
      </c>
      <c r="AA246" t="s">
        <v>5180</v>
      </c>
      <c r="AB246" t="s">
        <v>5181</v>
      </c>
      <c r="AC246" t="s">
        <v>5182</v>
      </c>
      <c r="AD246" t="s">
        <v>5183</v>
      </c>
      <c r="AE246" t="s">
        <v>5184</v>
      </c>
      <c r="AF246" t="s">
        <v>74</v>
      </c>
      <c r="AG246">
        <v>47</v>
      </c>
      <c r="AH246">
        <v>11</v>
      </c>
      <c r="AI246">
        <v>11</v>
      </c>
      <c r="AJ246">
        <v>0</v>
      </c>
      <c r="AK246">
        <v>22</v>
      </c>
      <c r="AL246" t="s">
        <v>302</v>
      </c>
      <c r="AM246" t="s">
        <v>4016</v>
      </c>
      <c r="AN246" t="s">
        <v>4542</v>
      </c>
      <c r="AO246" t="s">
        <v>4543</v>
      </c>
      <c r="AP246" t="s">
        <v>4544</v>
      </c>
      <c r="AQ246" t="s">
        <v>74</v>
      </c>
      <c r="AR246" t="s">
        <v>4545</v>
      </c>
      <c r="AS246" t="s">
        <v>4546</v>
      </c>
      <c r="AT246" t="s">
        <v>2930</v>
      </c>
      <c r="AU246">
        <v>2019</v>
      </c>
      <c r="AV246">
        <v>31</v>
      </c>
      <c r="AW246">
        <v>4</v>
      </c>
      <c r="AX246" t="s">
        <v>74</v>
      </c>
      <c r="AY246" t="s">
        <v>74</v>
      </c>
      <c r="AZ246" t="s">
        <v>74</v>
      </c>
      <c r="BA246" t="s">
        <v>74</v>
      </c>
      <c r="BB246">
        <v>169</v>
      </c>
      <c r="BC246">
        <v>188</v>
      </c>
      <c r="BD246" t="s">
        <v>5185</v>
      </c>
      <c r="BE246" t="s">
        <v>5186</v>
      </c>
      <c r="BF246" t="str">
        <f>HYPERLINK("http://dx.doi.org/10.1017/S0954102019000178","http://dx.doi.org/10.1017/S0954102019000178")</f>
        <v>http://dx.doi.org/10.1017/S0954102019000178</v>
      </c>
      <c r="BG246" t="s">
        <v>74</v>
      </c>
      <c r="BH246" t="s">
        <v>74</v>
      </c>
      <c r="BI246">
        <v>20</v>
      </c>
      <c r="BJ246" t="s">
        <v>4549</v>
      </c>
      <c r="BK246" t="s">
        <v>101</v>
      </c>
      <c r="BL246" t="s">
        <v>4550</v>
      </c>
      <c r="BM246" t="s">
        <v>4551</v>
      </c>
      <c r="BN246" t="s">
        <v>74</v>
      </c>
      <c r="BO246" t="s">
        <v>74</v>
      </c>
      <c r="BP246" t="s">
        <v>74</v>
      </c>
      <c r="BQ246" t="s">
        <v>74</v>
      </c>
      <c r="BR246" t="s">
        <v>103</v>
      </c>
      <c r="BS246" t="s">
        <v>5187</v>
      </c>
      <c r="BT246" t="str">
        <f>HYPERLINK("https%3A%2F%2Fwww.webofscience.com%2Fwos%2Fwoscc%2Ffull-record%2FWOS:000478614300001","View Full Record in Web of Science")</f>
        <v>View Full Record in Web of Science</v>
      </c>
    </row>
    <row r="247" spans="1:72" x14ac:dyDescent="0.15">
      <c r="A247" t="s">
        <v>72</v>
      </c>
      <c r="B247" t="s">
        <v>5188</v>
      </c>
      <c r="C247" t="s">
        <v>74</v>
      </c>
      <c r="D247" t="s">
        <v>74</v>
      </c>
      <c r="E247" t="s">
        <v>74</v>
      </c>
      <c r="F247" t="s">
        <v>5189</v>
      </c>
      <c r="G247" t="s">
        <v>74</v>
      </c>
      <c r="H247" t="s">
        <v>74</v>
      </c>
      <c r="I247" t="s">
        <v>5190</v>
      </c>
      <c r="J247" t="s">
        <v>1289</v>
      </c>
      <c r="K247" t="s">
        <v>74</v>
      </c>
      <c r="L247" t="s">
        <v>74</v>
      </c>
      <c r="M247" t="s">
        <v>78</v>
      </c>
      <c r="N247" t="s">
        <v>108</v>
      </c>
      <c r="O247" t="s">
        <v>74</v>
      </c>
      <c r="P247" t="s">
        <v>74</v>
      </c>
      <c r="Q247" t="s">
        <v>74</v>
      </c>
      <c r="R247" t="s">
        <v>74</v>
      </c>
      <c r="S247" t="s">
        <v>74</v>
      </c>
      <c r="T247" t="s">
        <v>5191</v>
      </c>
      <c r="U247" t="s">
        <v>5192</v>
      </c>
      <c r="V247" t="s">
        <v>5193</v>
      </c>
      <c r="W247" t="s">
        <v>5194</v>
      </c>
      <c r="X247" t="s">
        <v>5195</v>
      </c>
      <c r="Y247" t="s">
        <v>5196</v>
      </c>
      <c r="Z247" t="s">
        <v>5197</v>
      </c>
      <c r="AA247" t="s">
        <v>5198</v>
      </c>
      <c r="AB247" t="s">
        <v>5199</v>
      </c>
      <c r="AC247" t="s">
        <v>5200</v>
      </c>
      <c r="AD247" t="s">
        <v>5201</v>
      </c>
      <c r="AE247" t="s">
        <v>5202</v>
      </c>
      <c r="AF247" t="s">
        <v>74</v>
      </c>
      <c r="AG247">
        <v>54</v>
      </c>
      <c r="AH247">
        <v>8</v>
      </c>
      <c r="AI247">
        <v>8</v>
      </c>
      <c r="AJ247">
        <v>2</v>
      </c>
      <c r="AK247">
        <v>30</v>
      </c>
      <c r="AL247" t="s">
        <v>1140</v>
      </c>
      <c r="AM247" t="s">
        <v>1141</v>
      </c>
      <c r="AN247" t="s">
        <v>1142</v>
      </c>
      <c r="AO247" t="s">
        <v>1301</v>
      </c>
      <c r="AP247" t="s">
        <v>1302</v>
      </c>
      <c r="AQ247" t="s">
        <v>74</v>
      </c>
      <c r="AR247" t="s">
        <v>1303</v>
      </c>
      <c r="AS247" t="s">
        <v>1304</v>
      </c>
      <c r="AT247" t="s">
        <v>2930</v>
      </c>
      <c r="AU247">
        <v>2019</v>
      </c>
      <c r="AV247">
        <v>44</v>
      </c>
      <c r="AW247">
        <v>5</v>
      </c>
      <c r="AX247" t="s">
        <v>74</v>
      </c>
      <c r="AY247" t="s">
        <v>74</v>
      </c>
      <c r="AZ247" t="s">
        <v>74</v>
      </c>
      <c r="BA247" t="s">
        <v>74</v>
      </c>
      <c r="BB247">
        <v>891</v>
      </c>
      <c r="BC247">
        <v>905</v>
      </c>
      <c r="BD247" t="s">
        <v>74</v>
      </c>
      <c r="BE247" t="s">
        <v>5203</v>
      </c>
      <c r="BF247" t="str">
        <f>HYPERLINK("http://dx.doi.org/10.1111/aec.12758","http://dx.doi.org/10.1111/aec.12758")</f>
        <v>http://dx.doi.org/10.1111/aec.12758</v>
      </c>
      <c r="BG247" t="s">
        <v>74</v>
      </c>
      <c r="BH247" t="s">
        <v>74</v>
      </c>
      <c r="BI247">
        <v>15</v>
      </c>
      <c r="BJ247" t="s">
        <v>1150</v>
      </c>
      <c r="BK247" t="s">
        <v>101</v>
      </c>
      <c r="BL247" t="s">
        <v>799</v>
      </c>
      <c r="BM247" t="s">
        <v>5204</v>
      </c>
      <c r="BN247" t="s">
        <v>74</v>
      </c>
      <c r="BO247" t="s">
        <v>261</v>
      </c>
      <c r="BP247" t="s">
        <v>74</v>
      </c>
      <c r="BQ247" t="s">
        <v>74</v>
      </c>
      <c r="BR247" t="s">
        <v>103</v>
      </c>
      <c r="BS247" t="s">
        <v>5205</v>
      </c>
      <c r="BT247" t="str">
        <f>HYPERLINK("https%3A%2F%2Fwww.webofscience.com%2Fwos%2Fwoscc%2Ffull-record%2FWOS:000476537200013","View Full Record in Web of Science")</f>
        <v>View Full Record in Web of Science</v>
      </c>
    </row>
    <row r="248" spans="1:72" x14ac:dyDescent="0.15">
      <c r="A248" t="s">
        <v>72</v>
      </c>
      <c r="B248" t="s">
        <v>5206</v>
      </c>
      <c r="C248" t="s">
        <v>74</v>
      </c>
      <c r="D248" t="s">
        <v>74</v>
      </c>
      <c r="E248" t="s">
        <v>74</v>
      </c>
      <c r="F248" t="s">
        <v>5207</v>
      </c>
      <c r="G248" t="s">
        <v>74</v>
      </c>
      <c r="H248" t="s">
        <v>74</v>
      </c>
      <c r="I248" t="s">
        <v>5208</v>
      </c>
      <c r="J248" t="s">
        <v>3688</v>
      </c>
      <c r="K248" t="s">
        <v>74</v>
      </c>
      <c r="L248" t="s">
        <v>74</v>
      </c>
      <c r="M248" t="s">
        <v>78</v>
      </c>
      <c r="N248" t="s">
        <v>108</v>
      </c>
      <c r="O248" t="s">
        <v>74</v>
      </c>
      <c r="P248" t="s">
        <v>74</v>
      </c>
      <c r="Q248" t="s">
        <v>74</v>
      </c>
      <c r="R248" t="s">
        <v>74</v>
      </c>
      <c r="S248" t="s">
        <v>74</v>
      </c>
      <c r="T248" t="s">
        <v>74</v>
      </c>
      <c r="U248" t="s">
        <v>5209</v>
      </c>
      <c r="V248" t="s">
        <v>5210</v>
      </c>
      <c r="W248" t="s">
        <v>5211</v>
      </c>
      <c r="X248" t="s">
        <v>5212</v>
      </c>
      <c r="Y248" t="s">
        <v>5213</v>
      </c>
      <c r="Z248" t="s">
        <v>5214</v>
      </c>
      <c r="AA248" t="s">
        <v>5215</v>
      </c>
      <c r="AB248" t="s">
        <v>5216</v>
      </c>
      <c r="AC248" t="s">
        <v>5217</v>
      </c>
      <c r="AD248" t="s">
        <v>5218</v>
      </c>
      <c r="AE248" t="s">
        <v>5219</v>
      </c>
      <c r="AF248" t="s">
        <v>74</v>
      </c>
      <c r="AG248">
        <v>132</v>
      </c>
      <c r="AH248">
        <v>121</v>
      </c>
      <c r="AI248">
        <v>126</v>
      </c>
      <c r="AJ248">
        <v>2</v>
      </c>
      <c r="AK248">
        <v>99</v>
      </c>
      <c r="AL248" t="s">
        <v>3533</v>
      </c>
      <c r="AM248" t="s">
        <v>93</v>
      </c>
      <c r="AN248" t="s">
        <v>3534</v>
      </c>
      <c r="AO248" t="s">
        <v>3697</v>
      </c>
      <c r="AP248" t="s">
        <v>3698</v>
      </c>
      <c r="AQ248" t="s">
        <v>74</v>
      </c>
      <c r="AR248" t="s">
        <v>3699</v>
      </c>
      <c r="AS248" t="s">
        <v>3700</v>
      </c>
      <c r="AT248" t="s">
        <v>2930</v>
      </c>
      <c r="AU248">
        <v>2019</v>
      </c>
      <c r="AV248">
        <v>236</v>
      </c>
      <c r="AW248" t="s">
        <v>74</v>
      </c>
      <c r="AX248" t="s">
        <v>74</v>
      </c>
      <c r="AY248" t="s">
        <v>74</v>
      </c>
      <c r="AZ248" t="s">
        <v>74</v>
      </c>
      <c r="BA248" t="s">
        <v>74</v>
      </c>
      <c r="BB248">
        <v>305</v>
      </c>
      <c r="BC248">
        <v>314</v>
      </c>
      <c r="BD248" t="s">
        <v>74</v>
      </c>
      <c r="BE248" t="s">
        <v>5220</v>
      </c>
      <c r="BF248" t="str">
        <f>HYPERLINK("http://dx.doi.org/10.1016/j.biocon.2019.05.005","http://dx.doi.org/10.1016/j.biocon.2019.05.005")</f>
        <v>http://dx.doi.org/10.1016/j.biocon.2019.05.005</v>
      </c>
      <c r="BG248" t="s">
        <v>74</v>
      </c>
      <c r="BH248" t="s">
        <v>74</v>
      </c>
      <c r="BI248">
        <v>10</v>
      </c>
      <c r="BJ248" t="s">
        <v>1645</v>
      </c>
      <c r="BK248" t="s">
        <v>101</v>
      </c>
      <c r="BL248" t="s">
        <v>1646</v>
      </c>
      <c r="BM248" t="s">
        <v>3702</v>
      </c>
      <c r="BN248" t="s">
        <v>74</v>
      </c>
      <c r="BO248" t="s">
        <v>1867</v>
      </c>
      <c r="BP248" t="s">
        <v>74</v>
      </c>
      <c r="BQ248" t="s">
        <v>74</v>
      </c>
      <c r="BR248" t="s">
        <v>103</v>
      </c>
      <c r="BS248" t="s">
        <v>5221</v>
      </c>
      <c r="BT248" t="str">
        <f>HYPERLINK("https%3A%2F%2Fwww.webofscience.com%2Fwos%2Fwoscc%2Ffull-record%2FWOS:000483908400033","View Full Record in Web of Science")</f>
        <v>View Full Record in Web of Science</v>
      </c>
    </row>
    <row r="249" spans="1:72" x14ac:dyDescent="0.15">
      <c r="A249" t="s">
        <v>72</v>
      </c>
      <c r="B249" t="s">
        <v>5222</v>
      </c>
      <c r="C249" t="s">
        <v>74</v>
      </c>
      <c r="D249" t="s">
        <v>74</v>
      </c>
      <c r="E249" t="s">
        <v>74</v>
      </c>
      <c r="F249" t="s">
        <v>5223</v>
      </c>
      <c r="G249" t="s">
        <v>74</v>
      </c>
      <c r="H249" t="s">
        <v>74</v>
      </c>
      <c r="I249" t="s">
        <v>5224</v>
      </c>
      <c r="J249" t="s">
        <v>5225</v>
      </c>
      <c r="K249" t="s">
        <v>74</v>
      </c>
      <c r="L249" t="s">
        <v>74</v>
      </c>
      <c r="M249" t="s">
        <v>78</v>
      </c>
      <c r="N249" t="s">
        <v>2711</v>
      </c>
      <c r="O249" t="s">
        <v>74</v>
      </c>
      <c r="P249" t="s">
        <v>74</v>
      </c>
      <c r="Q249" t="s">
        <v>74</v>
      </c>
      <c r="R249" t="s">
        <v>74</v>
      </c>
      <c r="S249" t="s">
        <v>74</v>
      </c>
      <c r="T249" t="s">
        <v>74</v>
      </c>
      <c r="U249" t="s">
        <v>5226</v>
      </c>
      <c r="V249" t="s">
        <v>5227</v>
      </c>
      <c r="W249" t="s">
        <v>5228</v>
      </c>
      <c r="X249" t="s">
        <v>5229</v>
      </c>
      <c r="Y249" t="s">
        <v>5230</v>
      </c>
      <c r="Z249" t="s">
        <v>5231</v>
      </c>
      <c r="AA249" t="s">
        <v>74</v>
      </c>
      <c r="AB249" t="s">
        <v>74</v>
      </c>
      <c r="AC249" t="s">
        <v>74</v>
      </c>
      <c r="AD249" t="s">
        <v>74</v>
      </c>
      <c r="AE249" t="s">
        <v>74</v>
      </c>
      <c r="AF249" t="s">
        <v>74</v>
      </c>
      <c r="AG249">
        <v>35</v>
      </c>
      <c r="AH249">
        <v>4</v>
      </c>
      <c r="AI249">
        <v>4</v>
      </c>
      <c r="AJ249">
        <v>0</v>
      </c>
      <c r="AK249">
        <v>22</v>
      </c>
      <c r="AL249" t="s">
        <v>154</v>
      </c>
      <c r="AM249" t="s">
        <v>155</v>
      </c>
      <c r="AN249" t="s">
        <v>156</v>
      </c>
      <c r="AO249" t="s">
        <v>5232</v>
      </c>
      <c r="AP249" t="s">
        <v>5233</v>
      </c>
      <c r="AQ249" t="s">
        <v>74</v>
      </c>
      <c r="AR249" t="s">
        <v>5225</v>
      </c>
      <c r="AS249" t="s">
        <v>5234</v>
      </c>
      <c r="AT249" t="s">
        <v>2930</v>
      </c>
      <c r="AU249">
        <v>2019</v>
      </c>
      <c r="AV249">
        <v>155</v>
      </c>
      <c r="AW249">
        <v>3</v>
      </c>
      <c r="AX249" t="s">
        <v>74</v>
      </c>
      <c r="AY249" t="s">
        <v>74</v>
      </c>
      <c r="AZ249" t="s">
        <v>74</v>
      </c>
      <c r="BA249" t="s">
        <v>74</v>
      </c>
      <c r="BB249">
        <v>311</v>
      </c>
      <c r="BC249">
        <v>321</v>
      </c>
      <c r="BD249" t="s">
        <v>74</v>
      </c>
      <c r="BE249" t="s">
        <v>5235</v>
      </c>
      <c r="BF249" t="str">
        <f>HYPERLINK("http://dx.doi.org/10.1007/s10584-019-02458-x","http://dx.doi.org/10.1007/s10584-019-02458-x")</f>
        <v>http://dx.doi.org/10.1007/s10584-019-02458-x</v>
      </c>
      <c r="BG249" t="s">
        <v>74</v>
      </c>
      <c r="BH249" t="s">
        <v>74</v>
      </c>
      <c r="BI249">
        <v>11</v>
      </c>
      <c r="BJ249" t="s">
        <v>2267</v>
      </c>
      <c r="BK249" t="s">
        <v>101</v>
      </c>
      <c r="BL249" t="s">
        <v>2268</v>
      </c>
      <c r="BM249" t="s">
        <v>5236</v>
      </c>
      <c r="BN249" t="s">
        <v>74</v>
      </c>
      <c r="BO249" t="s">
        <v>74</v>
      </c>
      <c r="BP249" t="s">
        <v>74</v>
      </c>
      <c r="BQ249" t="s">
        <v>74</v>
      </c>
      <c r="BR249" t="s">
        <v>103</v>
      </c>
      <c r="BS249" t="s">
        <v>5237</v>
      </c>
      <c r="BT249" t="str">
        <f>HYPERLINK("https%3A%2F%2Fwww.webofscience.com%2Fwos%2Fwoscc%2Ffull-record%2FWOS:000482447300002","View Full Record in Web of Science")</f>
        <v>View Full Record in Web of Science</v>
      </c>
    </row>
    <row r="250" spans="1:72" x14ac:dyDescent="0.15">
      <c r="A250" t="s">
        <v>72</v>
      </c>
      <c r="B250" t="s">
        <v>5238</v>
      </c>
      <c r="C250" t="s">
        <v>74</v>
      </c>
      <c r="D250" t="s">
        <v>74</v>
      </c>
      <c r="E250" t="s">
        <v>74</v>
      </c>
      <c r="F250" t="s">
        <v>5239</v>
      </c>
      <c r="G250" t="s">
        <v>74</v>
      </c>
      <c r="H250" t="s">
        <v>74</v>
      </c>
      <c r="I250" t="s">
        <v>5240</v>
      </c>
      <c r="J250" t="s">
        <v>5241</v>
      </c>
      <c r="K250" t="s">
        <v>74</v>
      </c>
      <c r="L250" t="s">
        <v>74</v>
      </c>
      <c r="M250" t="s">
        <v>78</v>
      </c>
      <c r="N250" t="s">
        <v>108</v>
      </c>
      <c r="O250" t="s">
        <v>74</v>
      </c>
      <c r="P250" t="s">
        <v>74</v>
      </c>
      <c r="Q250" t="s">
        <v>74</v>
      </c>
      <c r="R250" t="s">
        <v>74</v>
      </c>
      <c r="S250" t="s">
        <v>74</v>
      </c>
      <c r="T250" t="s">
        <v>5242</v>
      </c>
      <c r="U250" t="s">
        <v>5243</v>
      </c>
      <c r="V250" t="s">
        <v>5244</v>
      </c>
      <c r="W250" t="s">
        <v>5245</v>
      </c>
      <c r="X250" t="s">
        <v>5246</v>
      </c>
      <c r="Y250" t="s">
        <v>5247</v>
      </c>
      <c r="Z250" t="s">
        <v>5248</v>
      </c>
      <c r="AA250" t="s">
        <v>5249</v>
      </c>
      <c r="AB250" t="s">
        <v>5250</v>
      </c>
      <c r="AC250" t="s">
        <v>5251</v>
      </c>
      <c r="AD250" t="s">
        <v>5252</v>
      </c>
      <c r="AE250" t="s">
        <v>5253</v>
      </c>
      <c r="AF250" t="s">
        <v>74</v>
      </c>
      <c r="AG250">
        <v>89</v>
      </c>
      <c r="AH250">
        <v>13</v>
      </c>
      <c r="AI250">
        <v>17</v>
      </c>
      <c r="AJ250">
        <v>1</v>
      </c>
      <c r="AK250">
        <v>25</v>
      </c>
      <c r="AL250" t="s">
        <v>92</v>
      </c>
      <c r="AM250" t="s">
        <v>93</v>
      </c>
      <c r="AN250" t="s">
        <v>94</v>
      </c>
      <c r="AO250" t="s">
        <v>5254</v>
      </c>
      <c r="AP250" t="s">
        <v>5255</v>
      </c>
      <c r="AQ250" t="s">
        <v>74</v>
      </c>
      <c r="AR250" t="s">
        <v>5256</v>
      </c>
      <c r="AS250" t="s">
        <v>5257</v>
      </c>
      <c r="AT250" t="s">
        <v>2930</v>
      </c>
      <c r="AU250">
        <v>2019</v>
      </c>
      <c r="AV250">
        <v>150</v>
      </c>
      <c r="AW250" t="s">
        <v>74</v>
      </c>
      <c r="AX250" t="s">
        <v>74</v>
      </c>
      <c r="AY250" t="s">
        <v>74</v>
      </c>
      <c r="AZ250" t="s">
        <v>74</v>
      </c>
      <c r="BA250" t="s">
        <v>74</v>
      </c>
      <c r="BB250" t="s">
        <v>74</v>
      </c>
      <c r="BC250" t="s">
        <v>74</v>
      </c>
      <c r="BD250">
        <v>103060</v>
      </c>
      <c r="BE250" t="s">
        <v>5258</v>
      </c>
      <c r="BF250" t="str">
        <f>HYPERLINK("http://dx.doi.org/10.1016/j.dsr.2019.06.006","http://dx.doi.org/10.1016/j.dsr.2019.06.006")</f>
        <v>http://dx.doi.org/10.1016/j.dsr.2019.06.006</v>
      </c>
      <c r="BG250" t="s">
        <v>74</v>
      </c>
      <c r="BH250" t="s">
        <v>74</v>
      </c>
      <c r="BI250">
        <v>21</v>
      </c>
      <c r="BJ250" t="s">
        <v>100</v>
      </c>
      <c r="BK250" t="s">
        <v>101</v>
      </c>
      <c r="BL250" t="s">
        <v>100</v>
      </c>
      <c r="BM250" t="s">
        <v>5259</v>
      </c>
      <c r="BN250" t="s">
        <v>74</v>
      </c>
      <c r="BO250" t="s">
        <v>5260</v>
      </c>
      <c r="BP250" t="s">
        <v>74</v>
      </c>
      <c r="BQ250" t="s">
        <v>74</v>
      </c>
      <c r="BR250" t="s">
        <v>103</v>
      </c>
      <c r="BS250" t="s">
        <v>5261</v>
      </c>
      <c r="BT250" t="str">
        <f>HYPERLINK("https%3A%2F%2Fwww.webofscience.com%2Fwos%2Fwoscc%2Ffull-record%2FWOS:000485855900006","View Full Record in Web of Science")</f>
        <v>View Full Record in Web of Science</v>
      </c>
    </row>
    <row r="251" spans="1:72" x14ac:dyDescent="0.15">
      <c r="A251" t="s">
        <v>72</v>
      </c>
      <c r="B251" t="s">
        <v>5262</v>
      </c>
      <c r="C251" t="s">
        <v>74</v>
      </c>
      <c r="D251" t="s">
        <v>74</v>
      </c>
      <c r="E251" t="s">
        <v>74</v>
      </c>
      <c r="F251" t="s">
        <v>5263</v>
      </c>
      <c r="G251" t="s">
        <v>74</v>
      </c>
      <c r="H251" t="s">
        <v>74</v>
      </c>
      <c r="I251" t="s">
        <v>5264</v>
      </c>
      <c r="J251" t="s">
        <v>5265</v>
      </c>
      <c r="K251" t="s">
        <v>74</v>
      </c>
      <c r="L251" t="s">
        <v>74</v>
      </c>
      <c r="M251" t="s">
        <v>78</v>
      </c>
      <c r="N251" t="s">
        <v>108</v>
      </c>
      <c r="O251" t="s">
        <v>74</v>
      </c>
      <c r="P251" t="s">
        <v>74</v>
      </c>
      <c r="Q251" t="s">
        <v>74</v>
      </c>
      <c r="R251" t="s">
        <v>74</v>
      </c>
      <c r="S251" t="s">
        <v>74</v>
      </c>
      <c r="T251" t="s">
        <v>5266</v>
      </c>
      <c r="U251" t="s">
        <v>5267</v>
      </c>
      <c r="V251" t="s">
        <v>5268</v>
      </c>
      <c r="W251" t="s">
        <v>5269</v>
      </c>
      <c r="X251" t="s">
        <v>5270</v>
      </c>
      <c r="Y251" t="s">
        <v>5271</v>
      </c>
      <c r="Z251" t="s">
        <v>5272</v>
      </c>
      <c r="AA251" t="s">
        <v>5273</v>
      </c>
      <c r="AB251" t="s">
        <v>5274</v>
      </c>
      <c r="AC251" t="s">
        <v>5275</v>
      </c>
      <c r="AD251" t="s">
        <v>5276</v>
      </c>
      <c r="AE251" t="s">
        <v>5277</v>
      </c>
      <c r="AF251" t="s">
        <v>74</v>
      </c>
      <c r="AG251">
        <v>51</v>
      </c>
      <c r="AH251">
        <v>14</v>
      </c>
      <c r="AI251">
        <v>14</v>
      </c>
      <c r="AJ251">
        <v>4</v>
      </c>
      <c r="AK251">
        <v>28</v>
      </c>
      <c r="AL251" t="s">
        <v>1140</v>
      </c>
      <c r="AM251" t="s">
        <v>1141</v>
      </c>
      <c r="AN251" t="s">
        <v>1142</v>
      </c>
      <c r="AO251" t="s">
        <v>5278</v>
      </c>
      <c r="AP251" t="s">
        <v>74</v>
      </c>
      <c r="AQ251" t="s">
        <v>74</v>
      </c>
      <c r="AR251" t="s">
        <v>5265</v>
      </c>
      <c r="AS251" t="s">
        <v>5279</v>
      </c>
      <c r="AT251" t="s">
        <v>2930</v>
      </c>
      <c r="AU251">
        <v>2019</v>
      </c>
      <c r="AV251">
        <v>10</v>
      </c>
      <c r="AW251">
        <v>8</v>
      </c>
      <c r="AX251" t="s">
        <v>74</v>
      </c>
      <c r="AY251" t="s">
        <v>74</v>
      </c>
      <c r="AZ251" t="s">
        <v>74</v>
      </c>
      <c r="BA251" t="s">
        <v>74</v>
      </c>
      <c r="BB251" t="s">
        <v>74</v>
      </c>
      <c r="BC251" t="s">
        <v>74</v>
      </c>
      <c r="BD251" t="s">
        <v>5280</v>
      </c>
      <c r="BE251" t="s">
        <v>5281</v>
      </c>
      <c r="BF251" t="str">
        <f>HYPERLINK("http://dx.doi.org/10.1002/ecs2.2820","http://dx.doi.org/10.1002/ecs2.2820")</f>
        <v>http://dx.doi.org/10.1002/ecs2.2820</v>
      </c>
      <c r="BG251" t="s">
        <v>74</v>
      </c>
      <c r="BH251" t="s">
        <v>74</v>
      </c>
      <c r="BI251">
        <v>9</v>
      </c>
      <c r="BJ251" t="s">
        <v>1150</v>
      </c>
      <c r="BK251" t="s">
        <v>101</v>
      </c>
      <c r="BL251" t="s">
        <v>799</v>
      </c>
      <c r="BM251" t="s">
        <v>5282</v>
      </c>
      <c r="BN251" t="s">
        <v>74</v>
      </c>
      <c r="BO251" t="s">
        <v>331</v>
      </c>
      <c r="BP251" t="s">
        <v>74</v>
      </c>
      <c r="BQ251" t="s">
        <v>74</v>
      </c>
      <c r="BR251" t="s">
        <v>103</v>
      </c>
      <c r="BS251" t="s">
        <v>5283</v>
      </c>
      <c r="BT251" t="str">
        <f>HYPERLINK("https%3A%2F%2Fwww.webofscience.com%2Fwos%2Fwoscc%2Ffull-record%2FWOS:000483832300006","View Full Record in Web of Science")</f>
        <v>View Full Record in Web of Science</v>
      </c>
    </row>
    <row r="252" spans="1:72" x14ac:dyDescent="0.15">
      <c r="A252" t="s">
        <v>72</v>
      </c>
      <c r="B252" t="s">
        <v>5284</v>
      </c>
      <c r="C252" t="s">
        <v>74</v>
      </c>
      <c r="D252" t="s">
        <v>74</v>
      </c>
      <c r="E252" t="s">
        <v>74</v>
      </c>
      <c r="F252" t="s">
        <v>5285</v>
      </c>
      <c r="G252" t="s">
        <v>74</v>
      </c>
      <c r="H252" t="s">
        <v>74</v>
      </c>
      <c r="I252" t="s">
        <v>5286</v>
      </c>
      <c r="J252" t="s">
        <v>3300</v>
      </c>
      <c r="K252" t="s">
        <v>74</v>
      </c>
      <c r="L252" t="s">
        <v>74</v>
      </c>
      <c r="M252" t="s">
        <v>78</v>
      </c>
      <c r="N252" t="s">
        <v>108</v>
      </c>
      <c r="O252" t="s">
        <v>74</v>
      </c>
      <c r="P252" t="s">
        <v>74</v>
      </c>
      <c r="Q252" t="s">
        <v>74</v>
      </c>
      <c r="R252" t="s">
        <v>74</v>
      </c>
      <c r="S252" t="s">
        <v>74</v>
      </c>
      <c r="T252" t="s">
        <v>5287</v>
      </c>
      <c r="U252" t="s">
        <v>5288</v>
      </c>
      <c r="V252" t="s">
        <v>5289</v>
      </c>
      <c r="W252" t="s">
        <v>5290</v>
      </c>
      <c r="X252" t="s">
        <v>5291</v>
      </c>
      <c r="Y252" t="s">
        <v>5292</v>
      </c>
      <c r="Z252" t="s">
        <v>5293</v>
      </c>
      <c r="AA252" t="s">
        <v>5294</v>
      </c>
      <c r="AB252" t="s">
        <v>5295</v>
      </c>
      <c r="AC252" t="s">
        <v>5296</v>
      </c>
      <c r="AD252" t="s">
        <v>5297</v>
      </c>
      <c r="AE252" t="s">
        <v>5298</v>
      </c>
      <c r="AF252" t="s">
        <v>74</v>
      </c>
      <c r="AG252">
        <v>68</v>
      </c>
      <c r="AH252">
        <v>28</v>
      </c>
      <c r="AI252">
        <v>30</v>
      </c>
      <c r="AJ252">
        <v>1</v>
      </c>
      <c r="AK252">
        <v>29</v>
      </c>
      <c r="AL252" t="s">
        <v>182</v>
      </c>
      <c r="AM252" t="s">
        <v>183</v>
      </c>
      <c r="AN252" t="s">
        <v>184</v>
      </c>
      <c r="AO252" t="s">
        <v>3313</v>
      </c>
      <c r="AP252" t="s">
        <v>3314</v>
      </c>
      <c r="AQ252" t="s">
        <v>74</v>
      </c>
      <c r="AR252" t="s">
        <v>3315</v>
      </c>
      <c r="AS252" t="s">
        <v>3316</v>
      </c>
      <c r="AT252" t="s">
        <v>2930</v>
      </c>
      <c r="AU252">
        <v>2019</v>
      </c>
      <c r="AV252">
        <v>33</v>
      </c>
      <c r="AW252">
        <v>8</v>
      </c>
      <c r="AX252" t="s">
        <v>74</v>
      </c>
      <c r="AY252" t="s">
        <v>74</v>
      </c>
      <c r="AZ252" t="s">
        <v>74</v>
      </c>
      <c r="BA252" t="s">
        <v>74</v>
      </c>
      <c r="BB252">
        <v>942</v>
      </c>
      <c r="BC252">
        <v>956</v>
      </c>
      <c r="BD252" t="s">
        <v>74</v>
      </c>
      <c r="BE252" t="s">
        <v>5299</v>
      </c>
      <c r="BF252" t="str">
        <f>HYPERLINK("http://dx.doi.org/10.1029/2019GB006236","http://dx.doi.org/10.1029/2019GB006236")</f>
        <v>http://dx.doi.org/10.1029/2019GB006236</v>
      </c>
      <c r="BG252" t="s">
        <v>74</v>
      </c>
      <c r="BH252" t="s">
        <v>74</v>
      </c>
      <c r="BI252">
        <v>15</v>
      </c>
      <c r="BJ252" t="s">
        <v>3318</v>
      </c>
      <c r="BK252" t="s">
        <v>101</v>
      </c>
      <c r="BL252" t="s">
        <v>3319</v>
      </c>
      <c r="BM252" t="s">
        <v>3320</v>
      </c>
      <c r="BN252" t="s">
        <v>74</v>
      </c>
      <c r="BO252" t="s">
        <v>5300</v>
      </c>
      <c r="BP252" t="s">
        <v>74</v>
      </c>
      <c r="BQ252" t="s">
        <v>74</v>
      </c>
      <c r="BR252" t="s">
        <v>103</v>
      </c>
      <c r="BS252" t="s">
        <v>5301</v>
      </c>
      <c r="BT252" t="str">
        <f>HYPERLINK("https%3A%2F%2Fwww.webofscience.com%2Fwos%2Fwoscc%2Ffull-record%2FWOS:000490565900001","View Full Record in Web of Science")</f>
        <v>View Full Record in Web of Science</v>
      </c>
    </row>
    <row r="253" spans="1:72" x14ac:dyDescent="0.15">
      <c r="A253" t="s">
        <v>72</v>
      </c>
      <c r="B253" t="s">
        <v>5302</v>
      </c>
      <c r="C253" t="s">
        <v>74</v>
      </c>
      <c r="D253" t="s">
        <v>74</v>
      </c>
      <c r="E253" t="s">
        <v>74</v>
      </c>
      <c r="F253" t="s">
        <v>5303</v>
      </c>
      <c r="G253" t="s">
        <v>74</v>
      </c>
      <c r="H253" t="s">
        <v>74</v>
      </c>
      <c r="I253" t="s">
        <v>5304</v>
      </c>
      <c r="J253" t="s">
        <v>3172</v>
      </c>
      <c r="K253" t="s">
        <v>74</v>
      </c>
      <c r="L253" t="s">
        <v>74</v>
      </c>
      <c r="M253" t="s">
        <v>78</v>
      </c>
      <c r="N253" t="s">
        <v>108</v>
      </c>
      <c r="O253" t="s">
        <v>74</v>
      </c>
      <c r="P253" t="s">
        <v>74</v>
      </c>
      <c r="Q253" t="s">
        <v>74</v>
      </c>
      <c r="R253" t="s">
        <v>74</v>
      </c>
      <c r="S253" t="s">
        <v>74</v>
      </c>
      <c r="T253" t="s">
        <v>5305</v>
      </c>
      <c r="U253" t="s">
        <v>5306</v>
      </c>
      <c r="V253" t="s">
        <v>5307</v>
      </c>
      <c r="W253" t="s">
        <v>5308</v>
      </c>
      <c r="X253" t="s">
        <v>5309</v>
      </c>
      <c r="Y253" t="s">
        <v>5310</v>
      </c>
      <c r="Z253" t="s">
        <v>5311</v>
      </c>
      <c r="AA253" t="s">
        <v>5312</v>
      </c>
      <c r="AB253" t="s">
        <v>5313</v>
      </c>
      <c r="AC253" t="s">
        <v>5314</v>
      </c>
      <c r="AD253" t="s">
        <v>5315</v>
      </c>
      <c r="AE253" t="s">
        <v>5316</v>
      </c>
      <c r="AF253" t="s">
        <v>74</v>
      </c>
      <c r="AG253">
        <v>115</v>
      </c>
      <c r="AH253">
        <v>27</v>
      </c>
      <c r="AI253">
        <v>28</v>
      </c>
      <c r="AJ253">
        <v>10</v>
      </c>
      <c r="AK253">
        <v>45</v>
      </c>
      <c r="AL253" t="s">
        <v>182</v>
      </c>
      <c r="AM253" t="s">
        <v>183</v>
      </c>
      <c r="AN253" t="s">
        <v>184</v>
      </c>
      <c r="AO253" t="s">
        <v>3184</v>
      </c>
      <c r="AP253" t="s">
        <v>74</v>
      </c>
      <c r="AQ253" t="s">
        <v>74</v>
      </c>
      <c r="AR253" t="s">
        <v>3185</v>
      </c>
      <c r="AS253" t="s">
        <v>3186</v>
      </c>
      <c r="AT253" t="s">
        <v>2930</v>
      </c>
      <c r="AU253">
        <v>2019</v>
      </c>
      <c r="AV253">
        <v>11</v>
      </c>
      <c r="AW253">
        <v>7</v>
      </c>
      <c r="AX253" t="s">
        <v>74</v>
      </c>
      <c r="AY253" t="s">
        <v>74</v>
      </c>
      <c r="AZ253" t="s">
        <v>74</v>
      </c>
      <c r="BA253" t="s">
        <v>74</v>
      </c>
      <c r="BB253">
        <v>2259</v>
      </c>
      <c r="BC253">
        <v>2289</v>
      </c>
      <c r="BD253" t="s">
        <v>74</v>
      </c>
      <c r="BE253" t="s">
        <v>5317</v>
      </c>
      <c r="BF253" t="str">
        <f>HYPERLINK("http://dx.doi.org/10.1029/2019MS001655","http://dx.doi.org/10.1029/2019MS001655")</f>
        <v>http://dx.doi.org/10.1029/2019MS001655</v>
      </c>
      <c r="BG253" t="s">
        <v>74</v>
      </c>
      <c r="BH253" t="s">
        <v>74</v>
      </c>
      <c r="BI253">
        <v>31</v>
      </c>
      <c r="BJ253" t="s">
        <v>259</v>
      </c>
      <c r="BK253" t="s">
        <v>101</v>
      </c>
      <c r="BL253" t="s">
        <v>259</v>
      </c>
      <c r="BM253" t="s">
        <v>4330</v>
      </c>
      <c r="BN253" t="s">
        <v>74</v>
      </c>
      <c r="BO253" t="s">
        <v>313</v>
      </c>
      <c r="BP253" t="s">
        <v>74</v>
      </c>
      <c r="BQ253" t="s">
        <v>74</v>
      </c>
      <c r="BR253" t="s">
        <v>103</v>
      </c>
      <c r="BS253" t="s">
        <v>5318</v>
      </c>
      <c r="BT253" t="str">
        <f>HYPERLINK("https%3A%2F%2Fwww.webofscience.com%2Fwos%2Fwoscc%2Ffull-record%2FWOS:000480282800018","View Full Record in Web of Science")</f>
        <v>View Full Record in Web of Science</v>
      </c>
    </row>
    <row r="254" spans="1:72" x14ac:dyDescent="0.15">
      <c r="A254" t="s">
        <v>72</v>
      </c>
      <c r="B254" t="s">
        <v>5319</v>
      </c>
      <c r="C254" t="s">
        <v>74</v>
      </c>
      <c r="D254" t="s">
        <v>74</v>
      </c>
      <c r="E254" t="s">
        <v>74</v>
      </c>
      <c r="F254" t="s">
        <v>5320</v>
      </c>
      <c r="G254" t="s">
        <v>74</v>
      </c>
      <c r="H254" t="s">
        <v>74</v>
      </c>
      <c r="I254" t="s">
        <v>5321</v>
      </c>
      <c r="J254" t="s">
        <v>5322</v>
      </c>
      <c r="K254" t="s">
        <v>74</v>
      </c>
      <c r="L254" t="s">
        <v>74</v>
      </c>
      <c r="M254" t="s">
        <v>78</v>
      </c>
      <c r="N254" t="s">
        <v>108</v>
      </c>
      <c r="O254" t="s">
        <v>74</v>
      </c>
      <c r="P254" t="s">
        <v>74</v>
      </c>
      <c r="Q254" t="s">
        <v>74</v>
      </c>
      <c r="R254" t="s">
        <v>74</v>
      </c>
      <c r="S254" t="s">
        <v>74</v>
      </c>
      <c r="T254" t="s">
        <v>5323</v>
      </c>
      <c r="U254" t="s">
        <v>5324</v>
      </c>
      <c r="V254" t="s">
        <v>5325</v>
      </c>
      <c r="W254" t="s">
        <v>5326</v>
      </c>
      <c r="X254" t="s">
        <v>5327</v>
      </c>
      <c r="Y254" t="s">
        <v>5328</v>
      </c>
      <c r="Z254" t="s">
        <v>5329</v>
      </c>
      <c r="AA254" t="s">
        <v>5330</v>
      </c>
      <c r="AB254" t="s">
        <v>5331</v>
      </c>
      <c r="AC254" t="s">
        <v>5332</v>
      </c>
      <c r="AD254" t="s">
        <v>2329</v>
      </c>
      <c r="AE254" t="s">
        <v>74</v>
      </c>
      <c r="AF254" t="s">
        <v>74</v>
      </c>
      <c r="AG254">
        <v>55</v>
      </c>
      <c r="AH254">
        <v>70</v>
      </c>
      <c r="AI254">
        <v>72</v>
      </c>
      <c r="AJ254">
        <v>6</v>
      </c>
      <c r="AK254">
        <v>37</v>
      </c>
      <c r="AL254" t="s">
        <v>1140</v>
      </c>
      <c r="AM254" t="s">
        <v>1141</v>
      </c>
      <c r="AN254" t="s">
        <v>1142</v>
      </c>
      <c r="AO254" t="s">
        <v>5333</v>
      </c>
      <c r="AP254" t="s">
        <v>5334</v>
      </c>
      <c r="AQ254" t="s">
        <v>74</v>
      </c>
      <c r="AR254" t="s">
        <v>5335</v>
      </c>
      <c r="AS254" t="s">
        <v>5336</v>
      </c>
      <c r="AT254" t="s">
        <v>2930</v>
      </c>
      <c r="AU254">
        <v>2019</v>
      </c>
      <c r="AV254">
        <v>56</v>
      </c>
      <c r="AW254">
        <v>8</v>
      </c>
      <c r="AX254" t="s">
        <v>74</v>
      </c>
      <c r="AY254" t="s">
        <v>74</v>
      </c>
      <c r="AZ254" t="s">
        <v>74</v>
      </c>
      <c r="BA254" t="s">
        <v>74</v>
      </c>
      <c r="BB254">
        <v>1882</v>
      </c>
      <c r="BC254">
        <v>1893</v>
      </c>
      <c r="BD254" t="s">
        <v>74</v>
      </c>
      <c r="BE254" t="s">
        <v>5337</v>
      </c>
      <c r="BF254" t="str">
        <f>HYPERLINK("http://dx.doi.org/10.1111/1365-2664.13407","http://dx.doi.org/10.1111/1365-2664.13407")</f>
        <v>http://dx.doi.org/10.1111/1365-2664.13407</v>
      </c>
      <c r="BG254" t="s">
        <v>74</v>
      </c>
      <c r="BH254" t="s">
        <v>74</v>
      </c>
      <c r="BI254">
        <v>12</v>
      </c>
      <c r="BJ254" t="s">
        <v>3802</v>
      </c>
      <c r="BK254" t="s">
        <v>101</v>
      </c>
      <c r="BL254" t="s">
        <v>1646</v>
      </c>
      <c r="BM254" t="s">
        <v>5338</v>
      </c>
      <c r="BN254" t="s">
        <v>74</v>
      </c>
      <c r="BO254" t="s">
        <v>984</v>
      </c>
      <c r="BP254" t="s">
        <v>74</v>
      </c>
      <c r="BQ254" t="s">
        <v>74</v>
      </c>
      <c r="BR254" t="s">
        <v>103</v>
      </c>
      <c r="BS254" t="s">
        <v>5339</v>
      </c>
      <c r="BT254" t="str">
        <f>HYPERLINK("https%3A%2F%2Fwww.webofscience.com%2Fwos%2Fwoscc%2Ffull-record%2FWOS:000478601300003","View Full Record in Web of Science")</f>
        <v>View Full Record in Web of Science</v>
      </c>
    </row>
    <row r="255" spans="1:72" x14ac:dyDescent="0.15">
      <c r="A255" t="s">
        <v>72</v>
      </c>
      <c r="B255" t="s">
        <v>5340</v>
      </c>
      <c r="C255" t="s">
        <v>74</v>
      </c>
      <c r="D255" t="s">
        <v>74</v>
      </c>
      <c r="E255" t="s">
        <v>74</v>
      </c>
      <c r="F255" t="s">
        <v>5341</v>
      </c>
      <c r="G255" t="s">
        <v>74</v>
      </c>
      <c r="H255" t="s">
        <v>74</v>
      </c>
      <c r="I255" t="s">
        <v>5342</v>
      </c>
      <c r="J255" t="s">
        <v>5343</v>
      </c>
      <c r="K255" t="s">
        <v>74</v>
      </c>
      <c r="L255" t="s">
        <v>74</v>
      </c>
      <c r="M255" t="s">
        <v>78</v>
      </c>
      <c r="N255" t="s">
        <v>108</v>
      </c>
      <c r="O255" t="s">
        <v>74</v>
      </c>
      <c r="P255" t="s">
        <v>74</v>
      </c>
      <c r="Q255" t="s">
        <v>74</v>
      </c>
      <c r="R255" t="s">
        <v>74</v>
      </c>
      <c r="S255" t="s">
        <v>74</v>
      </c>
      <c r="T255" t="s">
        <v>5344</v>
      </c>
      <c r="U255" t="s">
        <v>5345</v>
      </c>
      <c r="V255" t="s">
        <v>5346</v>
      </c>
      <c r="W255" t="s">
        <v>5347</v>
      </c>
      <c r="X255" t="s">
        <v>5348</v>
      </c>
      <c r="Y255" t="s">
        <v>5349</v>
      </c>
      <c r="Z255" t="s">
        <v>5350</v>
      </c>
      <c r="AA255" t="s">
        <v>5351</v>
      </c>
      <c r="AB255" t="s">
        <v>5352</v>
      </c>
      <c r="AC255" t="s">
        <v>5353</v>
      </c>
      <c r="AD255" t="s">
        <v>5353</v>
      </c>
      <c r="AE255" t="s">
        <v>5354</v>
      </c>
      <c r="AF255" t="s">
        <v>74</v>
      </c>
      <c r="AG255">
        <v>22</v>
      </c>
      <c r="AH255">
        <v>4</v>
      </c>
      <c r="AI255">
        <v>5</v>
      </c>
      <c r="AJ255">
        <v>0</v>
      </c>
      <c r="AK255">
        <v>7</v>
      </c>
      <c r="AL255" t="s">
        <v>1140</v>
      </c>
      <c r="AM255" t="s">
        <v>1141</v>
      </c>
      <c r="AN255" t="s">
        <v>1142</v>
      </c>
      <c r="AO255" t="s">
        <v>5355</v>
      </c>
      <c r="AP255" t="s">
        <v>5356</v>
      </c>
      <c r="AQ255" t="s">
        <v>74</v>
      </c>
      <c r="AR255" t="s">
        <v>5357</v>
      </c>
      <c r="AS255" t="s">
        <v>5358</v>
      </c>
      <c r="AT255" t="s">
        <v>2930</v>
      </c>
      <c r="AU255">
        <v>2019</v>
      </c>
      <c r="AV255">
        <v>59</v>
      </c>
      <c r="AW255">
        <v>8</v>
      </c>
      <c r="AX255" t="s">
        <v>74</v>
      </c>
      <c r="AY255" t="s">
        <v>74</v>
      </c>
      <c r="AZ255" t="s">
        <v>74</v>
      </c>
      <c r="BA255" t="s">
        <v>74</v>
      </c>
      <c r="BB255">
        <v>846</v>
      </c>
      <c r="BC255">
        <v>852</v>
      </c>
      <c r="BD255" t="s">
        <v>74</v>
      </c>
      <c r="BE255" t="s">
        <v>5359</v>
      </c>
      <c r="BF255" t="str">
        <f>HYPERLINK("http://dx.doi.org/10.1002/jobm.201900126","http://dx.doi.org/10.1002/jobm.201900126")</f>
        <v>http://dx.doi.org/10.1002/jobm.201900126</v>
      </c>
      <c r="BG255" t="s">
        <v>74</v>
      </c>
      <c r="BH255" t="s">
        <v>74</v>
      </c>
      <c r="BI255">
        <v>7</v>
      </c>
      <c r="BJ255" t="s">
        <v>1514</v>
      </c>
      <c r="BK255" t="s">
        <v>101</v>
      </c>
      <c r="BL255" t="s">
        <v>1514</v>
      </c>
      <c r="BM255" t="s">
        <v>5360</v>
      </c>
      <c r="BN255">
        <v>31215677</v>
      </c>
      <c r="BO255" t="s">
        <v>74</v>
      </c>
      <c r="BP255" t="s">
        <v>74</v>
      </c>
      <c r="BQ255" t="s">
        <v>74</v>
      </c>
      <c r="BR255" t="s">
        <v>103</v>
      </c>
      <c r="BS255" t="s">
        <v>5361</v>
      </c>
      <c r="BT255" t="str">
        <f>HYPERLINK("https%3A%2F%2Fwww.webofscience.com%2Fwos%2Fwoscc%2Ffull-record%2FWOS:000478081600008","View Full Record in Web of Science")</f>
        <v>View Full Record in Web of Science</v>
      </c>
    </row>
    <row r="256" spans="1:72" x14ac:dyDescent="0.15">
      <c r="A256" t="s">
        <v>72</v>
      </c>
      <c r="B256" t="s">
        <v>5362</v>
      </c>
      <c r="C256" t="s">
        <v>74</v>
      </c>
      <c r="D256" t="s">
        <v>74</v>
      </c>
      <c r="E256" t="s">
        <v>74</v>
      </c>
      <c r="F256" t="s">
        <v>5363</v>
      </c>
      <c r="G256" t="s">
        <v>74</v>
      </c>
      <c r="H256" t="s">
        <v>74</v>
      </c>
      <c r="I256" t="s">
        <v>5364</v>
      </c>
      <c r="J256" t="s">
        <v>5365</v>
      </c>
      <c r="K256" t="s">
        <v>74</v>
      </c>
      <c r="L256" t="s">
        <v>74</v>
      </c>
      <c r="M256" t="s">
        <v>78</v>
      </c>
      <c r="N256" t="s">
        <v>108</v>
      </c>
      <c r="O256" t="s">
        <v>74</v>
      </c>
      <c r="P256" t="s">
        <v>74</v>
      </c>
      <c r="Q256" t="s">
        <v>74</v>
      </c>
      <c r="R256" t="s">
        <v>74</v>
      </c>
      <c r="S256" t="s">
        <v>74</v>
      </c>
      <c r="T256" t="s">
        <v>5366</v>
      </c>
      <c r="U256" t="s">
        <v>5367</v>
      </c>
      <c r="V256" t="s">
        <v>5368</v>
      </c>
      <c r="W256" t="s">
        <v>5369</v>
      </c>
      <c r="X256" t="s">
        <v>5370</v>
      </c>
      <c r="Y256" t="s">
        <v>5371</v>
      </c>
      <c r="Z256" t="s">
        <v>5372</v>
      </c>
      <c r="AA256" t="s">
        <v>5373</v>
      </c>
      <c r="AB256" t="s">
        <v>5374</v>
      </c>
      <c r="AC256" t="s">
        <v>5375</v>
      </c>
      <c r="AD256" t="s">
        <v>5376</v>
      </c>
      <c r="AE256" t="s">
        <v>74</v>
      </c>
      <c r="AF256" t="s">
        <v>74</v>
      </c>
      <c r="AG256">
        <v>46</v>
      </c>
      <c r="AH256">
        <v>5</v>
      </c>
      <c r="AI256">
        <v>5</v>
      </c>
      <c r="AJ256">
        <v>1</v>
      </c>
      <c r="AK256">
        <v>1</v>
      </c>
      <c r="AL256" t="s">
        <v>1140</v>
      </c>
      <c r="AM256" t="s">
        <v>1141</v>
      </c>
      <c r="AN256" t="s">
        <v>1142</v>
      </c>
      <c r="AO256" t="s">
        <v>5377</v>
      </c>
      <c r="AP256" t="s">
        <v>5378</v>
      </c>
      <c r="AQ256" t="s">
        <v>74</v>
      </c>
      <c r="AR256" t="s">
        <v>5379</v>
      </c>
      <c r="AS256" t="s">
        <v>5380</v>
      </c>
      <c r="AT256" t="s">
        <v>2930</v>
      </c>
      <c r="AU256">
        <v>2019</v>
      </c>
      <c r="AV256">
        <v>95</v>
      </c>
      <c r="AW256">
        <v>2</v>
      </c>
      <c r="AX256" t="s">
        <v>74</v>
      </c>
      <c r="AY256" t="s">
        <v>74</v>
      </c>
      <c r="AZ256" t="s">
        <v>74</v>
      </c>
      <c r="BA256" t="s">
        <v>74</v>
      </c>
      <c r="BB256">
        <v>642</v>
      </c>
      <c r="BC256">
        <v>646</v>
      </c>
      <c r="BD256" t="s">
        <v>74</v>
      </c>
      <c r="BE256" t="s">
        <v>5381</v>
      </c>
      <c r="BF256" t="str">
        <f>HYPERLINK("http://dx.doi.org/10.1111/jfb.13977","http://dx.doi.org/10.1111/jfb.13977")</f>
        <v>http://dx.doi.org/10.1111/jfb.13977</v>
      </c>
      <c r="BG256" t="s">
        <v>74</v>
      </c>
      <c r="BH256" t="s">
        <v>74</v>
      </c>
      <c r="BI256">
        <v>5</v>
      </c>
      <c r="BJ256" t="s">
        <v>162</v>
      </c>
      <c r="BK256" t="s">
        <v>101</v>
      </c>
      <c r="BL256" t="s">
        <v>162</v>
      </c>
      <c r="BM256" t="s">
        <v>5382</v>
      </c>
      <c r="BN256">
        <v>30963562</v>
      </c>
      <c r="BO256" t="s">
        <v>74</v>
      </c>
      <c r="BP256" t="s">
        <v>74</v>
      </c>
      <c r="BQ256" t="s">
        <v>74</v>
      </c>
      <c r="BR256" t="s">
        <v>103</v>
      </c>
      <c r="BS256" t="s">
        <v>5383</v>
      </c>
      <c r="BT256" t="str">
        <f>HYPERLINK("https%3A%2F%2Fwww.webofscience.com%2Fwos%2Fwoscc%2Ffull-record%2FWOS:000480645900029","View Full Record in Web of Science")</f>
        <v>View Full Record in Web of Science</v>
      </c>
    </row>
    <row r="257" spans="1:72" x14ac:dyDescent="0.15">
      <c r="A257" t="s">
        <v>72</v>
      </c>
      <c r="B257" t="s">
        <v>5384</v>
      </c>
      <c r="C257" t="s">
        <v>74</v>
      </c>
      <c r="D257" t="s">
        <v>74</v>
      </c>
      <c r="E257" t="s">
        <v>74</v>
      </c>
      <c r="F257" t="s">
        <v>5385</v>
      </c>
      <c r="G257" t="s">
        <v>74</v>
      </c>
      <c r="H257" t="s">
        <v>74</v>
      </c>
      <c r="I257" t="s">
        <v>5386</v>
      </c>
      <c r="J257" t="s">
        <v>3380</v>
      </c>
      <c r="K257" t="s">
        <v>74</v>
      </c>
      <c r="L257" t="s">
        <v>74</v>
      </c>
      <c r="M257" t="s">
        <v>78</v>
      </c>
      <c r="N257" t="s">
        <v>108</v>
      </c>
      <c r="O257" t="s">
        <v>74</v>
      </c>
      <c r="P257" t="s">
        <v>74</v>
      </c>
      <c r="Q257" t="s">
        <v>74</v>
      </c>
      <c r="R257" t="s">
        <v>74</v>
      </c>
      <c r="S257" t="s">
        <v>74</v>
      </c>
      <c r="T257" t="s">
        <v>74</v>
      </c>
      <c r="U257" t="s">
        <v>5387</v>
      </c>
      <c r="V257" t="s">
        <v>5388</v>
      </c>
      <c r="W257" t="s">
        <v>5389</v>
      </c>
      <c r="X257" t="s">
        <v>5390</v>
      </c>
      <c r="Y257" t="s">
        <v>5391</v>
      </c>
      <c r="Z257" t="s">
        <v>5392</v>
      </c>
      <c r="AA257" t="s">
        <v>246</v>
      </c>
      <c r="AB257" t="s">
        <v>5393</v>
      </c>
      <c r="AC257" t="s">
        <v>5394</v>
      </c>
      <c r="AD257" t="s">
        <v>5395</v>
      </c>
      <c r="AE257" t="s">
        <v>5396</v>
      </c>
      <c r="AF257" t="s">
        <v>74</v>
      </c>
      <c r="AG257">
        <v>76</v>
      </c>
      <c r="AH257">
        <v>18</v>
      </c>
      <c r="AI257">
        <v>19</v>
      </c>
      <c r="AJ257">
        <v>1</v>
      </c>
      <c r="AK257">
        <v>20</v>
      </c>
      <c r="AL257" t="s">
        <v>182</v>
      </c>
      <c r="AM257" t="s">
        <v>183</v>
      </c>
      <c r="AN257" t="s">
        <v>184</v>
      </c>
      <c r="AO257" t="s">
        <v>3393</v>
      </c>
      <c r="AP257" t="s">
        <v>3394</v>
      </c>
      <c r="AQ257" t="s">
        <v>74</v>
      </c>
      <c r="AR257" t="s">
        <v>3395</v>
      </c>
      <c r="AS257" t="s">
        <v>3396</v>
      </c>
      <c r="AT257" t="s">
        <v>2930</v>
      </c>
      <c r="AU257">
        <v>2019</v>
      </c>
      <c r="AV257">
        <v>124</v>
      </c>
      <c r="AW257">
        <v>8</v>
      </c>
      <c r="AX257" t="s">
        <v>74</v>
      </c>
      <c r="AY257" t="s">
        <v>74</v>
      </c>
      <c r="AZ257" t="s">
        <v>74</v>
      </c>
      <c r="BA257" t="s">
        <v>74</v>
      </c>
      <c r="BB257">
        <v>5811</v>
      </c>
      <c r="BC257">
        <v>5826</v>
      </c>
      <c r="BD257" t="s">
        <v>74</v>
      </c>
      <c r="BE257" t="s">
        <v>5397</v>
      </c>
      <c r="BF257" t="str">
        <f>HYPERLINK("http://dx.doi.org/10.1029/2019JC015162","http://dx.doi.org/10.1029/2019JC015162")</f>
        <v>http://dx.doi.org/10.1029/2019JC015162</v>
      </c>
      <c r="BG257" t="s">
        <v>74</v>
      </c>
      <c r="BH257" t="s">
        <v>74</v>
      </c>
      <c r="BI257">
        <v>16</v>
      </c>
      <c r="BJ257" t="s">
        <v>100</v>
      </c>
      <c r="BK257" t="s">
        <v>101</v>
      </c>
      <c r="BL257" t="s">
        <v>100</v>
      </c>
      <c r="BM257" t="s">
        <v>3398</v>
      </c>
      <c r="BN257" t="s">
        <v>74</v>
      </c>
      <c r="BO257" t="s">
        <v>1125</v>
      </c>
      <c r="BP257" t="s">
        <v>74</v>
      </c>
      <c r="BQ257" t="s">
        <v>74</v>
      </c>
      <c r="BR257" t="s">
        <v>103</v>
      </c>
      <c r="BS257" t="s">
        <v>5398</v>
      </c>
      <c r="BT257" t="str">
        <f>HYPERLINK("https%3A%2F%2Fwww.webofscience.com%2Fwos%2Fwoscc%2Ffull-record%2FWOS:000490464200027","View Full Record in Web of Science")</f>
        <v>View Full Record in Web of Science</v>
      </c>
    </row>
    <row r="258" spans="1:72" x14ac:dyDescent="0.15">
      <c r="A258" t="s">
        <v>72</v>
      </c>
      <c r="B258" t="s">
        <v>5399</v>
      </c>
      <c r="C258" t="s">
        <v>74</v>
      </c>
      <c r="D258" t="s">
        <v>74</v>
      </c>
      <c r="E258" t="s">
        <v>74</v>
      </c>
      <c r="F258" t="s">
        <v>5400</v>
      </c>
      <c r="G258" t="s">
        <v>74</v>
      </c>
      <c r="H258" t="s">
        <v>5401</v>
      </c>
      <c r="I258" t="s">
        <v>5402</v>
      </c>
      <c r="J258" t="s">
        <v>5403</v>
      </c>
      <c r="K258" t="s">
        <v>74</v>
      </c>
      <c r="L258" t="s">
        <v>74</v>
      </c>
      <c r="M258" t="s">
        <v>78</v>
      </c>
      <c r="N258" t="s">
        <v>108</v>
      </c>
      <c r="O258" t="s">
        <v>74</v>
      </c>
      <c r="P258" t="s">
        <v>74</v>
      </c>
      <c r="Q258" t="s">
        <v>74</v>
      </c>
      <c r="R258" t="s">
        <v>74</v>
      </c>
      <c r="S258" t="s">
        <v>74</v>
      </c>
      <c r="T258" t="s">
        <v>5404</v>
      </c>
      <c r="U258" t="s">
        <v>5405</v>
      </c>
      <c r="V258" t="s">
        <v>5406</v>
      </c>
      <c r="W258" t="s">
        <v>5407</v>
      </c>
      <c r="X258" t="s">
        <v>5408</v>
      </c>
      <c r="Y258" t="s">
        <v>5409</v>
      </c>
      <c r="Z258" t="s">
        <v>5410</v>
      </c>
      <c r="AA258" t="s">
        <v>5411</v>
      </c>
      <c r="AB258" t="s">
        <v>5412</v>
      </c>
      <c r="AC258" t="s">
        <v>5413</v>
      </c>
      <c r="AD258" t="s">
        <v>5414</v>
      </c>
      <c r="AE258" t="s">
        <v>5415</v>
      </c>
      <c r="AF258" t="s">
        <v>74</v>
      </c>
      <c r="AG258">
        <v>38</v>
      </c>
      <c r="AH258">
        <v>4</v>
      </c>
      <c r="AI258">
        <v>5</v>
      </c>
      <c r="AJ258">
        <v>0</v>
      </c>
      <c r="AK258">
        <v>2</v>
      </c>
      <c r="AL258" t="s">
        <v>1687</v>
      </c>
      <c r="AM258" t="s">
        <v>1688</v>
      </c>
      <c r="AN258" t="s">
        <v>1689</v>
      </c>
      <c r="AO258" t="s">
        <v>5416</v>
      </c>
      <c r="AP258" t="s">
        <v>74</v>
      </c>
      <c r="AQ258" t="s">
        <v>74</v>
      </c>
      <c r="AR258" t="s">
        <v>5417</v>
      </c>
      <c r="AS258" t="s">
        <v>5418</v>
      </c>
      <c r="AT258" t="s">
        <v>2930</v>
      </c>
      <c r="AU258">
        <v>2019</v>
      </c>
      <c r="AV258">
        <v>14</v>
      </c>
      <c r="AW258" t="s">
        <v>74</v>
      </c>
      <c r="AX258" t="s">
        <v>74</v>
      </c>
      <c r="AY258" t="s">
        <v>74</v>
      </c>
      <c r="AZ258" t="s">
        <v>74</v>
      </c>
      <c r="BA258" t="s">
        <v>74</v>
      </c>
      <c r="BB258" t="s">
        <v>74</v>
      </c>
      <c r="BC258" t="s">
        <v>74</v>
      </c>
      <c r="BD258" t="s">
        <v>5419</v>
      </c>
      <c r="BE258" t="s">
        <v>5420</v>
      </c>
      <c r="BF258" t="str">
        <f>HYPERLINK("http://dx.doi.org/10.1088/1748-0221/14/08/P08011","http://dx.doi.org/10.1088/1748-0221/14/08/P08011")</f>
        <v>http://dx.doi.org/10.1088/1748-0221/14/08/P08011</v>
      </c>
      <c r="BG258" t="s">
        <v>74</v>
      </c>
      <c r="BH258" t="s">
        <v>74</v>
      </c>
      <c r="BI258">
        <v>27</v>
      </c>
      <c r="BJ258" t="s">
        <v>5421</v>
      </c>
      <c r="BK258" t="s">
        <v>101</v>
      </c>
      <c r="BL258" t="s">
        <v>5421</v>
      </c>
      <c r="BM258" t="s">
        <v>5422</v>
      </c>
      <c r="BN258" t="s">
        <v>74</v>
      </c>
      <c r="BO258" t="s">
        <v>1648</v>
      </c>
      <c r="BP258" t="s">
        <v>74</v>
      </c>
      <c r="BQ258" t="s">
        <v>74</v>
      </c>
      <c r="BR258" t="s">
        <v>103</v>
      </c>
      <c r="BS258" t="s">
        <v>5423</v>
      </c>
      <c r="BT258" t="str">
        <f>HYPERLINK("https%3A%2F%2Fwww.webofscience.com%2Fwos%2Fwoscc%2Ffull-record%2FWOS:000482373600008","View Full Record in Web of Science")</f>
        <v>View Full Record in Web of Science</v>
      </c>
    </row>
    <row r="259" spans="1:72" x14ac:dyDescent="0.15">
      <c r="A259" t="s">
        <v>72</v>
      </c>
      <c r="B259" t="s">
        <v>5424</v>
      </c>
      <c r="C259" t="s">
        <v>74</v>
      </c>
      <c r="D259" t="s">
        <v>74</v>
      </c>
      <c r="E259" t="s">
        <v>74</v>
      </c>
      <c r="F259" t="s">
        <v>5425</v>
      </c>
      <c r="G259" t="s">
        <v>74</v>
      </c>
      <c r="H259" t="s">
        <v>74</v>
      </c>
      <c r="I259" t="s">
        <v>5426</v>
      </c>
      <c r="J259" t="s">
        <v>5427</v>
      </c>
      <c r="K259" t="s">
        <v>74</v>
      </c>
      <c r="L259" t="s">
        <v>74</v>
      </c>
      <c r="M259" t="s">
        <v>78</v>
      </c>
      <c r="N259" t="s">
        <v>108</v>
      </c>
      <c r="O259" t="s">
        <v>74</v>
      </c>
      <c r="P259" t="s">
        <v>74</v>
      </c>
      <c r="Q259" t="s">
        <v>74</v>
      </c>
      <c r="R259" t="s">
        <v>74</v>
      </c>
      <c r="S259" t="s">
        <v>74</v>
      </c>
      <c r="T259" t="s">
        <v>74</v>
      </c>
      <c r="U259" t="s">
        <v>5428</v>
      </c>
      <c r="V259" t="s">
        <v>5429</v>
      </c>
      <c r="W259" t="s">
        <v>5430</v>
      </c>
      <c r="X259" t="s">
        <v>5431</v>
      </c>
      <c r="Y259" t="s">
        <v>5432</v>
      </c>
      <c r="Z259" t="s">
        <v>5433</v>
      </c>
      <c r="AA259" t="s">
        <v>5434</v>
      </c>
      <c r="AB259" t="s">
        <v>5435</v>
      </c>
      <c r="AC259" t="s">
        <v>5436</v>
      </c>
      <c r="AD259" t="s">
        <v>5436</v>
      </c>
      <c r="AE259" t="s">
        <v>5437</v>
      </c>
      <c r="AF259" t="s">
        <v>74</v>
      </c>
      <c r="AG259">
        <v>21</v>
      </c>
      <c r="AH259">
        <v>3</v>
      </c>
      <c r="AI259">
        <v>3</v>
      </c>
      <c r="AJ259">
        <v>5</v>
      </c>
      <c r="AK259">
        <v>12</v>
      </c>
      <c r="AL259" t="s">
        <v>1140</v>
      </c>
      <c r="AM259" t="s">
        <v>1141</v>
      </c>
      <c r="AN259" t="s">
        <v>1142</v>
      </c>
      <c r="AO259" t="s">
        <v>5438</v>
      </c>
      <c r="AP259" t="s">
        <v>74</v>
      </c>
      <c r="AQ259" t="s">
        <v>74</v>
      </c>
      <c r="AR259" t="s">
        <v>5439</v>
      </c>
      <c r="AS259" t="s">
        <v>5440</v>
      </c>
      <c r="AT259" t="s">
        <v>98</v>
      </c>
      <c r="AU259">
        <v>2019</v>
      </c>
      <c r="AV259">
        <v>17</v>
      </c>
      <c r="AW259">
        <v>9</v>
      </c>
      <c r="AX259" t="s">
        <v>74</v>
      </c>
      <c r="AY259" t="s">
        <v>74</v>
      </c>
      <c r="AZ259" t="s">
        <v>74</v>
      </c>
      <c r="BA259" t="s">
        <v>74</v>
      </c>
      <c r="BB259">
        <v>490</v>
      </c>
      <c r="BC259">
        <v>504</v>
      </c>
      <c r="BD259" t="s">
        <v>74</v>
      </c>
      <c r="BE259" t="s">
        <v>5441</v>
      </c>
      <c r="BF259" t="str">
        <f>HYPERLINK("http://dx.doi.org/10.1002/lom3.10327","http://dx.doi.org/10.1002/lom3.10327")</f>
        <v>http://dx.doi.org/10.1002/lom3.10327</v>
      </c>
      <c r="BG259" t="s">
        <v>74</v>
      </c>
      <c r="BH259" t="s">
        <v>1149</v>
      </c>
      <c r="BI259">
        <v>15</v>
      </c>
      <c r="BJ259" t="s">
        <v>5442</v>
      </c>
      <c r="BK259" t="s">
        <v>101</v>
      </c>
      <c r="BL259" t="s">
        <v>3596</v>
      </c>
      <c r="BM259" t="s">
        <v>5443</v>
      </c>
      <c r="BN259" t="s">
        <v>74</v>
      </c>
      <c r="BO259" t="s">
        <v>3482</v>
      </c>
      <c r="BP259" t="s">
        <v>74</v>
      </c>
      <c r="BQ259" t="s">
        <v>74</v>
      </c>
      <c r="BR259" t="s">
        <v>103</v>
      </c>
      <c r="BS259" t="s">
        <v>5444</v>
      </c>
      <c r="BT259" t="str">
        <f>HYPERLINK("https%3A%2F%2Fwww.webofscience.com%2Fwos%2Fwoscc%2Ffull-record%2FWOS:000479830800001","View Full Record in Web of Science")</f>
        <v>View Full Record in Web of Science</v>
      </c>
    </row>
    <row r="260" spans="1:72" x14ac:dyDescent="0.15">
      <c r="A260" t="s">
        <v>72</v>
      </c>
      <c r="B260" t="s">
        <v>5445</v>
      </c>
      <c r="C260" t="s">
        <v>74</v>
      </c>
      <c r="D260" t="s">
        <v>74</v>
      </c>
      <c r="E260" t="s">
        <v>74</v>
      </c>
      <c r="F260" t="s">
        <v>5446</v>
      </c>
      <c r="G260" t="s">
        <v>74</v>
      </c>
      <c r="H260" t="s">
        <v>74</v>
      </c>
      <c r="I260" t="s">
        <v>5447</v>
      </c>
      <c r="J260" t="s">
        <v>3857</v>
      </c>
      <c r="K260" t="s">
        <v>74</v>
      </c>
      <c r="L260" t="s">
        <v>74</v>
      </c>
      <c r="M260" t="s">
        <v>78</v>
      </c>
      <c r="N260" t="s">
        <v>79</v>
      </c>
      <c r="O260" t="s">
        <v>74</v>
      </c>
      <c r="P260" t="s">
        <v>74</v>
      </c>
      <c r="Q260" t="s">
        <v>74</v>
      </c>
      <c r="R260" t="s">
        <v>74</v>
      </c>
      <c r="S260" t="s">
        <v>74</v>
      </c>
      <c r="T260" t="s">
        <v>5448</v>
      </c>
      <c r="U260" t="s">
        <v>5449</v>
      </c>
      <c r="V260" t="s">
        <v>5450</v>
      </c>
      <c r="W260" t="s">
        <v>5451</v>
      </c>
      <c r="X260" t="s">
        <v>5452</v>
      </c>
      <c r="Y260" t="s">
        <v>5453</v>
      </c>
      <c r="Z260" t="s">
        <v>5454</v>
      </c>
      <c r="AA260" t="s">
        <v>5455</v>
      </c>
      <c r="AB260" t="s">
        <v>5456</v>
      </c>
      <c r="AC260" t="s">
        <v>74</v>
      </c>
      <c r="AD260" t="s">
        <v>74</v>
      </c>
      <c r="AE260" t="s">
        <v>74</v>
      </c>
      <c r="AF260" t="s">
        <v>74</v>
      </c>
      <c r="AG260">
        <v>92</v>
      </c>
      <c r="AH260">
        <v>62</v>
      </c>
      <c r="AI260">
        <v>67</v>
      </c>
      <c r="AJ260">
        <v>4</v>
      </c>
      <c r="AK260">
        <v>90</v>
      </c>
      <c r="AL260" t="s">
        <v>92</v>
      </c>
      <c r="AM260" t="s">
        <v>93</v>
      </c>
      <c r="AN260" t="s">
        <v>94</v>
      </c>
      <c r="AO260" t="s">
        <v>3870</v>
      </c>
      <c r="AP260" t="s">
        <v>3871</v>
      </c>
      <c r="AQ260" t="s">
        <v>74</v>
      </c>
      <c r="AR260" t="s">
        <v>3872</v>
      </c>
      <c r="AS260" t="s">
        <v>3873</v>
      </c>
      <c r="AT260" t="s">
        <v>2930</v>
      </c>
      <c r="AU260">
        <v>2019</v>
      </c>
      <c r="AV260">
        <v>145</v>
      </c>
      <c r="AW260" t="s">
        <v>74</v>
      </c>
      <c r="AX260" t="s">
        <v>74</v>
      </c>
      <c r="AY260" t="s">
        <v>74</v>
      </c>
      <c r="AZ260" t="s">
        <v>74</v>
      </c>
      <c r="BA260" t="s">
        <v>74</v>
      </c>
      <c r="BB260">
        <v>295</v>
      </c>
      <c r="BC260">
        <v>305</v>
      </c>
      <c r="BD260" t="s">
        <v>74</v>
      </c>
      <c r="BE260" t="s">
        <v>5457</v>
      </c>
      <c r="BF260" t="str">
        <f>HYPERLINK("http://dx.doi.org/10.1016/j.marpolbul.2019.05.042","http://dx.doi.org/10.1016/j.marpolbul.2019.05.042")</f>
        <v>http://dx.doi.org/10.1016/j.marpolbul.2019.05.042</v>
      </c>
      <c r="BG260" t="s">
        <v>74</v>
      </c>
      <c r="BH260" t="s">
        <v>74</v>
      </c>
      <c r="BI260">
        <v>11</v>
      </c>
      <c r="BJ260" t="s">
        <v>876</v>
      </c>
      <c r="BK260" t="s">
        <v>101</v>
      </c>
      <c r="BL260" t="s">
        <v>877</v>
      </c>
      <c r="BM260" t="s">
        <v>3875</v>
      </c>
      <c r="BN260">
        <v>31590791</v>
      </c>
      <c r="BO260" t="s">
        <v>1648</v>
      </c>
      <c r="BP260" t="s">
        <v>74</v>
      </c>
      <c r="BQ260" t="s">
        <v>74</v>
      </c>
      <c r="BR260" t="s">
        <v>103</v>
      </c>
      <c r="BS260" t="s">
        <v>5458</v>
      </c>
      <c r="BT260" t="str">
        <f>HYPERLINK("https%3A%2F%2Fwww.webofscience.com%2Fwos%2Fwoscc%2Ffull-record%2FWOS:000482493000036","View Full Record in Web of Science")</f>
        <v>View Full Record in Web of Science</v>
      </c>
    </row>
    <row r="261" spans="1:72" x14ac:dyDescent="0.15">
      <c r="A261" t="s">
        <v>72</v>
      </c>
      <c r="B261" t="s">
        <v>5459</v>
      </c>
      <c r="C261" t="s">
        <v>74</v>
      </c>
      <c r="D261" t="s">
        <v>74</v>
      </c>
      <c r="E261" t="s">
        <v>74</v>
      </c>
      <c r="F261" t="s">
        <v>5460</v>
      </c>
      <c r="G261" t="s">
        <v>74</v>
      </c>
      <c r="H261" t="s">
        <v>74</v>
      </c>
      <c r="I261" t="s">
        <v>5461</v>
      </c>
      <c r="J261" t="s">
        <v>5462</v>
      </c>
      <c r="K261" t="s">
        <v>74</v>
      </c>
      <c r="L261" t="s">
        <v>74</v>
      </c>
      <c r="M261" t="s">
        <v>78</v>
      </c>
      <c r="N261" t="s">
        <v>108</v>
      </c>
      <c r="O261" t="s">
        <v>74</v>
      </c>
      <c r="P261" t="s">
        <v>74</v>
      </c>
      <c r="Q261" t="s">
        <v>74</v>
      </c>
      <c r="R261" t="s">
        <v>74</v>
      </c>
      <c r="S261" t="s">
        <v>74</v>
      </c>
      <c r="T261" t="s">
        <v>74</v>
      </c>
      <c r="U261" t="s">
        <v>5463</v>
      </c>
      <c r="V261" t="s">
        <v>5464</v>
      </c>
      <c r="W261" t="s">
        <v>5465</v>
      </c>
      <c r="X261" t="s">
        <v>5466</v>
      </c>
      <c r="Y261" t="s">
        <v>5467</v>
      </c>
      <c r="Z261" t="s">
        <v>5468</v>
      </c>
      <c r="AA261" t="s">
        <v>5469</v>
      </c>
      <c r="AB261" t="s">
        <v>5470</v>
      </c>
      <c r="AC261" t="s">
        <v>5471</v>
      </c>
      <c r="AD261" t="s">
        <v>5472</v>
      </c>
      <c r="AE261" t="s">
        <v>5473</v>
      </c>
      <c r="AF261" t="s">
        <v>74</v>
      </c>
      <c r="AG261">
        <v>90</v>
      </c>
      <c r="AH261">
        <v>10</v>
      </c>
      <c r="AI261">
        <v>10</v>
      </c>
      <c r="AJ261">
        <v>0</v>
      </c>
      <c r="AK261">
        <v>25</v>
      </c>
      <c r="AL261" t="s">
        <v>5474</v>
      </c>
      <c r="AM261" t="s">
        <v>303</v>
      </c>
      <c r="AN261" t="s">
        <v>5475</v>
      </c>
      <c r="AO261" t="s">
        <v>5476</v>
      </c>
      <c r="AP261" t="s">
        <v>5477</v>
      </c>
      <c r="AQ261" t="s">
        <v>74</v>
      </c>
      <c r="AR261" t="s">
        <v>5462</v>
      </c>
      <c r="AS261" t="s">
        <v>5478</v>
      </c>
      <c r="AT261" t="s">
        <v>3993</v>
      </c>
      <c r="AU261">
        <v>2019</v>
      </c>
      <c r="AV261">
        <v>11</v>
      </c>
      <c r="AW261">
        <v>8</v>
      </c>
      <c r="AX261" t="s">
        <v>74</v>
      </c>
      <c r="AY261" t="s">
        <v>74</v>
      </c>
      <c r="AZ261" t="s">
        <v>74</v>
      </c>
      <c r="BA261" t="s">
        <v>74</v>
      </c>
      <c r="BB261">
        <v>1387</v>
      </c>
      <c r="BC261">
        <v>1400</v>
      </c>
      <c r="BD261" t="s">
        <v>74</v>
      </c>
      <c r="BE261" t="s">
        <v>5479</v>
      </c>
      <c r="BF261" t="str">
        <f>HYPERLINK("http://dx.doi.org/10.1039/c9mt00100j","http://dx.doi.org/10.1039/c9mt00100j")</f>
        <v>http://dx.doi.org/10.1039/c9mt00100j</v>
      </c>
      <c r="BG261" t="s">
        <v>74</v>
      </c>
      <c r="BH261" t="s">
        <v>74</v>
      </c>
      <c r="BI261">
        <v>14</v>
      </c>
      <c r="BJ261" t="s">
        <v>5480</v>
      </c>
      <c r="BK261" t="s">
        <v>101</v>
      </c>
      <c r="BL261" t="s">
        <v>5480</v>
      </c>
      <c r="BM261" t="s">
        <v>5481</v>
      </c>
      <c r="BN261">
        <v>31267120</v>
      </c>
      <c r="BO261" t="s">
        <v>74</v>
      </c>
      <c r="BP261" t="s">
        <v>74</v>
      </c>
      <c r="BQ261" t="s">
        <v>74</v>
      </c>
      <c r="BR261" t="s">
        <v>103</v>
      </c>
      <c r="BS261" t="s">
        <v>5482</v>
      </c>
      <c r="BT261" t="str">
        <f>HYPERLINK("https%3A%2F%2Fwww.webofscience.com%2Fwos%2Fwoscc%2Ffull-record%2FWOS:000481416000005","View Full Record in Web of Science")</f>
        <v>View Full Record in Web of Science</v>
      </c>
    </row>
    <row r="262" spans="1:72" x14ac:dyDescent="0.15">
      <c r="A262" t="s">
        <v>72</v>
      </c>
      <c r="B262" t="s">
        <v>5483</v>
      </c>
      <c r="C262" t="s">
        <v>74</v>
      </c>
      <c r="D262" t="s">
        <v>74</v>
      </c>
      <c r="E262" t="s">
        <v>74</v>
      </c>
      <c r="F262" t="s">
        <v>5484</v>
      </c>
      <c r="G262" t="s">
        <v>74</v>
      </c>
      <c r="H262" t="s">
        <v>74</v>
      </c>
      <c r="I262" t="s">
        <v>5485</v>
      </c>
      <c r="J262" t="s">
        <v>3016</v>
      </c>
      <c r="K262" t="s">
        <v>74</v>
      </c>
      <c r="L262" t="s">
        <v>74</v>
      </c>
      <c r="M262" t="s">
        <v>78</v>
      </c>
      <c r="N262" t="s">
        <v>108</v>
      </c>
      <c r="O262" t="s">
        <v>74</v>
      </c>
      <c r="P262" t="s">
        <v>74</v>
      </c>
      <c r="Q262" t="s">
        <v>74</v>
      </c>
      <c r="R262" t="s">
        <v>74</v>
      </c>
      <c r="S262" t="s">
        <v>74</v>
      </c>
      <c r="T262" t="s">
        <v>74</v>
      </c>
      <c r="U262" t="s">
        <v>5486</v>
      </c>
      <c r="V262" t="s">
        <v>5487</v>
      </c>
      <c r="W262" t="s">
        <v>5488</v>
      </c>
      <c r="X262" t="s">
        <v>5489</v>
      </c>
      <c r="Y262" t="s">
        <v>5490</v>
      </c>
      <c r="Z262" t="s">
        <v>5491</v>
      </c>
      <c r="AA262" t="s">
        <v>5492</v>
      </c>
      <c r="AB262" t="s">
        <v>5493</v>
      </c>
      <c r="AC262" t="s">
        <v>5494</v>
      </c>
      <c r="AD262" t="s">
        <v>5495</v>
      </c>
      <c r="AE262" t="s">
        <v>5496</v>
      </c>
      <c r="AF262" t="s">
        <v>74</v>
      </c>
      <c r="AG262">
        <v>107</v>
      </c>
      <c r="AH262">
        <v>39</v>
      </c>
      <c r="AI262">
        <v>40</v>
      </c>
      <c r="AJ262">
        <v>0</v>
      </c>
      <c r="AK262">
        <v>19</v>
      </c>
      <c r="AL262" t="s">
        <v>182</v>
      </c>
      <c r="AM262" t="s">
        <v>183</v>
      </c>
      <c r="AN262" t="s">
        <v>184</v>
      </c>
      <c r="AO262" t="s">
        <v>3028</v>
      </c>
      <c r="AP262" t="s">
        <v>3029</v>
      </c>
      <c r="AQ262" t="s">
        <v>74</v>
      </c>
      <c r="AR262" t="s">
        <v>3030</v>
      </c>
      <c r="AS262" t="s">
        <v>3031</v>
      </c>
      <c r="AT262" t="s">
        <v>2930</v>
      </c>
      <c r="AU262">
        <v>2019</v>
      </c>
      <c r="AV262">
        <v>34</v>
      </c>
      <c r="AW262">
        <v>8</v>
      </c>
      <c r="AX262" t="s">
        <v>74</v>
      </c>
      <c r="AY262" t="s">
        <v>74</v>
      </c>
      <c r="AZ262" t="s">
        <v>74</v>
      </c>
      <c r="BA262" t="s">
        <v>74</v>
      </c>
      <c r="BB262">
        <v>1455</v>
      </c>
      <c r="BC262">
        <v>1475</v>
      </c>
      <c r="BD262" t="s">
        <v>74</v>
      </c>
      <c r="BE262" t="s">
        <v>5497</v>
      </c>
      <c r="BF262" t="str">
        <f>HYPERLINK("http://dx.doi.org/10.1029/2019PA003661","http://dx.doi.org/10.1029/2019PA003661")</f>
        <v>http://dx.doi.org/10.1029/2019PA003661</v>
      </c>
      <c r="BG262" t="s">
        <v>74</v>
      </c>
      <c r="BH262" t="s">
        <v>74</v>
      </c>
      <c r="BI262">
        <v>21</v>
      </c>
      <c r="BJ262" t="s">
        <v>3033</v>
      </c>
      <c r="BK262" t="s">
        <v>101</v>
      </c>
      <c r="BL262" t="s">
        <v>3034</v>
      </c>
      <c r="BM262" t="s">
        <v>3035</v>
      </c>
      <c r="BN262" t="s">
        <v>74</v>
      </c>
      <c r="BO262" t="s">
        <v>3212</v>
      </c>
      <c r="BP262" t="s">
        <v>74</v>
      </c>
      <c r="BQ262" t="s">
        <v>74</v>
      </c>
      <c r="BR262" t="s">
        <v>103</v>
      </c>
      <c r="BS262" t="s">
        <v>5498</v>
      </c>
      <c r="BT262" t="str">
        <f>HYPERLINK("https%3A%2F%2Fwww.webofscience.com%2Fwos%2Fwoscc%2Ffull-record%2FWOS:000495384600011","View Full Record in Web of Science")</f>
        <v>View Full Record in Web of Science</v>
      </c>
    </row>
    <row r="263" spans="1:72" x14ac:dyDescent="0.15">
      <c r="A263" t="s">
        <v>72</v>
      </c>
      <c r="B263" t="s">
        <v>5499</v>
      </c>
      <c r="C263" t="s">
        <v>74</v>
      </c>
      <c r="D263" t="s">
        <v>74</v>
      </c>
      <c r="E263" t="s">
        <v>74</v>
      </c>
      <c r="F263" t="s">
        <v>5500</v>
      </c>
      <c r="G263" t="s">
        <v>74</v>
      </c>
      <c r="H263" t="s">
        <v>74</v>
      </c>
      <c r="I263" t="s">
        <v>5501</v>
      </c>
      <c r="J263" t="s">
        <v>4003</v>
      </c>
      <c r="K263" t="s">
        <v>74</v>
      </c>
      <c r="L263" t="s">
        <v>74</v>
      </c>
      <c r="M263" t="s">
        <v>78</v>
      </c>
      <c r="N263" t="s">
        <v>108</v>
      </c>
      <c r="O263" t="s">
        <v>74</v>
      </c>
      <c r="P263" t="s">
        <v>74</v>
      </c>
      <c r="Q263" t="s">
        <v>74</v>
      </c>
      <c r="R263" t="s">
        <v>74</v>
      </c>
      <c r="S263" t="s">
        <v>74</v>
      </c>
      <c r="T263" t="s">
        <v>5502</v>
      </c>
      <c r="U263" t="s">
        <v>5503</v>
      </c>
      <c r="V263" t="s">
        <v>5504</v>
      </c>
      <c r="W263" t="s">
        <v>5505</v>
      </c>
      <c r="X263" t="s">
        <v>5506</v>
      </c>
      <c r="Y263" t="s">
        <v>5507</v>
      </c>
      <c r="Z263" t="s">
        <v>5508</v>
      </c>
      <c r="AA263" t="s">
        <v>5509</v>
      </c>
      <c r="AB263" t="s">
        <v>5510</v>
      </c>
      <c r="AC263" t="s">
        <v>5511</v>
      </c>
      <c r="AD263" t="s">
        <v>5512</v>
      </c>
      <c r="AE263" t="s">
        <v>5513</v>
      </c>
      <c r="AF263" t="s">
        <v>74</v>
      </c>
      <c r="AG263">
        <v>103</v>
      </c>
      <c r="AH263">
        <v>18</v>
      </c>
      <c r="AI263">
        <v>20</v>
      </c>
      <c r="AJ263">
        <v>1</v>
      </c>
      <c r="AK263">
        <v>37</v>
      </c>
      <c r="AL263" t="s">
        <v>154</v>
      </c>
      <c r="AM263" t="s">
        <v>4016</v>
      </c>
      <c r="AN263" t="s">
        <v>4017</v>
      </c>
      <c r="AO263" t="s">
        <v>4018</v>
      </c>
      <c r="AP263" t="s">
        <v>4019</v>
      </c>
      <c r="AQ263" t="s">
        <v>74</v>
      </c>
      <c r="AR263" t="s">
        <v>4020</v>
      </c>
      <c r="AS263" t="s">
        <v>4021</v>
      </c>
      <c r="AT263" t="s">
        <v>2930</v>
      </c>
      <c r="AU263">
        <v>2019</v>
      </c>
      <c r="AV263">
        <v>42</v>
      </c>
      <c r="AW263">
        <v>8</v>
      </c>
      <c r="AX263" t="s">
        <v>74</v>
      </c>
      <c r="AY263" t="s">
        <v>74</v>
      </c>
      <c r="AZ263" t="s">
        <v>74</v>
      </c>
      <c r="BA263" t="s">
        <v>74</v>
      </c>
      <c r="BB263">
        <v>1431</v>
      </c>
      <c r="BC263">
        <v>1444</v>
      </c>
      <c r="BD263" t="s">
        <v>74</v>
      </c>
      <c r="BE263" t="s">
        <v>5514</v>
      </c>
      <c r="BF263" t="str">
        <f>HYPERLINK("http://dx.doi.org/10.1007/s00300-019-02529-w","http://dx.doi.org/10.1007/s00300-019-02529-w")</f>
        <v>http://dx.doi.org/10.1007/s00300-019-02529-w</v>
      </c>
      <c r="BG263" t="s">
        <v>74</v>
      </c>
      <c r="BH263" t="s">
        <v>74</v>
      </c>
      <c r="BI263">
        <v>14</v>
      </c>
      <c r="BJ263" t="s">
        <v>3802</v>
      </c>
      <c r="BK263" t="s">
        <v>101</v>
      </c>
      <c r="BL263" t="s">
        <v>1646</v>
      </c>
      <c r="BM263" t="s">
        <v>4023</v>
      </c>
      <c r="BN263" t="s">
        <v>74</v>
      </c>
      <c r="BO263" t="s">
        <v>74</v>
      </c>
      <c r="BP263" t="s">
        <v>74</v>
      </c>
      <c r="BQ263" t="s">
        <v>74</v>
      </c>
      <c r="BR263" t="s">
        <v>103</v>
      </c>
      <c r="BS263" t="s">
        <v>5515</v>
      </c>
      <c r="BT263" t="str">
        <f>HYPERLINK("https%3A%2F%2Fwww.webofscience.com%2Fwos%2Fwoscc%2Ffull-record%2FWOS:000482050500002","View Full Record in Web of Science")</f>
        <v>View Full Record in Web of Science</v>
      </c>
    </row>
    <row r="264" spans="1:72" x14ac:dyDescent="0.15">
      <c r="A264" t="s">
        <v>72</v>
      </c>
      <c r="B264" t="s">
        <v>5516</v>
      </c>
      <c r="C264" t="s">
        <v>74</v>
      </c>
      <c r="D264" t="s">
        <v>74</v>
      </c>
      <c r="E264" t="s">
        <v>74</v>
      </c>
      <c r="F264" t="s">
        <v>5517</v>
      </c>
      <c r="G264" t="s">
        <v>74</v>
      </c>
      <c r="H264" t="s">
        <v>74</v>
      </c>
      <c r="I264" t="s">
        <v>5518</v>
      </c>
      <c r="J264" t="s">
        <v>4003</v>
      </c>
      <c r="K264" t="s">
        <v>74</v>
      </c>
      <c r="L264" t="s">
        <v>74</v>
      </c>
      <c r="M264" t="s">
        <v>78</v>
      </c>
      <c r="N264" t="s">
        <v>108</v>
      </c>
      <c r="O264" t="s">
        <v>74</v>
      </c>
      <c r="P264" t="s">
        <v>74</v>
      </c>
      <c r="Q264" t="s">
        <v>74</v>
      </c>
      <c r="R264" t="s">
        <v>74</v>
      </c>
      <c r="S264" t="s">
        <v>74</v>
      </c>
      <c r="T264" t="s">
        <v>5519</v>
      </c>
      <c r="U264" t="s">
        <v>5520</v>
      </c>
      <c r="V264" t="s">
        <v>5521</v>
      </c>
      <c r="W264" t="s">
        <v>5522</v>
      </c>
      <c r="X264" t="s">
        <v>5523</v>
      </c>
      <c r="Y264" t="s">
        <v>5524</v>
      </c>
      <c r="Z264" t="s">
        <v>5525</v>
      </c>
      <c r="AA264" t="s">
        <v>5526</v>
      </c>
      <c r="AB264" t="s">
        <v>5527</v>
      </c>
      <c r="AC264" t="s">
        <v>5528</v>
      </c>
      <c r="AD264" t="s">
        <v>5529</v>
      </c>
      <c r="AE264" t="s">
        <v>5530</v>
      </c>
      <c r="AF264" t="s">
        <v>74</v>
      </c>
      <c r="AG264">
        <v>80</v>
      </c>
      <c r="AH264">
        <v>6</v>
      </c>
      <c r="AI264">
        <v>6</v>
      </c>
      <c r="AJ264">
        <v>0</v>
      </c>
      <c r="AK264">
        <v>14</v>
      </c>
      <c r="AL264" t="s">
        <v>154</v>
      </c>
      <c r="AM264" t="s">
        <v>4016</v>
      </c>
      <c r="AN264" t="s">
        <v>4040</v>
      </c>
      <c r="AO264" t="s">
        <v>4018</v>
      </c>
      <c r="AP264" t="s">
        <v>4019</v>
      </c>
      <c r="AQ264" t="s">
        <v>74</v>
      </c>
      <c r="AR264" t="s">
        <v>4020</v>
      </c>
      <c r="AS264" t="s">
        <v>4021</v>
      </c>
      <c r="AT264" t="s">
        <v>2930</v>
      </c>
      <c r="AU264">
        <v>2019</v>
      </c>
      <c r="AV264">
        <v>42</v>
      </c>
      <c r="AW264">
        <v>8</v>
      </c>
      <c r="AX264" t="s">
        <v>74</v>
      </c>
      <c r="AY264" t="s">
        <v>74</v>
      </c>
      <c r="AZ264" t="s">
        <v>74</v>
      </c>
      <c r="BA264" t="s">
        <v>74</v>
      </c>
      <c r="BB264">
        <v>1537</v>
      </c>
      <c r="BC264">
        <v>1547</v>
      </c>
      <c r="BD264" t="s">
        <v>74</v>
      </c>
      <c r="BE264" t="s">
        <v>5531</v>
      </c>
      <c r="BF264" t="str">
        <f>HYPERLINK("http://dx.doi.org/10.1007/s00300-019-02540-1","http://dx.doi.org/10.1007/s00300-019-02540-1")</f>
        <v>http://dx.doi.org/10.1007/s00300-019-02540-1</v>
      </c>
      <c r="BG264" t="s">
        <v>74</v>
      </c>
      <c r="BH264" t="s">
        <v>74</v>
      </c>
      <c r="BI264">
        <v>11</v>
      </c>
      <c r="BJ264" t="s">
        <v>3802</v>
      </c>
      <c r="BK264" t="s">
        <v>101</v>
      </c>
      <c r="BL264" t="s">
        <v>1646</v>
      </c>
      <c r="BM264" t="s">
        <v>4023</v>
      </c>
      <c r="BN264" t="s">
        <v>74</v>
      </c>
      <c r="BO264" t="s">
        <v>74</v>
      </c>
      <c r="BP264" t="s">
        <v>74</v>
      </c>
      <c r="BQ264" t="s">
        <v>74</v>
      </c>
      <c r="BR264" t="s">
        <v>103</v>
      </c>
      <c r="BS264" t="s">
        <v>5532</v>
      </c>
      <c r="BT264" t="str">
        <f>HYPERLINK("https%3A%2F%2Fwww.webofscience.com%2Fwos%2Fwoscc%2Ffull-record%2FWOS:000482050500011","View Full Record in Web of Science")</f>
        <v>View Full Record in Web of Science</v>
      </c>
    </row>
    <row r="265" spans="1:72" x14ac:dyDescent="0.15">
      <c r="A265" t="s">
        <v>72</v>
      </c>
      <c r="B265" t="s">
        <v>5533</v>
      </c>
      <c r="C265" t="s">
        <v>74</v>
      </c>
      <c r="D265" t="s">
        <v>74</v>
      </c>
      <c r="E265" t="s">
        <v>74</v>
      </c>
      <c r="F265" t="s">
        <v>5534</v>
      </c>
      <c r="G265" t="s">
        <v>74</v>
      </c>
      <c r="H265" t="s">
        <v>74</v>
      </c>
      <c r="I265" t="s">
        <v>5535</v>
      </c>
      <c r="J265" t="s">
        <v>4003</v>
      </c>
      <c r="K265" t="s">
        <v>74</v>
      </c>
      <c r="L265" t="s">
        <v>74</v>
      </c>
      <c r="M265" t="s">
        <v>78</v>
      </c>
      <c r="N265" t="s">
        <v>108</v>
      </c>
      <c r="O265" t="s">
        <v>74</v>
      </c>
      <c r="P265" t="s">
        <v>74</v>
      </c>
      <c r="Q265" t="s">
        <v>74</v>
      </c>
      <c r="R265" t="s">
        <v>74</v>
      </c>
      <c r="S265" t="s">
        <v>74</v>
      </c>
      <c r="T265" t="s">
        <v>5536</v>
      </c>
      <c r="U265" t="s">
        <v>5537</v>
      </c>
      <c r="V265" t="s">
        <v>5538</v>
      </c>
      <c r="W265" t="s">
        <v>5539</v>
      </c>
      <c r="X265" t="s">
        <v>5540</v>
      </c>
      <c r="Y265" t="s">
        <v>5541</v>
      </c>
      <c r="Z265" t="s">
        <v>5542</v>
      </c>
      <c r="AA265" t="s">
        <v>5543</v>
      </c>
      <c r="AB265" t="s">
        <v>5544</v>
      </c>
      <c r="AC265" t="s">
        <v>5545</v>
      </c>
      <c r="AD265" t="s">
        <v>5546</v>
      </c>
      <c r="AE265" t="s">
        <v>5547</v>
      </c>
      <c r="AF265" t="s">
        <v>74</v>
      </c>
      <c r="AG265">
        <v>81</v>
      </c>
      <c r="AH265">
        <v>11</v>
      </c>
      <c r="AI265">
        <v>11</v>
      </c>
      <c r="AJ265">
        <v>3</v>
      </c>
      <c r="AK265">
        <v>18</v>
      </c>
      <c r="AL265" t="s">
        <v>154</v>
      </c>
      <c r="AM265" t="s">
        <v>4016</v>
      </c>
      <c r="AN265" t="s">
        <v>4017</v>
      </c>
      <c r="AO265" t="s">
        <v>4018</v>
      </c>
      <c r="AP265" t="s">
        <v>4019</v>
      </c>
      <c r="AQ265" t="s">
        <v>74</v>
      </c>
      <c r="AR265" t="s">
        <v>4020</v>
      </c>
      <c r="AS265" t="s">
        <v>4021</v>
      </c>
      <c r="AT265" t="s">
        <v>2930</v>
      </c>
      <c r="AU265">
        <v>2019</v>
      </c>
      <c r="AV265">
        <v>42</v>
      </c>
      <c r="AW265">
        <v>8</v>
      </c>
      <c r="AX265" t="s">
        <v>74</v>
      </c>
      <c r="AY265" t="s">
        <v>74</v>
      </c>
      <c r="AZ265" t="s">
        <v>74</v>
      </c>
      <c r="BA265" t="s">
        <v>74</v>
      </c>
      <c r="BB265">
        <v>1595</v>
      </c>
      <c r="BC265">
        <v>1613</v>
      </c>
      <c r="BD265" t="s">
        <v>74</v>
      </c>
      <c r="BE265" t="s">
        <v>5548</v>
      </c>
      <c r="BF265" t="str">
        <f>HYPERLINK("http://dx.doi.org/10.1007/s00300-019-02547-8","http://dx.doi.org/10.1007/s00300-019-02547-8")</f>
        <v>http://dx.doi.org/10.1007/s00300-019-02547-8</v>
      </c>
      <c r="BG265" t="s">
        <v>74</v>
      </c>
      <c r="BH265" t="s">
        <v>74</v>
      </c>
      <c r="BI265">
        <v>19</v>
      </c>
      <c r="BJ265" t="s">
        <v>3802</v>
      </c>
      <c r="BK265" t="s">
        <v>101</v>
      </c>
      <c r="BL265" t="s">
        <v>1646</v>
      </c>
      <c r="BM265" t="s">
        <v>4023</v>
      </c>
      <c r="BN265" t="s">
        <v>74</v>
      </c>
      <c r="BO265" t="s">
        <v>74</v>
      </c>
      <c r="BP265" t="s">
        <v>74</v>
      </c>
      <c r="BQ265" t="s">
        <v>74</v>
      </c>
      <c r="BR265" t="s">
        <v>103</v>
      </c>
      <c r="BS265" t="s">
        <v>5549</v>
      </c>
      <c r="BT265" t="str">
        <f>HYPERLINK("https%3A%2F%2Fwww.webofscience.com%2Fwos%2Fwoscc%2Ffull-record%2FWOS:000482050500016","View Full Record in Web of Science")</f>
        <v>View Full Record in Web of Science</v>
      </c>
    </row>
    <row r="266" spans="1:72" x14ac:dyDescent="0.15">
      <c r="A266" t="s">
        <v>72</v>
      </c>
      <c r="B266" t="s">
        <v>5550</v>
      </c>
      <c r="C266" t="s">
        <v>74</v>
      </c>
      <c r="D266" t="s">
        <v>74</v>
      </c>
      <c r="E266" t="s">
        <v>74</v>
      </c>
      <c r="F266" t="s">
        <v>5551</v>
      </c>
      <c r="G266" t="s">
        <v>74</v>
      </c>
      <c r="H266" t="s">
        <v>74</v>
      </c>
      <c r="I266" t="s">
        <v>5552</v>
      </c>
      <c r="J266" t="s">
        <v>3630</v>
      </c>
      <c r="K266" t="s">
        <v>74</v>
      </c>
      <c r="L266" t="s">
        <v>74</v>
      </c>
      <c r="M266" t="s">
        <v>78</v>
      </c>
      <c r="N266" t="s">
        <v>108</v>
      </c>
      <c r="O266" t="s">
        <v>74</v>
      </c>
      <c r="P266" t="s">
        <v>74</v>
      </c>
      <c r="Q266" t="s">
        <v>74</v>
      </c>
      <c r="R266" t="s">
        <v>74</v>
      </c>
      <c r="S266" t="s">
        <v>74</v>
      </c>
      <c r="T266" t="s">
        <v>5553</v>
      </c>
      <c r="U266" t="s">
        <v>5554</v>
      </c>
      <c r="V266" t="s">
        <v>5555</v>
      </c>
      <c r="W266" t="s">
        <v>5556</v>
      </c>
      <c r="X266" t="s">
        <v>5557</v>
      </c>
      <c r="Y266" t="s">
        <v>5558</v>
      </c>
      <c r="Z266" t="s">
        <v>2821</v>
      </c>
      <c r="AA266" t="s">
        <v>5559</v>
      </c>
      <c r="AB266" t="s">
        <v>5560</v>
      </c>
      <c r="AC266" t="s">
        <v>5561</v>
      </c>
      <c r="AD266" t="s">
        <v>5562</v>
      </c>
      <c r="AE266" t="s">
        <v>5563</v>
      </c>
      <c r="AF266" t="s">
        <v>74</v>
      </c>
      <c r="AG266">
        <v>39</v>
      </c>
      <c r="AH266">
        <v>14</v>
      </c>
      <c r="AI266">
        <v>15</v>
      </c>
      <c r="AJ266">
        <v>4</v>
      </c>
      <c r="AK266">
        <v>28</v>
      </c>
      <c r="AL266" t="s">
        <v>3615</v>
      </c>
      <c r="AM266" t="s">
        <v>3616</v>
      </c>
      <c r="AN266" t="s">
        <v>3617</v>
      </c>
      <c r="AO266" t="s">
        <v>74</v>
      </c>
      <c r="AP266" t="s">
        <v>3643</v>
      </c>
      <c r="AQ266" t="s">
        <v>74</v>
      </c>
      <c r="AR266" t="s">
        <v>3644</v>
      </c>
      <c r="AS266" t="s">
        <v>3645</v>
      </c>
      <c r="AT266" t="s">
        <v>2930</v>
      </c>
      <c r="AU266">
        <v>2019</v>
      </c>
      <c r="AV266">
        <v>11</v>
      </c>
      <c r="AW266">
        <v>16</v>
      </c>
      <c r="AX266" t="s">
        <v>74</v>
      </c>
      <c r="AY266" t="s">
        <v>74</v>
      </c>
      <c r="AZ266" t="s">
        <v>74</v>
      </c>
      <c r="BA266" t="s">
        <v>74</v>
      </c>
      <c r="BB266" t="s">
        <v>74</v>
      </c>
      <c r="BC266" t="s">
        <v>74</v>
      </c>
      <c r="BD266">
        <v>1844</v>
      </c>
      <c r="BE266" t="s">
        <v>5564</v>
      </c>
      <c r="BF266" t="str">
        <f>HYPERLINK("http://dx.doi.org/10.3390/rs11161844","http://dx.doi.org/10.3390/rs11161844")</f>
        <v>http://dx.doi.org/10.3390/rs11161844</v>
      </c>
      <c r="BG266" t="s">
        <v>74</v>
      </c>
      <c r="BH266" t="s">
        <v>74</v>
      </c>
      <c r="BI266">
        <v>19</v>
      </c>
      <c r="BJ266" t="s">
        <v>3647</v>
      </c>
      <c r="BK266" t="s">
        <v>101</v>
      </c>
      <c r="BL266" t="s">
        <v>3648</v>
      </c>
      <c r="BM266" t="s">
        <v>3649</v>
      </c>
      <c r="BN266" t="s">
        <v>74</v>
      </c>
      <c r="BO266" t="s">
        <v>2313</v>
      </c>
      <c r="BP266" t="s">
        <v>74</v>
      </c>
      <c r="BQ266" t="s">
        <v>74</v>
      </c>
      <c r="BR266" t="s">
        <v>103</v>
      </c>
      <c r="BS266" t="s">
        <v>5565</v>
      </c>
      <c r="BT266" t="str">
        <f>HYPERLINK("https%3A%2F%2Fwww.webofscience.com%2Fwos%2Fwoscc%2Ffull-record%2FWOS:000484387600007","View Full Record in Web of Science")</f>
        <v>View Full Record in Web of Science</v>
      </c>
    </row>
    <row r="267" spans="1:72" x14ac:dyDescent="0.15">
      <c r="A267" t="s">
        <v>72</v>
      </c>
      <c r="B267" t="s">
        <v>5566</v>
      </c>
      <c r="C267" t="s">
        <v>74</v>
      </c>
      <c r="D267" t="s">
        <v>74</v>
      </c>
      <c r="E267" t="s">
        <v>74</v>
      </c>
      <c r="F267" t="s">
        <v>5567</v>
      </c>
      <c r="G267" t="s">
        <v>74</v>
      </c>
      <c r="H267" t="s">
        <v>74</v>
      </c>
      <c r="I267" t="s">
        <v>5568</v>
      </c>
      <c r="J267" t="s">
        <v>5569</v>
      </c>
      <c r="K267" t="s">
        <v>74</v>
      </c>
      <c r="L267" t="s">
        <v>74</v>
      </c>
      <c r="M267" t="s">
        <v>78</v>
      </c>
      <c r="N267" t="s">
        <v>52</v>
      </c>
      <c r="O267" t="s">
        <v>74</v>
      </c>
      <c r="P267" t="s">
        <v>74</v>
      </c>
      <c r="Q267" t="s">
        <v>74</v>
      </c>
      <c r="R267" t="s">
        <v>74</v>
      </c>
      <c r="S267" t="s">
        <v>74</v>
      </c>
      <c r="T267" t="s">
        <v>5570</v>
      </c>
      <c r="U267" t="s">
        <v>74</v>
      </c>
      <c r="V267" t="s">
        <v>74</v>
      </c>
      <c r="W267" t="s">
        <v>5571</v>
      </c>
      <c r="X267" t="s">
        <v>5572</v>
      </c>
      <c r="Y267" t="s">
        <v>74</v>
      </c>
      <c r="Z267" t="s">
        <v>5573</v>
      </c>
      <c r="AA267" t="s">
        <v>5574</v>
      </c>
      <c r="AB267" t="s">
        <v>5575</v>
      </c>
      <c r="AC267" t="s">
        <v>74</v>
      </c>
      <c r="AD267" t="s">
        <v>74</v>
      </c>
      <c r="AE267" t="s">
        <v>74</v>
      </c>
      <c r="AF267" t="s">
        <v>74</v>
      </c>
      <c r="AG267">
        <v>0</v>
      </c>
      <c r="AH267">
        <v>0</v>
      </c>
      <c r="AI267">
        <v>0</v>
      </c>
      <c r="AJ267">
        <v>0</v>
      </c>
      <c r="AK267">
        <v>2</v>
      </c>
      <c r="AL267" t="s">
        <v>656</v>
      </c>
      <c r="AM267" t="s">
        <v>657</v>
      </c>
      <c r="AN267" t="s">
        <v>658</v>
      </c>
      <c r="AO267" t="s">
        <v>5576</v>
      </c>
      <c r="AP267" t="s">
        <v>5577</v>
      </c>
      <c r="AQ267" t="s">
        <v>74</v>
      </c>
      <c r="AR267" t="s">
        <v>5578</v>
      </c>
      <c r="AS267" t="s">
        <v>5579</v>
      </c>
      <c r="AT267" t="s">
        <v>2930</v>
      </c>
      <c r="AU267">
        <v>2019</v>
      </c>
      <c r="AV267">
        <v>91</v>
      </c>
      <c r="AW267" t="s">
        <v>74</v>
      </c>
      <c r="AX267" t="s">
        <v>74</v>
      </c>
      <c r="AY267" t="s">
        <v>74</v>
      </c>
      <c r="AZ267" t="s">
        <v>74</v>
      </c>
      <c r="BA267" t="s">
        <v>5580</v>
      </c>
      <c r="BB267">
        <v>444</v>
      </c>
      <c r="BC267">
        <v>444</v>
      </c>
      <c r="BD267" t="s">
        <v>74</v>
      </c>
      <c r="BE267" t="s">
        <v>5581</v>
      </c>
      <c r="BF267" t="str">
        <f>HYPERLINK("http://dx.doi.org/10.1016/j.fsi.2019.04.217","http://dx.doi.org/10.1016/j.fsi.2019.04.217")</f>
        <v>http://dx.doi.org/10.1016/j.fsi.2019.04.217</v>
      </c>
      <c r="BG267" t="s">
        <v>74</v>
      </c>
      <c r="BH267" t="s">
        <v>74</v>
      </c>
      <c r="BI267">
        <v>1</v>
      </c>
      <c r="BJ267" t="s">
        <v>5582</v>
      </c>
      <c r="BK267" t="s">
        <v>101</v>
      </c>
      <c r="BL267" t="s">
        <v>5582</v>
      </c>
      <c r="BM267" t="s">
        <v>5583</v>
      </c>
      <c r="BN267" t="s">
        <v>74</v>
      </c>
      <c r="BO267" t="s">
        <v>74</v>
      </c>
      <c r="BP267" t="s">
        <v>74</v>
      </c>
      <c r="BQ267" t="s">
        <v>74</v>
      </c>
      <c r="BR267" t="s">
        <v>103</v>
      </c>
      <c r="BS267" t="s">
        <v>5584</v>
      </c>
      <c r="BT267" t="str">
        <f>HYPERLINK("https%3A%2F%2Fwww.webofscience.com%2Fwos%2Fwoscc%2Ffull-record%2FWOS:000474676700190","View Full Record in Web of Science")</f>
        <v>View Full Record in Web of Science</v>
      </c>
    </row>
    <row r="268" spans="1:72" x14ac:dyDescent="0.15">
      <c r="A268" t="s">
        <v>72</v>
      </c>
      <c r="B268" t="s">
        <v>5585</v>
      </c>
      <c r="C268" t="s">
        <v>74</v>
      </c>
      <c r="D268" t="s">
        <v>74</v>
      </c>
      <c r="E268" t="s">
        <v>74</v>
      </c>
      <c r="F268" t="s">
        <v>5586</v>
      </c>
      <c r="G268" t="s">
        <v>74</v>
      </c>
      <c r="H268" t="s">
        <v>74</v>
      </c>
      <c r="I268" t="s">
        <v>5587</v>
      </c>
      <c r="J268" t="s">
        <v>5588</v>
      </c>
      <c r="K268" t="s">
        <v>74</v>
      </c>
      <c r="L268" t="s">
        <v>74</v>
      </c>
      <c r="M268" t="s">
        <v>78</v>
      </c>
      <c r="N268" t="s">
        <v>108</v>
      </c>
      <c r="O268" t="s">
        <v>74</v>
      </c>
      <c r="P268" t="s">
        <v>74</v>
      </c>
      <c r="Q268" t="s">
        <v>74</v>
      </c>
      <c r="R268" t="s">
        <v>74</v>
      </c>
      <c r="S268" t="s">
        <v>74</v>
      </c>
      <c r="T268" t="s">
        <v>5589</v>
      </c>
      <c r="U268" t="s">
        <v>5590</v>
      </c>
      <c r="V268" t="s">
        <v>5591</v>
      </c>
      <c r="W268" t="s">
        <v>5592</v>
      </c>
      <c r="X268" t="s">
        <v>5593</v>
      </c>
      <c r="Y268" t="s">
        <v>5594</v>
      </c>
      <c r="Z268" t="s">
        <v>5595</v>
      </c>
      <c r="AA268" t="s">
        <v>74</v>
      </c>
      <c r="AB268" t="s">
        <v>5596</v>
      </c>
      <c r="AC268" t="s">
        <v>74</v>
      </c>
      <c r="AD268" t="s">
        <v>74</v>
      </c>
      <c r="AE268" t="s">
        <v>74</v>
      </c>
      <c r="AF268" t="s">
        <v>74</v>
      </c>
      <c r="AG268">
        <v>77</v>
      </c>
      <c r="AH268">
        <v>8</v>
      </c>
      <c r="AI268">
        <v>8</v>
      </c>
      <c r="AJ268">
        <v>1</v>
      </c>
      <c r="AK268">
        <v>7</v>
      </c>
      <c r="AL268" t="s">
        <v>438</v>
      </c>
      <c r="AM268" t="s">
        <v>439</v>
      </c>
      <c r="AN268" t="s">
        <v>440</v>
      </c>
      <c r="AO268" t="s">
        <v>5597</v>
      </c>
      <c r="AP268" t="s">
        <v>5598</v>
      </c>
      <c r="AQ268" t="s">
        <v>74</v>
      </c>
      <c r="AR268" t="s">
        <v>5599</v>
      </c>
      <c r="AS268" t="s">
        <v>5600</v>
      </c>
      <c r="AT268" t="s">
        <v>2930</v>
      </c>
      <c r="AU268">
        <v>2019</v>
      </c>
      <c r="AV268">
        <v>414</v>
      </c>
      <c r="AW268" t="s">
        <v>74</v>
      </c>
      <c r="AX268" t="s">
        <v>74</v>
      </c>
      <c r="AY268" t="s">
        <v>74</v>
      </c>
      <c r="AZ268" t="s">
        <v>74</v>
      </c>
      <c r="BA268" t="s">
        <v>74</v>
      </c>
      <c r="BB268">
        <v>47</v>
      </c>
      <c r="BC268">
        <v>63</v>
      </c>
      <c r="BD268" t="s">
        <v>74</v>
      </c>
      <c r="BE268" t="s">
        <v>5601</v>
      </c>
      <c r="BF268" t="str">
        <f>HYPERLINK("http://dx.doi.org/10.1016/j.margeo.2019.05.007","http://dx.doi.org/10.1016/j.margeo.2019.05.007")</f>
        <v>http://dx.doi.org/10.1016/j.margeo.2019.05.007</v>
      </c>
      <c r="BG268" t="s">
        <v>74</v>
      </c>
      <c r="BH268" t="s">
        <v>74</v>
      </c>
      <c r="BI268">
        <v>17</v>
      </c>
      <c r="BJ268" t="s">
        <v>5602</v>
      </c>
      <c r="BK268" t="s">
        <v>101</v>
      </c>
      <c r="BL268" t="s">
        <v>5603</v>
      </c>
      <c r="BM268" t="s">
        <v>5604</v>
      </c>
      <c r="BN268" t="s">
        <v>74</v>
      </c>
      <c r="BO268" t="s">
        <v>74</v>
      </c>
      <c r="BP268" t="s">
        <v>74</v>
      </c>
      <c r="BQ268" t="s">
        <v>74</v>
      </c>
      <c r="BR268" t="s">
        <v>103</v>
      </c>
      <c r="BS268" t="s">
        <v>5605</v>
      </c>
      <c r="BT268" t="str">
        <f>HYPERLINK("https%3A%2F%2Fwww.webofscience.com%2Fwos%2Fwoscc%2Ffull-record%2FWOS:000474325700004","View Full Record in Web of Science")</f>
        <v>View Full Record in Web of Science</v>
      </c>
    </row>
    <row r="269" spans="1:72" x14ac:dyDescent="0.15">
      <c r="A269" t="s">
        <v>72</v>
      </c>
      <c r="B269" t="s">
        <v>5606</v>
      </c>
      <c r="C269" t="s">
        <v>74</v>
      </c>
      <c r="D269" t="s">
        <v>74</v>
      </c>
      <c r="E269" t="s">
        <v>74</v>
      </c>
      <c r="F269" t="s">
        <v>5607</v>
      </c>
      <c r="G269" t="s">
        <v>74</v>
      </c>
      <c r="H269" t="s">
        <v>74</v>
      </c>
      <c r="I269" t="s">
        <v>5608</v>
      </c>
      <c r="J269" t="s">
        <v>5588</v>
      </c>
      <c r="K269" t="s">
        <v>74</v>
      </c>
      <c r="L269" t="s">
        <v>74</v>
      </c>
      <c r="M269" t="s">
        <v>78</v>
      </c>
      <c r="N269" t="s">
        <v>108</v>
      </c>
      <c r="O269" t="s">
        <v>74</v>
      </c>
      <c r="P269" t="s">
        <v>74</v>
      </c>
      <c r="Q269" t="s">
        <v>74</v>
      </c>
      <c r="R269" t="s">
        <v>74</v>
      </c>
      <c r="S269" t="s">
        <v>74</v>
      </c>
      <c r="T269" t="s">
        <v>74</v>
      </c>
      <c r="U269" t="s">
        <v>5609</v>
      </c>
      <c r="V269" t="s">
        <v>5610</v>
      </c>
      <c r="W269" t="s">
        <v>5611</v>
      </c>
      <c r="X269" t="s">
        <v>5612</v>
      </c>
      <c r="Y269" t="s">
        <v>5613</v>
      </c>
      <c r="Z269" t="s">
        <v>5614</v>
      </c>
      <c r="AA269" t="s">
        <v>5615</v>
      </c>
      <c r="AB269" t="s">
        <v>5616</v>
      </c>
      <c r="AC269" t="s">
        <v>5617</v>
      </c>
      <c r="AD269" t="s">
        <v>5618</v>
      </c>
      <c r="AE269" t="s">
        <v>5619</v>
      </c>
      <c r="AF269" t="s">
        <v>74</v>
      </c>
      <c r="AG269">
        <v>90</v>
      </c>
      <c r="AH269">
        <v>12</v>
      </c>
      <c r="AI269">
        <v>12</v>
      </c>
      <c r="AJ269">
        <v>0</v>
      </c>
      <c r="AK269">
        <v>4</v>
      </c>
      <c r="AL269" t="s">
        <v>638</v>
      </c>
      <c r="AM269" t="s">
        <v>439</v>
      </c>
      <c r="AN269" t="s">
        <v>639</v>
      </c>
      <c r="AO269" t="s">
        <v>5597</v>
      </c>
      <c r="AP269" t="s">
        <v>5598</v>
      </c>
      <c r="AQ269" t="s">
        <v>74</v>
      </c>
      <c r="AR269" t="s">
        <v>5599</v>
      </c>
      <c r="AS269" t="s">
        <v>5600</v>
      </c>
      <c r="AT269" t="s">
        <v>2930</v>
      </c>
      <c r="AU269">
        <v>2019</v>
      </c>
      <c r="AV269">
        <v>414</v>
      </c>
      <c r="AW269" t="s">
        <v>74</v>
      </c>
      <c r="AX269" t="s">
        <v>74</v>
      </c>
      <c r="AY269" t="s">
        <v>74</v>
      </c>
      <c r="AZ269" t="s">
        <v>74</v>
      </c>
      <c r="BA269" t="s">
        <v>74</v>
      </c>
      <c r="BB269">
        <v>64</v>
      </c>
      <c r="BC269">
        <v>76</v>
      </c>
      <c r="BD269" t="s">
        <v>74</v>
      </c>
      <c r="BE269" t="s">
        <v>5620</v>
      </c>
      <c r="BF269" t="str">
        <f>HYPERLINK("http://dx.doi.org/10.1016/j.margeo.2019.05.001","http://dx.doi.org/10.1016/j.margeo.2019.05.001")</f>
        <v>http://dx.doi.org/10.1016/j.margeo.2019.05.001</v>
      </c>
      <c r="BG269" t="s">
        <v>74</v>
      </c>
      <c r="BH269" t="s">
        <v>74</v>
      </c>
      <c r="BI269">
        <v>13</v>
      </c>
      <c r="BJ269" t="s">
        <v>5602</v>
      </c>
      <c r="BK269" t="s">
        <v>101</v>
      </c>
      <c r="BL269" t="s">
        <v>5603</v>
      </c>
      <c r="BM269" t="s">
        <v>5604</v>
      </c>
      <c r="BN269" t="s">
        <v>74</v>
      </c>
      <c r="BO269" t="s">
        <v>595</v>
      </c>
      <c r="BP269" t="s">
        <v>74</v>
      </c>
      <c r="BQ269" t="s">
        <v>74</v>
      </c>
      <c r="BR269" t="s">
        <v>103</v>
      </c>
      <c r="BS269" t="s">
        <v>5621</v>
      </c>
      <c r="BT269" t="str">
        <f>HYPERLINK("https%3A%2F%2Fwww.webofscience.com%2Fwos%2Fwoscc%2Ffull-record%2FWOS:000474325700005","View Full Record in Web of Science")</f>
        <v>View Full Record in Web of Science</v>
      </c>
    </row>
    <row r="270" spans="1:72" x14ac:dyDescent="0.15">
      <c r="A270" t="s">
        <v>72</v>
      </c>
      <c r="B270" t="s">
        <v>5622</v>
      </c>
      <c r="C270" t="s">
        <v>74</v>
      </c>
      <c r="D270" t="s">
        <v>74</v>
      </c>
      <c r="E270" t="s">
        <v>74</v>
      </c>
      <c r="F270" t="s">
        <v>5623</v>
      </c>
      <c r="G270" t="s">
        <v>74</v>
      </c>
      <c r="H270" t="s">
        <v>74</v>
      </c>
      <c r="I270" t="s">
        <v>5624</v>
      </c>
      <c r="J270" t="s">
        <v>5625</v>
      </c>
      <c r="K270" t="s">
        <v>74</v>
      </c>
      <c r="L270" t="s">
        <v>74</v>
      </c>
      <c r="M270" t="s">
        <v>78</v>
      </c>
      <c r="N270" t="s">
        <v>108</v>
      </c>
      <c r="O270" t="s">
        <v>74</v>
      </c>
      <c r="P270" t="s">
        <v>74</v>
      </c>
      <c r="Q270" t="s">
        <v>74</v>
      </c>
      <c r="R270" t="s">
        <v>74</v>
      </c>
      <c r="S270" t="s">
        <v>74</v>
      </c>
      <c r="T270" t="s">
        <v>74</v>
      </c>
      <c r="U270" t="s">
        <v>5626</v>
      </c>
      <c r="V270" t="s">
        <v>5627</v>
      </c>
      <c r="W270" t="s">
        <v>5628</v>
      </c>
      <c r="X270" t="s">
        <v>5629</v>
      </c>
      <c r="Y270" t="s">
        <v>5630</v>
      </c>
      <c r="Z270" t="s">
        <v>5631</v>
      </c>
      <c r="AA270" t="s">
        <v>5632</v>
      </c>
      <c r="AB270" t="s">
        <v>5633</v>
      </c>
      <c r="AC270" t="s">
        <v>5634</v>
      </c>
      <c r="AD270" t="s">
        <v>5635</v>
      </c>
      <c r="AE270" t="s">
        <v>5636</v>
      </c>
      <c r="AF270" t="s">
        <v>74</v>
      </c>
      <c r="AG270">
        <v>98</v>
      </c>
      <c r="AH270">
        <v>9</v>
      </c>
      <c r="AI270">
        <v>9</v>
      </c>
      <c r="AJ270">
        <v>4</v>
      </c>
      <c r="AK270">
        <v>44</v>
      </c>
      <c r="AL270" t="s">
        <v>3533</v>
      </c>
      <c r="AM270" t="s">
        <v>93</v>
      </c>
      <c r="AN270" t="s">
        <v>3534</v>
      </c>
      <c r="AO270" t="s">
        <v>5637</v>
      </c>
      <c r="AP270" t="s">
        <v>5638</v>
      </c>
      <c r="AQ270" t="s">
        <v>74</v>
      </c>
      <c r="AR270" t="s">
        <v>5639</v>
      </c>
      <c r="AS270" t="s">
        <v>5640</v>
      </c>
      <c r="AT270" t="s">
        <v>2930</v>
      </c>
      <c r="AU270">
        <v>2019</v>
      </c>
      <c r="AV270">
        <v>106</v>
      </c>
      <c r="AW270" t="s">
        <v>74</v>
      </c>
      <c r="AX270" t="s">
        <v>74</v>
      </c>
      <c r="AY270" t="s">
        <v>74</v>
      </c>
      <c r="AZ270" t="s">
        <v>74</v>
      </c>
      <c r="BA270" t="s">
        <v>74</v>
      </c>
      <c r="BB270" t="s">
        <v>74</v>
      </c>
      <c r="BC270" t="s">
        <v>74</v>
      </c>
      <c r="BD270">
        <v>103392</v>
      </c>
      <c r="BE270" t="s">
        <v>5641</v>
      </c>
      <c r="BF270" t="str">
        <f>HYPERLINK("http://dx.doi.org/10.1016/j.marpol.2018.12.011","http://dx.doi.org/10.1016/j.marpol.2018.12.011")</f>
        <v>http://dx.doi.org/10.1016/j.marpol.2018.12.011</v>
      </c>
      <c r="BG270" t="s">
        <v>74</v>
      </c>
      <c r="BH270" t="s">
        <v>74</v>
      </c>
      <c r="BI270">
        <v>13</v>
      </c>
      <c r="BJ270" t="s">
        <v>5642</v>
      </c>
      <c r="BK270" t="s">
        <v>1490</v>
      </c>
      <c r="BL270" t="s">
        <v>5643</v>
      </c>
      <c r="BM270" t="s">
        <v>5644</v>
      </c>
      <c r="BN270" t="s">
        <v>74</v>
      </c>
      <c r="BO270" t="s">
        <v>919</v>
      </c>
      <c r="BP270" t="s">
        <v>74</v>
      </c>
      <c r="BQ270" t="s">
        <v>74</v>
      </c>
      <c r="BR270" t="s">
        <v>103</v>
      </c>
      <c r="BS270" t="s">
        <v>5645</v>
      </c>
      <c r="BT270" t="str">
        <f>HYPERLINK("https%3A%2F%2Fwww.webofscience.com%2Fwos%2Fwoscc%2Ffull-record%2FWOS:000474313500001","View Full Record in Web of Science")</f>
        <v>View Full Record in Web of Science</v>
      </c>
    </row>
    <row r="271" spans="1:72" x14ac:dyDescent="0.15">
      <c r="A271" t="s">
        <v>72</v>
      </c>
      <c r="B271" t="s">
        <v>5646</v>
      </c>
      <c r="C271" t="s">
        <v>74</v>
      </c>
      <c r="D271" t="s">
        <v>74</v>
      </c>
      <c r="E271" t="s">
        <v>74</v>
      </c>
      <c r="F271" t="s">
        <v>5647</v>
      </c>
      <c r="G271" t="s">
        <v>74</v>
      </c>
      <c r="H271" t="s">
        <v>74</v>
      </c>
      <c r="I271" t="s">
        <v>5648</v>
      </c>
      <c r="J271" t="s">
        <v>5649</v>
      </c>
      <c r="K271" t="s">
        <v>74</v>
      </c>
      <c r="L271" t="s">
        <v>74</v>
      </c>
      <c r="M271" t="s">
        <v>78</v>
      </c>
      <c r="N271" t="s">
        <v>108</v>
      </c>
      <c r="O271" t="s">
        <v>74</v>
      </c>
      <c r="P271" t="s">
        <v>74</v>
      </c>
      <c r="Q271" t="s">
        <v>74</v>
      </c>
      <c r="R271" t="s">
        <v>74</v>
      </c>
      <c r="S271" t="s">
        <v>74</v>
      </c>
      <c r="T271" t="s">
        <v>5650</v>
      </c>
      <c r="U271" t="s">
        <v>5651</v>
      </c>
      <c r="V271" t="s">
        <v>5652</v>
      </c>
      <c r="W271" t="s">
        <v>5653</v>
      </c>
      <c r="X271" t="s">
        <v>74</v>
      </c>
      <c r="Y271" t="s">
        <v>5654</v>
      </c>
      <c r="Z271" t="s">
        <v>5655</v>
      </c>
      <c r="AA271" t="s">
        <v>74</v>
      </c>
      <c r="AB271" t="s">
        <v>5656</v>
      </c>
      <c r="AC271" t="s">
        <v>5657</v>
      </c>
      <c r="AD271" t="s">
        <v>5657</v>
      </c>
      <c r="AE271" t="s">
        <v>5657</v>
      </c>
      <c r="AF271" t="s">
        <v>74</v>
      </c>
      <c r="AG271">
        <v>87</v>
      </c>
      <c r="AH271">
        <v>2</v>
      </c>
      <c r="AI271">
        <v>2</v>
      </c>
      <c r="AJ271">
        <v>3</v>
      </c>
      <c r="AK271">
        <v>14</v>
      </c>
      <c r="AL271" t="s">
        <v>1140</v>
      </c>
      <c r="AM271" t="s">
        <v>1141</v>
      </c>
      <c r="AN271" t="s">
        <v>1142</v>
      </c>
      <c r="AO271" t="s">
        <v>5658</v>
      </c>
      <c r="AP271" t="s">
        <v>5659</v>
      </c>
      <c r="AQ271" t="s">
        <v>74</v>
      </c>
      <c r="AR271" t="s">
        <v>5649</v>
      </c>
      <c r="AS271" t="s">
        <v>5660</v>
      </c>
      <c r="AT271" t="s">
        <v>2930</v>
      </c>
      <c r="AU271">
        <v>2019</v>
      </c>
      <c r="AV271">
        <v>22</v>
      </c>
      <c r="AW271">
        <v>8</v>
      </c>
      <c r="AX271" t="s">
        <v>74</v>
      </c>
      <c r="AY271" t="s">
        <v>74</v>
      </c>
      <c r="AZ271" t="s">
        <v>74</v>
      </c>
      <c r="BA271" t="s">
        <v>74</v>
      </c>
      <c r="BB271">
        <v>1086</v>
      </c>
      <c r="BC271">
        <v>1100</v>
      </c>
      <c r="BD271" t="s">
        <v>74</v>
      </c>
      <c r="BE271" t="s">
        <v>5661</v>
      </c>
      <c r="BF271" t="str">
        <f>HYPERLINK("http://dx.doi.org/10.1002/we.2342","http://dx.doi.org/10.1002/we.2342")</f>
        <v>http://dx.doi.org/10.1002/we.2342</v>
      </c>
      <c r="BG271" t="s">
        <v>74</v>
      </c>
      <c r="BH271" t="s">
        <v>74</v>
      </c>
      <c r="BI271">
        <v>15</v>
      </c>
      <c r="BJ271" t="s">
        <v>5662</v>
      </c>
      <c r="BK271" t="s">
        <v>101</v>
      </c>
      <c r="BL271" t="s">
        <v>5663</v>
      </c>
      <c r="BM271" t="s">
        <v>5664</v>
      </c>
      <c r="BN271" t="s">
        <v>74</v>
      </c>
      <c r="BO271" t="s">
        <v>1125</v>
      </c>
      <c r="BP271" t="s">
        <v>74</v>
      </c>
      <c r="BQ271" t="s">
        <v>74</v>
      </c>
      <c r="BR271" t="s">
        <v>103</v>
      </c>
      <c r="BS271" t="s">
        <v>5665</v>
      </c>
      <c r="BT271" t="str">
        <f>HYPERLINK("https%3A%2F%2Fwww.webofscience.com%2Fwos%2Fwoscc%2Ffull-record%2FWOS:000474658000006","View Full Record in Web of Science")</f>
        <v>View Full Record in Web of Science</v>
      </c>
    </row>
    <row r="272" spans="1:72" x14ac:dyDescent="0.15">
      <c r="A272" t="s">
        <v>72</v>
      </c>
      <c r="B272" t="s">
        <v>5666</v>
      </c>
      <c r="C272" t="s">
        <v>74</v>
      </c>
      <c r="D272" t="s">
        <v>74</v>
      </c>
      <c r="E272" t="s">
        <v>74</v>
      </c>
      <c r="F272" t="s">
        <v>5667</v>
      </c>
      <c r="G272" t="s">
        <v>74</v>
      </c>
      <c r="H272" t="s">
        <v>74</v>
      </c>
      <c r="I272" t="s">
        <v>5668</v>
      </c>
      <c r="J272" t="s">
        <v>5669</v>
      </c>
      <c r="K272" t="s">
        <v>74</v>
      </c>
      <c r="L272" t="s">
        <v>74</v>
      </c>
      <c r="M272" t="s">
        <v>78</v>
      </c>
      <c r="N272" t="s">
        <v>108</v>
      </c>
      <c r="O272" t="s">
        <v>74</v>
      </c>
      <c r="P272" t="s">
        <v>74</v>
      </c>
      <c r="Q272" t="s">
        <v>74</v>
      </c>
      <c r="R272" t="s">
        <v>74</v>
      </c>
      <c r="S272" t="s">
        <v>74</v>
      </c>
      <c r="T272" t="s">
        <v>5670</v>
      </c>
      <c r="U272" t="s">
        <v>5671</v>
      </c>
      <c r="V272" t="s">
        <v>5672</v>
      </c>
      <c r="W272" t="s">
        <v>5673</v>
      </c>
      <c r="X272" t="s">
        <v>5674</v>
      </c>
      <c r="Y272" t="s">
        <v>5675</v>
      </c>
      <c r="Z272" t="s">
        <v>5676</v>
      </c>
      <c r="AA272" t="s">
        <v>5677</v>
      </c>
      <c r="AB272" t="s">
        <v>5678</v>
      </c>
      <c r="AC272" t="s">
        <v>5679</v>
      </c>
      <c r="AD272" t="s">
        <v>5680</v>
      </c>
      <c r="AE272" t="s">
        <v>5681</v>
      </c>
      <c r="AF272" t="s">
        <v>74</v>
      </c>
      <c r="AG272">
        <v>99</v>
      </c>
      <c r="AH272">
        <v>5</v>
      </c>
      <c r="AI272">
        <v>8</v>
      </c>
      <c r="AJ272">
        <v>2</v>
      </c>
      <c r="AK272">
        <v>33</v>
      </c>
      <c r="AL272" t="s">
        <v>4254</v>
      </c>
      <c r="AM272" t="s">
        <v>4255</v>
      </c>
      <c r="AN272" t="s">
        <v>4256</v>
      </c>
      <c r="AO272" t="s">
        <v>5682</v>
      </c>
      <c r="AP272" t="s">
        <v>5683</v>
      </c>
      <c r="AQ272" t="s">
        <v>74</v>
      </c>
      <c r="AR272" t="s">
        <v>5684</v>
      </c>
      <c r="AS272" t="s">
        <v>5685</v>
      </c>
      <c r="AT272" t="s">
        <v>2930</v>
      </c>
      <c r="AU272">
        <v>2019</v>
      </c>
      <c r="AV272">
        <v>36</v>
      </c>
      <c r="AW272">
        <v>8</v>
      </c>
      <c r="AX272" t="s">
        <v>74</v>
      </c>
      <c r="AY272" t="s">
        <v>74</v>
      </c>
      <c r="AZ272" t="s">
        <v>74</v>
      </c>
      <c r="BA272" t="s">
        <v>74</v>
      </c>
      <c r="BB272">
        <v>823</v>
      </c>
      <c r="BC272">
        <v>836</v>
      </c>
      <c r="BD272" t="s">
        <v>74</v>
      </c>
      <c r="BE272" t="s">
        <v>5686</v>
      </c>
      <c r="BF272" t="str">
        <f>HYPERLINK("http://dx.doi.org/10.1007/s00376-019-8241-8","http://dx.doi.org/10.1007/s00376-019-8241-8")</f>
        <v>http://dx.doi.org/10.1007/s00376-019-8241-8</v>
      </c>
      <c r="BG272" t="s">
        <v>74</v>
      </c>
      <c r="BH272" t="s">
        <v>74</v>
      </c>
      <c r="BI272">
        <v>14</v>
      </c>
      <c r="BJ272" t="s">
        <v>259</v>
      </c>
      <c r="BK272" t="s">
        <v>101</v>
      </c>
      <c r="BL272" t="s">
        <v>259</v>
      </c>
      <c r="BM272" t="s">
        <v>5687</v>
      </c>
      <c r="BN272" t="s">
        <v>74</v>
      </c>
      <c r="BO272" t="s">
        <v>74</v>
      </c>
      <c r="BP272" t="s">
        <v>74</v>
      </c>
      <c r="BQ272" t="s">
        <v>74</v>
      </c>
      <c r="BR272" t="s">
        <v>103</v>
      </c>
      <c r="BS272" t="s">
        <v>5688</v>
      </c>
      <c r="BT272" t="str">
        <f>HYPERLINK("https%3A%2F%2Fwww.webofscience.com%2Fwos%2Fwoscc%2Ffull-record%2FWOS:000473731800006","View Full Record in Web of Science")</f>
        <v>View Full Record in Web of Science</v>
      </c>
    </row>
    <row r="273" spans="1:72" x14ac:dyDescent="0.15">
      <c r="A273" t="s">
        <v>72</v>
      </c>
      <c r="B273" t="s">
        <v>5689</v>
      </c>
      <c r="C273" t="s">
        <v>74</v>
      </c>
      <c r="D273" t="s">
        <v>74</v>
      </c>
      <c r="E273" t="s">
        <v>74</v>
      </c>
      <c r="F273" t="s">
        <v>5690</v>
      </c>
      <c r="G273" t="s">
        <v>74</v>
      </c>
      <c r="H273" t="s">
        <v>74</v>
      </c>
      <c r="I273" t="s">
        <v>5691</v>
      </c>
      <c r="J273" t="s">
        <v>5692</v>
      </c>
      <c r="K273" t="s">
        <v>74</v>
      </c>
      <c r="L273" t="s">
        <v>74</v>
      </c>
      <c r="M273" t="s">
        <v>78</v>
      </c>
      <c r="N273" t="s">
        <v>108</v>
      </c>
      <c r="O273" t="s">
        <v>74</v>
      </c>
      <c r="P273" t="s">
        <v>74</v>
      </c>
      <c r="Q273" t="s">
        <v>74</v>
      </c>
      <c r="R273" t="s">
        <v>74</v>
      </c>
      <c r="S273" t="s">
        <v>74</v>
      </c>
      <c r="T273" t="s">
        <v>5693</v>
      </c>
      <c r="U273" t="s">
        <v>5694</v>
      </c>
      <c r="V273" t="s">
        <v>5695</v>
      </c>
      <c r="W273" t="s">
        <v>5696</v>
      </c>
      <c r="X273" t="s">
        <v>5697</v>
      </c>
      <c r="Y273" t="s">
        <v>5698</v>
      </c>
      <c r="Z273" t="s">
        <v>5699</v>
      </c>
      <c r="AA273" t="s">
        <v>5700</v>
      </c>
      <c r="AB273" t="s">
        <v>5701</v>
      </c>
      <c r="AC273" t="s">
        <v>5702</v>
      </c>
      <c r="AD273" t="s">
        <v>5703</v>
      </c>
      <c r="AE273" t="s">
        <v>5704</v>
      </c>
      <c r="AF273" t="s">
        <v>74</v>
      </c>
      <c r="AG273">
        <v>154</v>
      </c>
      <c r="AH273">
        <v>56</v>
      </c>
      <c r="AI273">
        <v>59</v>
      </c>
      <c r="AJ273">
        <v>7</v>
      </c>
      <c r="AK273">
        <v>100</v>
      </c>
      <c r="AL273" t="s">
        <v>3533</v>
      </c>
      <c r="AM273" t="s">
        <v>93</v>
      </c>
      <c r="AN273" t="s">
        <v>3534</v>
      </c>
      <c r="AO273" t="s">
        <v>5705</v>
      </c>
      <c r="AP273" t="s">
        <v>5706</v>
      </c>
      <c r="AQ273" t="s">
        <v>74</v>
      </c>
      <c r="AR273" t="s">
        <v>5707</v>
      </c>
      <c r="AS273" t="s">
        <v>5708</v>
      </c>
      <c r="AT273" t="s">
        <v>2930</v>
      </c>
      <c r="AU273">
        <v>2019</v>
      </c>
      <c r="AV273">
        <v>142</v>
      </c>
      <c r="AW273" t="s">
        <v>74</v>
      </c>
      <c r="AX273" t="s">
        <v>74</v>
      </c>
      <c r="AY273" t="s">
        <v>74</v>
      </c>
      <c r="AZ273" t="s">
        <v>74</v>
      </c>
      <c r="BA273" t="s">
        <v>74</v>
      </c>
      <c r="BB273">
        <v>58</v>
      </c>
      <c r="BC273">
        <v>72</v>
      </c>
      <c r="BD273" t="s">
        <v>74</v>
      </c>
      <c r="BE273" t="s">
        <v>5709</v>
      </c>
      <c r="BF273" t="str">
        <f>HYPERLINK("http://dx.doi.org/10.1016/j.ibiod.2019.05.001","http://dx.doi.org/10.1016/j.ibiod.2019.05.001")</f>
        <v>http://dx.doi.org/10.1016/j.ibiod.2019.05.001</v>
      </c>
      <c r="BG273" t="s">
        <v>74</v>
      </c>
      <c r="BH273" t="s">
        <v>74</v>
      </c>
      <c r="BI273">
        <v>15</v>
      </c>
      <c r="BJ273" t="s">
        <v>5710</v>
      </c>
      <c r="BK273" t="s">
        <v>101</v>
      </c>
      <c r="BL273" t="s">
        <v>5711</v>
      </c>
      <c r="BM273" t="s">
        <v>5712</v>
      </c>
      <c r="BN273" t="s">
        <v>74</v>
      </c>
      <c r="BO273" t="s">
        <v>74</v>
      </c>
      <c r="BP273" t="s">
        <v>74</v>
      </c>
      <c r="BQ273" t="s">
        <v>74</v>
      </c>
      <c r="BR273" t="s">
        <v>103</v>
      </c>
      <c r="BS273" t="s">
        <v>5713</v>
      </c>
      <c r="BT273" t="str">
        <f>HYPERLINK("https%3A%2F%2Fwww.webofscience.com%2Fwos%2Fwoscc%2Ffull-record%2FWOS:000473377000008","View Full Record in Web of Science")</f>
        <v>View Full Record in Web of Science</v>
      </c>
    </row>
    <row r="274" spans="1:72" x14ac:dyDescent="0.15">
      <c r="A274" t="s">
        <v>72</v>
      </c>
      <c r="B274" t="s">
        <v>5714</v>
      </c>
      <c r="C274" t="s">
        <v>74</v>
      </c>
      <c r="D274" t="s">
        <v>74</v>
      </c>
      <c r="E274" t="s">
        <v>74</v>
      </c>
      <c r="F274" t="s">
        <v>5715</v>
      </c>
      <c r="G274" t="s">
        <v>74</v>
      </c>
      <c r="H274" t="s">
        <v>74</v>
      </c>
      <c r="I274" t="s">
        <v>5716</v>
      </c>
      <c r="J274" t="s">
        <v>519</v>
      </c>
      <c r="K274" t="s">
        <v>74</v>
      </c>
      <c r="L274" t="s">
        <v>74</v>
      </c>
      <c r="M274" t="s">
        <v>78</v>
      </c>
      <c r="N274" t="s">
        <v>108</v>
      </c>
      <c r="O274" t="s">
        <v>74</v>
      </c>
      <c r="P274" t="s">
        <v>74</v>
      </c>
      <c r="Q274" t="s">
        <v>74</v>
      </c>
      <c r="R274" t="s">
        <v>74</v>
      </c>
      <c r="S274" t="s">
        <v>74</v>
      </c>
      <c r="T274" t="s">
        <v>5717</v>
      </c>
      <c r="U274" t="s">
        <v>5718</v>
      </c>
      <c r="V274" t="s">
        <v>5719</v>
      </c>
      <c r="W274" t="s">
        <v>5720</v>
      </c>
      <c r="X274" t="s">
        <v>5721</v>
      </c>
      <c r="Y274" t="s">
        <v>5722</v>
      </c>
      <c r="Z274" t="s">
        <v>5723</v>
      </c>
      <c r="AA274" t="s">
        <v>5724</v>
      </c>
      <c r="AB274" t="s">
        <v>5725</v>
      </c>
      <c r="AC274" t="s">
        <v>74</v>
      </c>
      <c r="AD274" t="s">
        <v>74</v>
      </c>
      <c r="AE274" t="s">
        <v>74</v>
      </c>
      <c r="AF274" t="s">
        <v>74</v>
      </c>
      <c r="AG274">
        <v>47</v>
      </c>
      <c r="AH274">
        <v>16</v>
      </c>
      <c r="AI274">
        <v>17</v>
      </c>
      <c r="AJ274">
        <v>3</v>
      </c>
      <c r="AK274">
        <v>37</v>
      </c>
      <c r="AL274" t="s">
        <v>438</v>
      </c>
      <c r="AM274" t="s">
        <v>439</v>
      </c>
      <c r="AN274" t="s">
        <v>440</v>
      </c>
      <c r="AO274" t="s">
        <v>531</v>
      </c>
      <c r="AP274" t="s">
        <v>532</v>
      </c>
      <c r="AQ274" t="s">
        <v>74</v>
      </c>
      <c r="AR274" t="s">
        <v>533</v>
      </c>
      <c r="AS274" t="s">
        <v>534</v>
      </c>
      <c r="AT274" t="s">
        <v>3993</v>
      </c>
      <c r="AU274">
        <v>2019</v>
      </c>
      <c r="AV274">
        <v>519</v>
      </c>
      <c r="AW274" t="s">
        <v>74</v>
      </c>
      <c r="AX274" t="s">
        <v>74</v>
      </c>
      <c r="AY274" t="s">
        <v>74</v>
      </c>
      <c r="AZ274" t="s">
        <v>74</v>
      </c>
      <c r="BA274" t="s">
        <v>74</v>
      </c>
      <c r="BB274">
        <v>12</v>
      </c>
      <c r="BC274">
        <v>27</v>
      </c>
      <c r="BD274" t="s">
        <v>74</v>
      </c>
      <c r="BE274" t="s">
        <v>5726</v>
      </c>
      <c r="BF274" t="str">
        <f>HYPERLINK("http://dx.doi.org/10.1016/j.epsl.2019.04.035","http://dx.doi.org/10.1016/j.epsl.2019.04.035")</f>
        <v>http://dx.doi.org/10.1016/j.epsl.2019.04.035</v>
      </c>
      <c r="BG274" t="s">
        <v>74</v>
      </c>
      <c r="BH274" t="s">
        <v>74</v>
      </c>
      <c r="BI274">
        <v>16</v>
      </c>
      <c r="BJ274" t="s">
        <v>190</v>
      </c>
      <c r="BK274" t="s">
        <v>101</v>
      </c>
      <c r="BL274" t="s">
        <v>190</v>
      </c>
      <c r="BM274" t="s">
        <v>5727</v>
      </c>
      <c r="BN274" t="s">
        <v>74</v>
      </c>
      <c r="BO274" t="s">
        <v>164</v>
      </c>
      <c r="BP274" t="s">
        <v>74</v>
      </c>
      <c r="BQ274" t="s">
        <v>74</v>
      </c>
      <c r="BR274" t="s">
        <v>103</v>
      </c>
      <c r="BS274" t="s">
        <v>5728</v>
      </c>
      <c r="BT274" t="str">
        <f>HYPERLINK("https%3A%2F%2Fwww.webofscience.com%2Fwos%2Fwoscc%2Ffull-record%2FWOS:000472689200002","View Full Record in Web of Science")</f>
        <v>View Full Record in Web of Science</v>
      </c>
    </row>
    <row r="275" spans="1:72" x14ac:dyDescent="0.15">
      <c r="A275" t="s">
        <v>72</v>
      </c>
      <c r="B275" t="s">
        <v>5729</v>
      </c>
      <c r="C275" t="s">
        <v>74</v>
      </c>
      <c r="D275" t="s">
        <v>74</v>
      </c>
      <c r="E275" t="s">
        <v>74</v>
      </c>
      <c r="F275" t="s">
        <v>5730</v>
      </c>
      <c r="G275" t="s">
        <v>74</v>
      </c>
      <c r="H275" t="s">
        <v>74</v>
      </c>
      <c r="I275" t="s">
        <v>5731</v>
      </c>
      <c r="J275" t="s">
        <v>5732</v>
      </c>
      <c r="K275" t="s">
        <v>74</v>
      </c>
      <c r="L275" t="s">
        <v>74</v>
      </c>
      <c r="M275" t="s">
        <v>78</v>
      </c>
      <c r="N275" t="s">
        <v>108</v>
      </c>
      <c r="O275" t="s">
        <v>74</v>
      </c>
      <c r="P275" t="s">
        <v>74</v>
      </c>
      <c r="Q275" t="s">
        <v>74</v>
      </c>
      <c r="R275" t="s">
        <v>74</v>
      </c>
      <c r="S275" t="s">
        <v>74</v>
      </c>
      <c r="T275" t="s">
        <v>5733</v>
      </c>
      <c r="U275" t="s">
        <v>5734</v>
      </c>
      <c r="V275" t="s">
        <v>5735</v>
      </c>
      <c r="W275" t="s">
        <v>5736</v>
      </c>
      <c r="X275" t="s">
        <v>5737</v>
      </c>
      <c r="Y275" t="s">
        <v>5738</v>
      </c>
      <c r="Z275" t="s">
        <v>5739</v>
      </c>
      <c r="AA275" t="s">
        <v>5740</v>
      </c>
      <c r="AB275" t="s">
        <v>5741</v>
      </c>
      <c r="AC275" t="s">
        <v>5742</v>
      </c>
      <c r="AD275" t="s">
        <v>5743</v>
      </c>
      <c r="AE275" t="s">
        <v>5744</v>
      </c>
      <c r="AF275" t="s">
        <v>74</v>
      </c>
      <c r="AG275">
        <v>80</v>
      </c>
      <c r="AH275">
        <v>11</v>
      </c>
      <c r="AI275">
        <v>11</v>
      </c>
      <c r="AJ275">
        <v>1</v>
      </c>
      <c r="AK275">
        <v>10</v>
      </c>
      <c r="AL275" t="s">
        <v>438</v>
      </c>
      <c r="AM275" t="s">
        <v>439</v>
      </c>
      <c r="AN275" t="s">
        <v>440</v>
      </c>
      <c r="AO275" t="s">
        <v>5745</v>
      </c>
      <c r="AP275" t="s">
        <v>5746</v>
      </c>
      <c r="AQ275" t="s">
        <v>74</v>
      </c>
      <c r="AR275" t="s">
        <v>5747</v>
      </c>
      <c r="AS275" t="s">
        <v>5748</v>
      </c>
      <c r="AT275" t="s">
        <v>2930</v>
      </c>
      <c r="AU275">
        <v>2019</v>
      </c>
      <c r="AV275">
        <v>179</v>
      </c>
      <c r="AW275" t="s">
        <v>74</v>
      </c>
      <c r="AX275" t="s">
        <v>74</v>
      </c>
      <c r="AY275" t="s">
        <v>74</v>
      </c>
      <c r="AZ275" t="s">
        <v>74</v>
      </c>
      <c r="BA275" t="s">
        <v>74</v>
      </c>
      <c r="BB275">
        <v>33</v>
      </c>
      <c r="BC275">
        <v>42</v>
      </c>
      <c r="BD275" t="s">
        <v>74</v>
      </c>
      <c r="BE275" t="s">
        <v>5749</v>
      </c>
      <c r="BF275" t="str">
        <f>HYPERLINK("http://dx.doi.org/10.1016/j.gloplacha.2019.05.002","http://dx.doi.org/10.1016/j.gloplacha.2019.05.002")</f>
        <v>http://dx.doi.org/10.1016/j.gloplacha.2019.05.002</v>
      </c>
      <c r="BG275" t="s">
        <v>74</v>
      </c>
      <c r="BH275" t="s">
        <v>74</v>
      </c>
      <c r="BI275">
        <v>10</v>
      </c>
      <c r="BJ275" t="s">
        <v>310</v>
      </c>
      <c r="BK275" t="s">
        <v>101</v>
      </c>
      <c r="BL275" t="s">
        <v>311</v>
      </c>
      <c r="BM275" t="s">
        <v>5750</v>
      </c>
      <c r="BN275" t="s">
        <v>74</v>
      </c>
      <c r="BO275" t="s">
        <v>74</v>
      </c>
      <c r="BP275" t="s">
        <v>74</v>
      </c>
      <c r="BQ275" t="s">
        <v>74</v>
      </c>
      <c r="BR275" t="s">
        <v>103</v>
      </c>
      <c r="BS275" t="s">
        <v>5751</v>
      </c>
      <c r="BT275" t="str">
        <f>HYPERLINK("https%3A%2F%2Fwww.webofscience.com%2Fwos%2Fwoscc%2Ffull-record%2FWOS:000472691900004","View Full Record in Web of Science")</f>
        <v>View Full Record in Web of Science</v>
      </c>
    </row>
    <row r="276" spans="1:72" x14ac:dyDescent="0.15">
      <c r="A276" t="s">
        <v>72</v>
      </c>
      <c r="B276" t="s">
        <v>5752</v>
      </c>
      <c r="C276" t="s">
        <v>74</v>
      </c>
      <c r="D276" t="s">
        <v>74</v>
      </c>
      <c r="E276" t="s">
        <v>74</v>
      </c>
      <c r="F276" t="s">
        <v>5753</v>
      </c>
      <c r="G276" t="s">
        <v>74</v>
      </c>
      <c r="H276" t="s">
        <v>74</v>
      </c>
      <c r="I276" t="s">
        <v>5754</v>
      </c>
      <c r="J276" t="s">
        <v>600</v>
      </c>
      <c r="K276" t="s">
        <v>74</v>
      </c>
      <c r="L276" t="s">
        <v>74</v>
      </c>
      <c r="M276" t="s">
        <v>78</v>
      </c>
      <c r="N276" t="s">
        <v>108</v>
      </c>
      <c r="O276" t="s">
        <v>74</v>
      </c>
      <c r="P276" t="s">
        <v>74</v>
      </c>
      <c r="Q276" t="s">
        <v>74</v>
      </c>
      <c r="R276" t="s">
        <v>74</v>
      </c>
      <c r="S276" t="s">
        <v>74</v>
      </c>
      <c r="T276" t="s">
        <v>5755</v>
      </c>
      <c r="U276" t="s">
        <v>5756</v>
      </c>
      <c r="V276" t="s">
        <v>5757</v>
      </c>
      <c r="W276" t="s">
        <v>5758</v>
      </c>
      <c r="X276" t="s">
        <v>5759</v>
      </c>
      <c r="Y276" t="s">
        <v>5760</v>
      </c>
      <c r="Z276" t="s">
        <v>5761</v>
      </c>
      <c r="AA276" t="s">
        <v>5762</v>
      </c>
      <c r="AB276" t="s">
        <v>5763</v>
      </c>
      <c r="AC276" t="s">
        <v>5764</v>
      </c>
      <c r="AD276" t="s">
        <v>5765</v>
      </c>
      <c r="AE276" t="s">
        <v>5766</v>
      </c>
      <c r="AF276" t="s">
        <v>74</v>
      </c>
      <c r="AG276">
        <v>54</v>
      </c>
      <c r="AH276">
        <v>0</v>
      </c>
      <c r="AI276">
        <v>0</v>
      </c>
      <c r="AJ276">
        <v>0</v>
      </c>
      <c r="AK276">
        <v>26</v>
      </c>
      <c r="AL276" t="s">
        <v>438</v>
      </c>
      <c r="AM276" t="s">
        <v>439</v>
      </c>
      <c r="AN276" t="s">
        <v>440</v>
      </c>
      <c r="AO276" t="s">
        <v>613</v>
      </c>
      <c r="AP276" t="s">
        <v>614</v>
      </c>
      <c r="AQ276" t="s">
        <v>74</v>
      </c>
      <c r="AR276" t="s">
        <v>615</v>
      </c>
      <c r="AS276" t="s">
        <v>616</v>
      </c>
      <c r="AT276" t="s">
        <v>2930</v>
      </c>
      <c r="AU276">
        <v>2019</v>
      </c>
      <c r="AV276">
        <v>196</v>
      </c>
      <c r="AW276" t="s">
        <v>74</v>
      </c>
      <c r="AX276" t="s">
        <v>74</v>
      </c>
      <c r="AY276" t="s">
        <v>74</v>
      </c>
      <c r="AZ276" t="s">
        <v>74</v>
      </c>
      <c r="BA276" t="s">
        <v>74</v>
      </c>
      <c r="BB276">
        <v>65</v>
      </c>
      <c r="BC276">
        <v>76</v>
      </c>
      <c r="BD276" t="s">
        <v>74</v>
      </c>
      <c r="BE276" t="s">
        <v>5767</v>
      </c>
      <c r="BF276" t="str">
        <f>HYPERLINK("http://dx.doi.org/10.1016/j.jmarsys.2019.05.001","http://dx.doi.org/10.1016/j.jmarsys.2019.05.001")</f>
        <v>http://dx.doi.org/10.1016/j.jmarsys.2019.05.001</v>
      </c>
      <c r="BG276" t="s">
        <v>74</v>
      </c>
      <c r="BH276" t="s">
        <v>74</v>
      </c>
      <c r="BI276">
        <v>12</v>
      </c>
      <c r="BJ276" t="s">
        <v>618</v>
      </c>
      <c r="BK276" t="s">
        <v>101</v>
      </c>
      <c r="BL276" t="s">
        <v>619</v>
      </c>
      <c r="BM276" t="s">
        <v>5768</v>
      </c>
      <c r="BN276" t="s">
        <v>74</v>
      </c>
      <c r="BO276" t="s">
        <v>74</v>
      </c>
      <c r="BP276" t="s">
        <v>74</v>
      </c>
      <c r="BQ276" t="s">
        <v>74</v>
      </c>
      <c r="BR276" t="s">
        <v>103</v>
      </c>
      <c r="BS276" t="s">
        <v>5769</v>
      </c>
      <c r="BT276" t="str">
        <f>HYPERLINK("https%3A%2F%2Fwww.webofscience.com%2Fwos%2Fwoscc%2Ffull-record%2FWOS:000472689700005","View Full Record in Web of Science")</f>
        <v>View Full Record in Web of Science</v>
      </c>
    </row>
    <row r="277" spans="1:72" x14ac:dyDescent="0.15">
      <c r="A277" t="s">
        <v>72</v>
      </c>
      <c r="B277" t="s">
        <v>5770</v>
      </c>
      <c r="C277" t="s">
        <v>74</v>
      </c>
      <c r="D277" t="s">
        <v>74</v>
      </c>
      <c r="E277" t="s">
        <v>74</v>
      </c>
      <c r="F277" t="s">
        <v>5771</v>
      </c>
      <c r="G277" t="s">
        <v>74</v>
      </c>
      <c r="H277" t="s">
        <v>74</v>
      </c>
      <c r="I277" t="s">
        <v>5772</v>
      </c>
      <c r="J277" t="s">
        <v>5773</v>
      </c>
      <c r="K277" t="s">
        <v>74</v>
      </c>
      <c r="L277" t="s">
        <v>74</v>
      </c>
      <c r="M277" t="s">
        <v>78</v>
      </c>
      <c r="N277" t="s">
        <v>108</v>
      </c>
      <c r="O277" t="s">
        <v>74</v>
      </c>
      <c r="P277" t="s">
        <v>74</v>
      </c>
      <c r="Q277" t="s">
        <v>74</v>
      </c>
      <c r="R277" t="s">
        <v>74</v>
      </c>
      <c r="S277" t="s">
        <v>74</v>
      </c>
      <c r="T277" t="s">
        <v>5774</v>
      </c>
      <c r="U277" t="s">
        <v>5775</v>
      </c>
      <c r="V277" t="s">
        <v>5776</v>
      </c>
      <c r="W277" t="s">
        <v>5777</v>
      </c>
      <c r="X277" t="s">
        <v>5778</v>
      </c>
      <c r="Y277" t="s">
        <v>5779</v>
      </c>
      <c r="Z277" t="s">
        <v>5780</v>
      </c>
      <c r="AA277" t="s">
        <v>74</v>
      </c>
      <c r="AB277" t="s">
        <v>74</v>
      </c>
      <c r="AC277" t="s">
        <v>5781</v>
      </c>
      <c r="AD277" t="s">
        <v>5782</v>
      </c>
      <c r="AE277" t="s">
        <v>5783</v>
      </c>
      <c r="AF277" t="s">
        <v>74</v>
      </c>
      <c r="AG277">
        <v>34</v>
      </c>
      <c r="AH277">
        <v>5</v>
      </c>
      <c r="AI277">
        <v>5</v>
      </c>
      <c r="AJ277">
        <v>0</v>
      </c>
      <c r="AK277">
        <v>14</v>
      </c>
      <c r="AL277" t="s">
        <v>92</v>
      </c>
      <c r="AM277" t="s">
        <v>93</v>
      </c>
      <c r="AN277" t="s">
        <v>94</v>
      </c>
      <c r="AO277" t="s">
        <v>5784</v>
      </c>
      <c r="AP277" t="s">
        <v>5785</v>
      </c>
      <c r="AQ277" t="s">
        <v>74</v>
      </c>
      <c r="AR277" t="s">
        <v>5786</v>
      </c>
      <c r="AS277" t="s">
        <v>5787</v>
      </c>
      <c r="AT277" t="s">
        <v>2930</v>
      </c>
      <c r="AU277">
        <v>2019</v>
      </c>
      <c r="AV277">
        <v>85</v>
      </c>
      <c r="AW277" t="s">
        <v>74</v>
      </c>
      <c r="AX277" t="s">
        <v>74</v>
      </c>
      <c r="AY277" t="s">
        <v>74</v>
      </c>
      <c r="AZ277" t="s">
        <v>74</v>
      </c>
      <c r="BA277" t="s">
        <v>74</v>
      </c>
      <c r="BB277">
        <v>21</v>
      </c>
      <c r="BC277">
        <v>23</v>
      </c>
      <c r="BD277" t="s">
        <v>74</v>
      </c>
      <c r="BE277" t="s">
        <v>5788</v>
      </c>
      <c r="BF277" t="str">
        <f>HYPERLINK("http://dx.doi.org/10.1016/j.bse.2019.04.010","http://dx.doi.org/10.1016/j.bse.2019.04.010")</f>
        <v>http://dx.doi.org/10.1016/j.bse.2019.04.010</v>
      </c>
      <c r="BG277" t="s">
        <v>74</v>
      </c>
      <c r="BH277" t="s">
        <v>74</v>
      </c>
      <c r="BI277">
        <v>3</v>
      </c>
      <c r="BJ277" t="s">
        <v>5789</v>
      </c>
      <c r="BK277" t="s">
        <v>101</v>
      </c>
      <c r="BL277" t="s">
        <v>5790</v>
      </c>
      <c r="BM277" t="s">
        <v>5791</v>
      </c>
      <c r="BN277" t="s">
        <v>74</v>
      </c>
      <c r="BO277" t="s">
        <v>74</v>
      </c>
      <c r="BP277" t="s">
        <v>74</v>
      </c>
      <c r="BQ277" t="s">
        <v>74</v>
      </c>
      <c r="BR277" t="s">
        <v>103</v>
      </c>
      <c r="BS277" t="s">
        <v>5792</v>
      </c>
      <c r="BT277" t="str">
        <f>HYPERLINK("https%3A%2F%2Fwww.webofscience.com%2Fwos%2Fwoscc%2Ffull-record%2FWOS:000472124800004","View Full Record in Web of Science")</f>
        <v>View Full Record in Web of Science</v>
      </c>
    </row>
    <row r="278" spans="1:72" x14ac:dyDescent="0.15">
      <c r="A278" t="s">
        <v>72</v>
      </c>
      <c r="B278" t="s">
        <v>5793</v>
      </c>
      <c r="C278" t="s">
        <v>74</v>
      </c>
      <c r="D278" t="s">
        <v>74</v>
      </c>
      <c r="E278" t="s">
        <v>74</v>
      </c>
      <c r="F278" t="s">
        <v>5794</v>
      </c>
      <c r="G278" t="s">
        <v>74</v>
      </c>
      <c r="H278" t="s">
        <v>74</v>
      </c>
      <c r="I278" t="s">
        <v>5795</v>
      </c>
      <c r="J278" t="s">
        <v>5796</v>
      </c>
      <c r="K278" t="s">
        <v>74</v>
      </c>
      <c r="L278" t="s">
        <v>74</v>
      </c>
      <c r="M278" t="s">
        <v>78</v>
      </c>
      <c r="N278" t="s">
        <v>108</v>
      </c>
      <c r="O278" t="s">
        <v>74</v>
      </c>
      <c r="P278" t="s">
        <v>74</v>
      </c>
      <c r="Q278" t="s">
        <v>74</v>
      </c>
      <c r="R278" t="s">
        <v>74</v>
      </c>
      <c r="S278" t="s">
        <v>74</v>
      </c>
      <c r="T278" t="s">
        <v>5797</v>
      </c>
      <c r="U278" t="s">
        <v>5798</v>
      </c>
      <c r="V278" t="s">
        <v>5799</v>
      </c>
      <c r="W278" t="s">
        <v>5800</v>
      </c>
      <c r="X278" t="s">
        <v>5801</v>
      </c>
      <c r="Y278" t="s">
        <v>5802</v>
      </c>
      <c r="Z278" t="s">
        <v>5803</v>
      </c>
      <c r="AA278" t="s">
        <v>5804</v>
      </c>
      <c r="AB278" t="s">
        <v>5805</v>
      </c>
      <c r="AC278" t="s">
        <v>5806</v>
      </c>
      <c r="AD278" t="s">
        <v>5807</v>
      </c>
      <c r="AE278" t="s">
        <v>5808</v>
      </c>
      <c r="AF278" t="s">
        <v>74</v>
      </c>
      <c r="AG278">
        <v>90</v>
      </c>
      <c r="AH278">
        <v>23</v>
      </c>
      <c r="AI278">
        <v>26</v>
      </c>
      <c r="AJ278">
        <v>0</v>
      </c>
      <c r="AK278">
        <v>16</v>
      </c>
      <c r="AL278" t="s">
        <v>92</v>
      </c>
      <c r="AM278" t="s">
        <v>93</v>
      </c>
      <c r="AN278" t="s">
        <v>94</v>
      </c>
      <c r="AO278" t="s">
        <v>5809</v>
      </c>
      <c r="AP278" t="s">
        <v>74</v>
      </c>
      <c r="AQ278" t="s">
        <v>74</v>
      </c>
      <c r="AR278" t="s">
        <v>5810</v>
      </c>
      <c r="AS278" t="s">
        <v>5811</v>
      </c>
      <c r="AT278" t="s">
        <v>2930</v>
      </c>
      <c r="AU278">
        <v>2019</v>
      </c>
      <c r="AV278">
        <v>93</v>
      </c>
      <c r="AW278" t="s">
        <v>74</v>
      </c>
      <c r="AX278" t="s">
        <v>74</v>
      </c>
      <c r="AY278" t="s">
        <v>74</v>
      </c>
      <c r="AZ278" t="s">
        <v>74</v>
      </c>
      <c r="BA278" t="s">
        <v>74</v>
      </c>
      <c r="BB278">
        <v>102</v>
      </c>
      <c r="BC278">
        <v>118</v>
      </c>
      <c r="BD278" t="s">
        <v>74</v>
      </c>
      <c r="BE278" t="s">
        <v>5812</v>
      </c>
      <c r="BF278" t="str">
        <f>HYPERLINK("http://dx.doi.org/10.1016/j.jsames.2019.04.010","http://dx.doi.org/10.1016/j.jsames.2019.04.010")</f>
        <v>http://dx.doi.org/10.1016/j.jsames.2019.04.010</v>
      </c>
      <c r="BG278" t="s">
        <v>74</v>
      </c>
      <c r="BH278" t="s">
        <v>74</v>
      </c>
      <c r="BI278">
        <v>17</v>
      </c>
      <c r="BJ278" t="s">
        <v>471</v>
      </c>
      <c r="BK278" t="s">
        <v>101</v>
      </c>
      <c r="BL278" t="s">
        <v>472</v>
      </c>
      <c r="BM278" t="s">
        <v>5813</v>
      </c>
      <c r="BN278" t="s">
        <v>74</v>
      </c>
      <c r="BO278" t="s">
        <v>74</v>
      </c>
      <c r="BP278" t="s">
        <v>74</v>
      </c>
      <c r="BQ278" t="s">
        <v>74</v>
      </c>
      <c r="BR278" t="s">
        <v>103</v>
      </c>
      <c r="BS278" t="s">
        <v>5814</v>
      </c>
      <c r="BT278" t="str">
        <f>HYPERLINK("https%3A%2F%2Fwww.webofscience.com%2Fwos%2Fwoscc%2Ffull-record%2FWOS:000472124000008","View Full Record in Web of Science")</f>
        <v>View Full Record in Web of Science</v>
      </c>
    </row>
    <row r="279" spans="1:72" x14ac:dyDescent="0.15">
      <c r="A279" t="s">
        <v>72</v>
      </c>
      <c r="B279" t="s">
        <v>5815</v>
      </c>
      <c r="C279" t="s">
        <v>74</v>
      </c>
      <c r="D279" t="s">
        <v>74</v>
      </c>
      <c r="E279" t="s">
        <v>74</v>
      </c>
      <c r="F279" t="s">
        <v>5816</v>
      </c>
      <c r="G279" t="s">
        <v>74</v>
      </c>
      <c r="H279" t="s">
        <v>74</v>
      </c>
      <c r="I279" t="s">
        <v>5817</v>
      </c>
      <c r="J279" t="s">
        <v>5818</v>
      </c>
      <c r="K279" t="s">
        <v>74</v>
      </c>
      <c r="L279" t="s">
        <v>74</v>
      </c>
      <c r="M279" t="s">
        <v>78</v>
      </c>
      <c r="N279" t="s">
        <v>52</v>
      </c>
      <c r="O279" t="s">
        <v>5819</v>
      </c>
      <c r="P279" t="s">
        <v>5820</v>
      </c>
      <c r="Q279" t="s">
        <v>5821</v>
      </c>
      <c r="R279" t="s">
        <v>74</v>
      </c>
      <c r="S279" t="s">
        <v>74</v>
      </c>
      <c r="T279" t="s">
        <v>74</v>
      </c>
      <c r="U279" t="s">
        <v>74</v>
      </c>
      <c r="V279" t="s">
        <v>74</v>
      </c>
      <c r="W279" t="s">
        <v>5822</v>
      </c>
      <c r="X279" t="s">
        <v>5823</v>
      </c>
      <c r="Y279" t="s">
        <v>74</v>
      </c>
      <c r="Z279" t="s">
        <v>5824</v>
      </c>
      <c r="AA279" t="s">
        <v>5825</v>
      </c>
      <c r="AB279" t="s">
        <v>5826</v>
      </c>
      <c r="AC279" t="s">
        <v>74</v>
      </c>
      <c r="AD279" t="s">
        <v>74</v>
      </c>
      <c r="AE279" t="s">
        <v>74</v>
      </c>
      <c r="AF279" t="s">
        <v>74</v>
      </c>
      <c r="AG279">
        <v>5</v>
      </c>
      <c r="AH279">
        <v>0</v>
      </c>
      <c r="AI279">
        <v>0</v>
      </c>
      <c r="AJ279">
        <v>0</v>
      </c>
      <c r="AK279">
        <v>0</v>
      </c>
      <c r="AL279" t="s">
        <v>1140</v>
      </c>
      <c r="AM279" t="s">
        <v>1141</v>
      </c>
      <c r="AN279" t="s">
        <v>1142</v>
      </c>
      <c r="AO279" t="s">
        <v>5827</v>
      </c>
      <c r="AP279" t="s">
        <v>5828</v>
      </c>
      <c r="AQ279" t="s">
        <v>74</v>
      </c>
      <c r="AR279" t="s">
        <v>5829</v>
      </c>
      <c r="AS279" t="s">
        <v>5830</v>
      </c>
      <c r="AT279" t="s">
        <v>2930</v>
      </c>
      <c r="AU279">
        <v>2019</v>
      </c>
      <c r="AV279">
        <v>54</v>
      </c>
      <c r="AW279" t="s">
        <v>74</v>
      </c>
      <c r="AX279" t="s">
        <v>74</v>
      </c>
      <c r="AY279">
        <v>2</v>
      </c>
      <c r="AZ279" t="s">
        <v>74</v>
      </c>
      <c r="BA279" t="s">
        <v>74</v>
      </c>
      <c r="BB279" t="s">
        <v>74</v>
      </c>
      <c r="BC279" t="s">
        <v>74</v>
      </c>
      <c r="BD279" t="s">
        <v>74</v>
      </c>
      <c r="BE279" t="s">
        <v>74</v>
      </c>
      <c r="BF279" t="s">
        <v>74</v>
      </c>
      <c r="BG279" t="s">
        <v>74</v>
      </c>
      <c r="BH279" t="s">
        <v>74</v>
      </c>
      <c r="BI279">
        <v>1</v>
      </c>
      <c r="BJ279" t="s">
        <v>190</v>
      </c>
      <c r="BK279" t="s">
        <v>798</v>
      </c>
      <c r="BL279" t="s">
        <v>190</v>
      </c>
      <c r="BM279" t="s">
        <v>5831</v>
      </c>
      <c r="BN279" t="s">
        <v>74</v>
      </c>
      <c r="BO279" t="s">
        <v>74</v>
      </c>
      <c r="BP279" t="s">
        <v>74</v>
      </c>
      <c r="BQ279" t="s">
        <v>74</v>
      </c>
      <c r="BR279" t="s">
        <v>103</v>
      </c>
      <c r="BS279" t="s">
        <v>5832</v>
      </c>
      <c r="BT279" t="str">
        <f>HYPERLINK("https%3A%2F%2Fwww.webofscience.com%2Fwos%2Fwoscc%2Ffull-record%2FWOS:000472113600045","View Full Record in Web of Science")</f>
        <v>View Full Record in Web of Science</v>
      </c>
    </row>
    <row r="280" spans="1:72" x14ac:dyDescent="0.15">
      <c r="A280" t="s">
        <v>72</v>
      </c>
      <c r="B280" t="s">
        <v>5833</v>
      </c>
      <c r="C280" t="s">
        <v>74</v>
      </c>
      <c r="D280" t="s">
        <v>74</v>
      </c>
      <c r="E280" t="s">
        <v>74</v>
      </c>
      <c r="F280" t="s">
        <v>5834</v>
      </c>
      <c r="G280" t="s">
        <v>74</v>
      </c>
      <c r="H280" t="s">
        <v>74</v>
      </c>
      <c r="I280" t="s">
        <v>5835</v>
      </c>
      <c r="J280" t="s">
        <v>5818</v>
      </c>
      <c r="K280" t="s">
        <v>74</v>
      </c>
      <c r="L280" t="s">
        <v>74</v>
      </c>
      <c r="M280" t="s">
        <v>78</v>
      </c>
      <c r="N280" t="s">
        <v>52</v>
      </c>
      <c r="O280" t="s">
        <v>5819</v>
      </c>
      <c r="P280" t="s">
        <v>5820</v>
      </c>
      <c r="Q280" t="s">
        <v>5821</v>
      </c>
      <c r="R280" t="s">
        <v>74</v>
      </c>
      <c r="S280" t="s">
        <v>74</v>
      </c>
      <c r="T280" t="s">
        <v>74</v>
      </c>
      <c r="U280" t="s">
        <v>74</v>
      </c>
      <c r="V280" t="s">
        <v>74</v>
      </c>
      <c r="W280" t="s">
        <v>5836</v>
      </c>
      <c r="X280" t="s">
        <v>5837</v>
      </c>
      <c r="Y280" t="s">
        <v>74</v>
      </c>
      <c r="Z280" t="s">
        <v>5838</v>
      </c>
      <c r="AA280" t="s">
        <v>5839</v>
      </c>
      <c r="AB280" t="s">
        <v>5840</v>
      </c>
      <c r="AC280" t="s">
        <v>5841</v>
      </c>
      <c r="AD280" t="s">
        <v>5842</v>
      </c>
      <c r="AE280" t="s">
        <v>5843</v>
      </c>
      <c r="AF280" t="s">
        <v>74</v>
      </c>
      <c r="AG280">
        <v>11</v>
      </c>
      <c r="AH280">
        <v>0</v>
      </c>
      <c r="AI280">
        <v>0</v>
      </c>
      <c r="AJ280">
        <v>0</v>
      </c>
      <c r="AK280">
        <v>0</v>
      </c>
      <c r="AL280" t="s">
        <v>1140</v>
      </c>
      <c r="AM280" t="s">
        <v>1141</v>
      </c>
      <c r="AN280" t="s">
        <v>1142</v>
      </c>
      <c r="AO280" t="s">
        <v>5827</v>
      </c>
      <c r="AP280" t="s">
        <v>5828</v>
      </c>
      <c r="AQ280" t="s">
        <v>74</v>
      </c>
      <c r="AR280" t="s">
        <v>5829</v>
      </c>
      <c r="AS280" t="s">
        <v>5830</v>
      </c>
      <c r="AT280" t="s">
        <v>2930</v>
      </c>
      <c r="AU280">
        <v>2019</v>
      </c>
      <c r="AV280">
        <v>54</v>
      </c>
      <c r="AW280" t="s">
        <v>74</v>
      </c>
      <c r="AX280" t="s">
        <v>74</v>
      </c>
      <c r="AY280">
        <v>2</v>
      </c>
      <c r="AZ280" t="s">
        <v>74</v>
      </c>
      <c r="BA280" t="s">
        <v>74</v>
      </c>
      <c r="BB280" t="s">
        <v>74</v>
      </c>
      <c r="BC280" t="s">
        <v>74</v>
      </c>
      <c r="BD280" t="s">
        <v>74</v>
      </c>
      <c r="BE280" t="s">
        <v>74</v>
      </c>
      <c r="BF280" t="s">
        <v>74</v>
      </c>
      <c r="BG280" t="s">
        <v>74</v>
      </c>
      <c r="BH280" t="s">
        <v>74</v>
      </c>
      <c r="BI280">
        <v>1</v>
      </c>
      <c r="BJ280" t="s">
        <v>190</v>
      </c>
      <c r="BK280" t="s">
        <v>798</v>
      </c>
      <c r="BL280" t="s">
        <v>190</v>
      </c>
      <c r="BM280" t="s">
        <v>5831</v>
      </c>
      <c r="BN280" t="s">
        <v>74</v>
      </c>
      <c r="BO280" t="s">
        <v>74</v>
      </c>
      <c r="BP280" t="s">
        <v>74</v>
      </c>
      <c r="BQ280" t="s">
        <v>74</v>
      </c>
      <c r="BR280" t="s">
        <v>103</v>
      </c>
      <c r="BS280" t="s">
        <v>5844</v>
      </c>
      <c r="BT280" t="str">
        <f>HYPERLINK("https%3A%2F%2Fwww.webofscience.com%2Fwos%2Fwoscc%2Ffull-record%2FWOS:000472113600103","View Full Record in Web of Science")</f>
        <v>View Full Record in Web of Science</v>
      </c>
    </row>
    <row r="281" spans="1:72" x14ac:dyDescent="0.15">
      <c r="A281" t="s">
        <v>72</v>
      </c>
      <c r="B281" t="s">
        <v>5845</v>
      </c>
      <c r="C281" t="s">
        <v>74</v>
      </c>
      <c r="D281" t="s">
        <v>74</v>
      </c>
      <c r="E281" t="s">
        <v>74</v>
      </c>
      <c r="F281" t="s">
        <v>5846</v>
      </c>
      <c r="G281" t="s">
        <v>74</v>
      </c>
      <c r="H281" t="s">
        <v>74</v>
      </c>
      <c r="I281" t="s">
        <v>5847</v>
      </c>
      <c r="J281" t="s">
        <v>5818</v>
      </c>
      <c r="K281" t="s">
        <v>74</v>
      </c>
      <c r="L281" t="s">
        <v>74</v>
      </c>
      <c r="M281" t="s">
        <v>78</v>
      </c>
      <c r="N281" t="s">
        <v>52</v>
      </c>
      <c r="O281" t="s">
        <v>5819</v>
      </c>
      <c r="P281" t="s">
        <v>5820</v>
      </c>
      <c r="Q281" t="s">
        <v>5821</v>
      </c>
      <c r="R281" t="s">
        <v>74</v>
      </c>
      <c r="S281" t="s">
        <v>74</v>
      </c>
      <c r="T281" t="s">
        <v>74</v>
      </c>
      <c r="U281" t="s">
        <v>74</v>
      </c>
      <c r="V281" t="s">
        <v>74</v>
      </c>
      <c r="W281" t="s">
        <v>5848</v>
      </c>
      <c r="X281" t="s">
        <v>5849</v>
      </c>
      <c r="Y281" t="s">
        <v>74</v>
      </c>
      <c r="Z281" t="s">
        <v>5850</v>
      </c>
      <c r="AA281" t="s">
        <v>74</v>
      </c>
      <c r="AB281" t="s">
        <v>74</v>
      </c>
      <c r="AC281" t="s">
        <v>74</v>
      </c>
      <c r="AD281" t="s">
        <v>74</v>
      </c>
      <c r="AE281" t="s">
        <v>74</v>
      </c>
      <c r="AF281" t="s">
        <v>74</v>
      </c>
      <c r="AG281">
        <v>5</v>
      </c>
      <c r="AH281">
        <v>0</v>
      </c>
      <c r="AI281">
        <v>0</v>
      </c>
      <c r="AJ281">
        <v>0</v>
      </c>
      <c r="AK281">
        <v>0</v>
      </c>
      <c r="AL281" t="s">
        <v>1140</v>
      </c>
      <c r="AM281" t="s">
        <v>1141</v>
      </c>
      <c r="AN281" t="s">
        <v>1142</v>
      </c>
      <c r="AO281" t="s">
        <v>5827</v>
      </c>
      <c r="AP281" t="s">
        <v>5828</v>
      </c>
      <c r="AQ281" t="s">
        <v>74</v>
      </c>
      <c r="AR281" t="s">
        <v>5829</v>
      </c>
      <c r="AS281" t="s">
        <v>5830</v>
      </c>
      <c r="AT281" t="s">
        <v>2930</v>
      </c>
      <c r="AU281">
        <v>2019</v>
      </c>
      <c r="AV281">
        <v>54</v>
      </c>
      <c r="AW281" t="s">
        <v>74</v>
      </c>
      <c r="AX281" t="s">
        <v>74</v>
      </c>
      <c r="AY281">
        <v>2</v>
      </c>
      <c r="AZ281" t="s">
        <v>74</v>
      </c>
      <c r="BA281" t="s">
        <v>74</v>
      </c>
      <c r="BB281" t="s">
        <v>74</v>
      </c>
      <c r="BC281" t="s">
        <v>74</v>
      </c>
      <c r="BD281" t="s">
        <v>74</v>
      </c>
      <c r="BE281" t="s">
        <v>74</v>
      </c>
      <c r="BF281" t="s">
        <v>74</v>
      </c>
      <c r="BG281" t="s">
        <v>74</v>
      </c>
      <c r="BH281" t="s">
        <v>74</v>
      </c>
      <c r="BI281">
        <v>1</v>
      </c>
      <c r="BJ281" t="s">
        <v>190</v>
      </c>
      <c r="BK281" t="s">
        <v>798</v>
      </c>
      <c r="BL281" t="s">
        <v>190</v>
      </c>
      <c r="BM281" t="s">
        <v>5831</v>
      </c>
      <c r="BN281" t="s">
        <v>74</v>
      </c>
      <c r="BO281" t="s">
        <v>74</v>
      </c>
      <c r="BP281" t="s">
        <v>74</v>
      </c>
      <c r="BQ281" t="s">
        <v>74</v>
      </c>
      <c r="BR281" t="s">
        <v>103</v>
      </c>
      <c r="BS281" t="s">
        <v>5851</v>
      </c>
      <c r="BT281" t="str">
        <f>HYPERLINK("https%3A%2F%2Fwww.webofscience.com%2Fwos%2Fwoscc%2Ffull-record%2FWOS:000472113600167","View Full Record in Web of Science")</f>
        <v>View Full Record in Web of Science</v>
      </c>
    </row>
    <row r="282" spans="1:72" x14ac:dyDescent="0.15">
      <c r="A282" t="s">
        <v>72</v>
      </c>
      <c r="B282" t="s">
        <v>5852</v>
      </c>
      <c r="C282" t="s">
        <v>74</v>
      </c>
      <c r="D282" t="s">
        <v>74</v>
      </c>
      <c r="E282" t="s">
        <v>74</v>
      </c>
      <c r="F282" t="s">
        <v>5853</v>
      </c>
      <c r="G282" t="s">
        <v>74</v>
      </c>
      <c r="H282" t="s">
        <v>74</v>
      </c>
      <c r="I282" t="s">
        <v>5854</v>
      </c>
      <c r="J282" t="s">
        <v>5818</v>
      </c>
      <c r="K282" t="s">
        <v>74</v>
      </c>
      <c r="L282" t="s">
        <v>74</v>
      </c>
      <c r="M282" t="s">
        <v>78</v>
      </c>
      <c r="N282" t="s">
        <v>52</v>
      </c>
      <c r="O282" t="s">
        <v>5819</v>
      </c>
      <c r="P282" t="s">
        <v>5820</v>
      </c>
      <c r="Q282" t="s">
        <v>5821</v>
      </c>
      <c r="R282" t="s">
        <v>74</v>
      </c>
      <c r="S282" t="s">
        <v>74</v>
      </c>
      <c r="T282" t="s">
        <v>74</v>
      </c>
      <c r="U282" t="s">
        <v>5855</v>
      </c>
      <c r="V282" t="s">
        <v>74</v>
      </c>
      <c r="W282" t="s">
        <v>5856</v>
      </c>
      <c r="X282" t="s">
        <v>5857</v>
      </c>
      <c r="Y282" t="s">
        <v>74</v>
      </c>
      <c r="Z282" t="s">
        <v>5858</v>
      </c>
      <c r="AA282" t="s">
        <v>74</v>
      </c>
      <c r="AB282" t="s">
        <v>74</v>
      </c>
      <c r="AC282" t="s">
        <v>74</v>
      </c>
      <c r="AD282" t="s">
        <v>74</v>
      </c>
      <c r="AE282" t="s">
        <v>74</v>
      </c>
      <c r="AF282" t="s">
        <v>74</v>
      </c>
      <c r="AG282">
        <v>7</v>
      </c>
      <c r="AH282">
        <v>0</v>
      </c>
      <c r="AI282">
        <v>0</v>
      </c>
      <c r="AJ282">
        <v>0</v>
      </c>
      <c r="AK282">
        <v>2</v>
      </c>
      <c r="AL282" t="s">
        <v>1140</v>
      </c>
      <c r="AM282" t="s">
        <v>1141</v>
      </c>
      <c r="AN282" t="s">
        <v>1142</v>
      </c>
      <c r="AO282" t="s">
        <v>5827</v>
      </c>
      <c r="AP282" t="s">
        <v>5828</v>
      </c>
      <c r="AQ282" t="s">
        <v>74</v>
      </c>
      <c r="AR282" t="s">
        <v>5829</v>
      </c>
      <c r="AS282" t="s">
        <v>5830</v>
      </c>
      <c r="AT282" t="s">
        <v>2930</v>
      </c>
      <c r="AU282">
        <v>2019</v>
      </c>
      <c r="AV282">
        <v>54</v>
      </c>
      <c r="AW282" t="s">
        <v>74</v>
      </c>
      <c r="AX282" t="s">
        <v>74</v>
      </c>
      <c r="AY282">
        <v>2</v>
      </c>
      <c r="AZ282" t="s">
        <v>74</v>
      </c>
      <c r="BA282" t="s">
        <v>74</v>
      </c>
      <c r="BB282" t="s">
        <v>74</v>
      </c>
      <c r="BC282" t="s">
        <v>74</v>
      </c>
      <c r="BD282" t="s">
        <v>74</v>
      </c>
      <c r="BE282" t="s">
        <v>74</v>
      </c>
      <c r="BF282" t="s">
        <v>74</v>
      </c>
      <c r="BG282" t="s">
        <v>74</v>
      </c>
      <c r="BH282" t="s">
        <v>74</v>
      </c>
      <c r="BI282">
        <v>1</v>
      </c>
      <c r="BJ282" t="s">
        <v>190</v>
      </c>
      <c r="BK282" t="s">
        <v>798</v>
      </c>
      <c r="BL282" t="s">
        <v>190</v>
      </c>
      <c r="BM282" t="s">
        <v>5831</v>
      </c>
      <c r="BN282" t="s">
        <v>74</v>
      </c>
      <c r="BO282" t="s">
        <v>74</v>
      </c>
      <c r="BP282" t="s">
        <v>74</v>
      </c>
      <c r="BQ282" t="s">
        <v>74</v>
      </c>
      <c r="BR282" t="s">
        <v>103</v>
      </c>
      <c r="BS282" t="s">
        <v>5859</v>
      </c>
      <c r="BT282" t="str">
        <f>HYPERLINK("https%3A%2F%2Fwww.webofscience.com%2Fwos%2Fwoscc%2Ffull-record%2FWOS:000472113600202","View Full Record in Web of Science")</f>
        <v>View Full Record in Web of Science</v>
      </c>
    </row>
    <row r="283" spans="1:72" x14ac:dyDescent="0.15">
      <c r="A283" t="s">
        <v>72</v>
      </c>
      <c r="B283" t="s">
        <v>5860</v>
      </c>
      <c r="C283" t="s">
        <v>74</v>
      </c>
      <c r="D283" t="s">
        <v>74</v>
      </c>
      <c r="E283" t="s">
        <v>74</v>
      </c>
      <c r="F283" t="s">
        <v>5861</v>
      </c>
      <c r="G283" t="s">
        <v>74</v>
      </c>
      <c r="H283" t="s">
        <v>74</v>
      </c>
      <c r="I283" t="s">
        <v>5862</v>
      </c>
      <c r="J283" t="s">
        <v>5818</v>
      </c>
      <c r="K283" t="s">
        <v>74</v>
      </c>
      <c r="L283" t="s">
        <v>74</v>
      </c>
      <c r="M283" t="s">
        <v>78</v>
      </c>
      <c r="N283" t="s">
        <v>52</v>
      </c>
      <c r="O283" t="s">
        <v>5819</v>
      </c>
      <c r="P283" t="s">
        <v>5820</v>
      </c>
      <c r="Q283" t="s">
        <v>5821</v>
      </c>
      <c r="R283" t="s">
        <v>74</v>
      </c>
      <c r="S283" t="s">
        <v>74</v>
      </c>
      <c r="T283" t="s">
        <v>74</v>
      </c>
      <c r="U283" t="s">
        <v>5863</v>
      </c>
      <c r="V283" t="s">
        <v>74</v>
      </c>
      <c r="W283" t="s">
        <v>5864</v>
      </c>
      <c r="X283" t="s">
        <v>5865</v>
      </c>
      <c r="Y283" t="s">
        <v>74</v>
      </c>
      <c r="Z283" t="s">
        <v>5866</v>
      </c>
      <c r="AA283" t="s">
        <v>5867</v>
      </c>
      <c r="AB283" t="s">
        <v>5868</v>
      </c>
      <c r="AC283" t="s">
        <v>74</v>
      </c>
      <c r="AD283" t="s">
        <v>74</v>
      </c>
      <c r="AE283" t="s">
        <v>74</v>
      </c>
      <c r="AF283" t="s">
        <v>74</v>
      </c>
      <c r="AG283">
        <v>9</v>
      </c>
      <c r="AH283">
        <v>0</v>
      </c>
      <c r="AI283">
        <v>0</v>
      </c>
      <c r="AJ283">
        <v>0</v>
      </c>
      <c r="AK283">
        <v>0</v>
      </c>
      <c r="AL283" t="s">
        <v>1140</v>
      </c>
      <c r="AM283" t="s">
        <v>1141</v>
      </c>
      <c r="AN283" t="s">
        <v>1142</v>
      </c>
      <c r="AO283" t="s">
        <v>5827</v>
      </c>
      <c r="AP283" t="s">
        <v>5828</v>
      </c>
      <c r="AQ283" t="s">
        <v>74</v>
      </c>
      <c r="AR283" t="s">
        <v>5829</v>
      </c>
      <c r="AS283" t="s">
        <v>5830</v>
      </c>
      <c r="AT283" t="s">
        <v>2930</v>
      </c>
      <c r="AU283">
        <v>2019</v>
      </c>
      <c r="AV283">
        <v>54</v>
      </c>
      <c r="AW283" t="s">
        <v>74</v>
      </c>
      <c r="AX283" t="s">
        <v>74</v>
      </c>
      <c r="AY283">
        <v>2</v>
      </c>
      <c r="AZ283" t="s">
        <v>74</v>
      </c>
      <c r="BA283" t="s">
        <v>74</v>
      </c>
      <c r="BB283" t="s">
        <v>74</v>
      </c>
      <c r="BC283" t="s">
        <v>74</v>
      </c>
      <c r="BD283" t="s">
        <v>74</v>
      </c>
      <c r="BE283" t="s">
        <v>74</v>
      </c>
      <c r="BF283" t="s">
        <v>74</v>
      </c>
      <c r="BG283" t="s">
        <v>74</v>
      </c>
      <c r="BH283" t="s">
        <v>74</v>
      </c>
      <c r="BI283">
        <v>1</v>
      </c>
      <c r="BJ283" t="s">
        <v>190</v>
      </c>
      <c r="BK283" t="s">
        <v>798</v>
      </c>
      <c r="BL283" t="s">
        <v>190</v>
      </c>
      <c r="BM283" t="s">
        <v>5831</v>
      </c>
      <c r="BN283" t="s">
        <v>74</v>
      </c>
      <c r="BO283" t="s">
        <v>74</v>
      </c>
      <c r="BP283" t="s">
        <v>74</v>
      </c>
      <c r="BQ283" t="s">
        <v>74</v>
      </c>
      <c r="BR283" t="s">
        <v>103</v>
      </c>
      <c r="BS283" t="s">
        <v>5869</v>
      </c>
      <c r="BT283" t="str">
        <f>HYPERLINK("https%3A%2F%2Fwww.webofscience.com%2Fwos%2Fwoscc%2Ffull-record%2FWOS:000472113600264","View Full Record in Web of Science")</f>
        <v>View Full Record in Web of Science</v>
      </c>
    </row>
    <row r="284" spans="1:72" x14ac:dyDescent="0.15">
      <c r="A284" t="s">
        <v>72</v>
      </c>
      <c r="B284" t="s">
        <v>5870</v>
      </c>
      <c r="C284" t="s">
        <v>74</v>
      </c>
      <c r="D284" t="s">
        <v>74</v>
      </c>
      <c r="E284" t="s">
        <v>74</v>
      </c>
      <c r="F284" t="s">
        <v>5871</v>
      </c>
      <c r="G284" t="s">
        <v>74</v>
      </c>
      <c r="H284" t="s">
        <v>74</v>
      </c>
      <c r="I284" t="s">
        <v>5872</v>
      </c>
      <c r="J284" t="s">
        <v>5818</v>
      </c>
      <c r="K284" t="s">
        <v>74</v>
      </c>
      <c r="L284" t="s">
        <v>74</v>
      </c>
      <c r="M284" t="s">
        <v>78</v>
      </c>
      <c r="N284" t="s">
        <v>52</v>
      </c>
      <c r="O284" t="s">
        <v>5819</v>
      </c>
      <c r="P284" t="s">
        <v>5820</v>
      </c>
      <c r="Q284" t="s">
        <v>5821</v>
      </c>
      <c r="R284" t="s">
        <v>74</v>
      </c>
      <c r="S284" t="s">
        <v>74</v>
      </c>
      <c r="T284" t="s">
        <v>74</v>
      </c>
      <c r="U284" t="s">
        <v>5873</v>
      </c>
      <c r="V284" t="s">
        <v>74</v>
      </c>
      <c r="W284" t="s">
        <v>5874</v>
      </c>
      <c r="X284" t="s">
        <v>5875</v>
      </c>
      <c r="Y284" t="s">
        <v>74</v>
      </c>
      <c r="Z284" t="s">
        <v>74</v>
      </c>
      <c r="AA284" t="s">
        <v>5876</v>
      </c>
      <c r="AB284" t="s">
        <v>5877</v>
      </c>
      <c r="AC284" t="s">
        <v>74</v>
      </c>
      <c r="AD284" t="s">
        <v>74</v>
      </c>
      <c r="AE284" t="s">
        <v>74</v>
      </c>
      <c r="AF284" t="s">
        <v>74</v>
      </c>
      <c r="AG284">
        <v>13</v>
      </c>
      <c r="AH284">
        <v>0</v>
      </c>
      <c r="AI284">
        <v>0</v>
      </c>
      <c r="AJ284">
        <v>0</v>
      </c>
      <c r="AK284">
        <v>2</v>
      </c>
      <c r="AL284" t="s">
        <v>1140</v>
      </c>
      <c r="AM284" t="s">
        <v>1141</v>
      </c>
      <c r="AN284" t="s">
        <v>1142</v>
      </c>
      <c r="AO284" t="s">
        <v>5827</v>
      </c>
      <c r="AP284" t="s">
        <v>5828</v>
      </c>
      <c r="AQ284" t="s">
        <v>74</v>
      </c>
      <c r="AR284" t="s">
        <v>5829</v>
      </c>
      <c r="AS284" t="s">
        <v>5830</v>
      </c>
      <c r="AT284" t="s">
        <v>2930</v>
      </c>
      <c r="AU284">
        <v>2019</v>
      </c>
      <c r="AV284">
        <v>54</v>
      </c>
      <c r="AW284" t="s">
        <v>74</v>
      </c>
      <c r="AX284" t="s">
        <v>74</v>
      </c>
      <c r="AY284">
        <v>2</v>
      </c>
      <c r="AZ284" t="s">
        <v>74</v>
      </c>
      <c r="BA284" t="s">
        <v>74</v>
      </c>
      <c r="BB284" t="s">
        <v>74</v>
      </c>
      <c r="BC284" t="s">
        <v>74</v>
      </c>
      <c r="BD284" t="s">
        <v>74</v>
      </c>
      <c r="BE284" t="s">
        <v>74</v>
      </c>
      <c r="BF284" t="s">
        <v>74</v>
      </c>
      <c r="BG284" t="s">
        <v>74</v>
      </c>
      <c r="BH284" t="s">
        <v>74</v>
      </c>
      <c r="BI284">
        <v>1</v>
      </c>
      <c r="BJ284" t="s">
        <v>190</v>
      </c>
      <c r="BK284" t="s">
        <v>798</v>
      </c>
      <c r="BL284" t="s">
        <v>190</v>
      </c>
      <c r="BM284" t="s">
        <v>5831</v>
      </c>
      <c r="BN284" t="s">
        <v>74</v>
      </c>
      <c r="BO284" t="s">
        <v>74</v>
      </c>
      <c r="BP284" t="s">
        <v>74</v>
      </c>
      <c r="BQ284" t="s">
        <v>74</v>
      </c>
      <c r="BR284" t="s">
        <v>103</v>
      </c>
      <c r="BS284" t="s">
        <v>5878</v>
      </c>
      <c r="BT284" t="str">
        <f>HYPERLINK("https%3A%2F%2Fwww.webofscience.com%2Fwos%2Fwoscc%2Ffull-record%2FWOS:000472113600349","View Full Record in Web of Science")</f>
        <v>View Full Record in Web of Science</v>
      </c>
    </row>
    <row r="285" spans="1:72" x14ac:dyDescent="0.15">
      <c r="A285" t="s">
        <v>72</v>
      </c>
      <c r="B285" t="s">
        <v>5879</v>
      </c>
      <c r="C285" t="s">
        <v>74</v>
      </c>
      <c r="D285" t="s">
        <v>74</v>
      </c>
      <c r="E285" t="s">
        <v>74</v>
      </c>
      <c r="F285" t="s">
        <v>5880</v>
      </c>
      <c r="G285" t="s">
        <v>74</v>
      </c>
      <c r="H285" t="s">
        <v>74</v>
      </c>
      <c r="I285" t="s">
        <v>5881</v>
      </c>
      <c r="J285" t="s">
        <v>5818</v>
      </c>
      <c r="K285" t="s">
        <v>74</v>
      </c>
      <c r="L285" t="s">
        <v>74</v>
      </c>
      <c r="M285" t="s">
        <v>78</v>
      </c>
      <c r="N285" t="s">
        <v>52</v>
      </c>
      <c r="O285" t="s">
        <v>5819</v>
      </c>
      <c r="P285" t="s">
        <v>5820</v>
      </c>
      <c r="Q285" t="s">
        <v>5821</v>
      </c>
      <c r="R285" t="s">
        <v>74</v>
      </c>
      <c r="S285" t="s">
        <v>74</v>
      </c>
      <c r="T285" t="s">
        <v>74</v>
      </c>
      <c r="U285" t="s">
        <v>5882</v>
      </c>
      <c r="V285" t="s">
        <v>74</v>
      </c>
      <c r="W285" t="s">
        <v>5883</v>
      </c>
      <c r="X285" t="s">
        <v>5884</v>
      </c>
      <c r="Y285" t="s">
        <v>74</v>
      </c>
      <c r="Z285" t="s">
        <v>74</v>
      </c>
      <c r="AA285" t="s">
        <v>74</v>
      </c>
      <c r="AB285" t="s">
        <v>74</v>
      </c>
      <c r="AC285" t="s">
        <v>74</v>
      </c>
      <c r="AD285" t="s">
        <v>74</v>
      </c>
      <c r="AE285" t="s">
        <v>74</v>
      </c>
      <c r="AF285" t="s">
        <v>74</v>
      </c>
      <c r="AG285">
        <v>8</v>
      </c>
      <c r="AH285">
        <v>0</v>
      </c>
      <c r="AI285">
        <v>0</v>
      </c>
      <c r="AJ285">
        <v>0</v>
      </c>
      <c r="AK285">
        <v>0</v>
      </c>
      <c r="AL285" t="s">
        <v>1140</v>
      </c>
      <c r="AM285" t="s">
        <v>1141</v>
      </c>
      <c r="AN285" t="s">
        <v>1142</v>
      </c>
      <c r="AO285" t="s">
        <v>5827</v>
      </c>
      <c r="AP285" t="s">
        <v>5828</v>
      </c>
      <c r="AQ285" t="s">
        <v>74</v>
      </c>
      <c r="AR285" t="s">
        <v>5829</v>
      </c>
      <c r="AS285" t="s">
        <v>5830</v>
      </c>
      <c r="AT285" t="s">
        <v>2930</v>
      </c>
      <c r="AU285">
        <v>2019</v>
      </c>
      <c r="AV285">
        <v>54</v>
      </c>
      <c r="AW285" t="s">
        <v>74</v>
      </c>
      <c r="AX285" t="s">
        <v>74</v>
      </c>
      <c r="AY285">
        <v>2</v>
      </c>
      <c r="AZ285" t="s">
        <v>74</v>
      </c>
      <c r="BA285" t="s">
        <v>74</v>
      </c>
      <c r="BB285" t="s">
        <v>74</v>
      </c>
      <c r="BC285" t="s">
        <v>74</v>
      </c>
      <c r="BD285" t="s">
        <v>74</v>
      </c>
      <c r="BE285" t="s">
        <v>74</v>
      </c>
      <c r="BF285" t="s">
        <v>74</v>
      </c>
      <c r="BG285" t="s">
        <v>74</v>
      </c>
      <c r="BH285" t="s">
        <v>74</v>
      </c>
      <c r="BI285">
        <v>1</v>
      </c>
      <c r="BJ285" t="s">
        <v>190</v>
      </c>
      <c r="BK285" t="s">
        <v>798</v>
      </c>
      <c r="BL285" t="s">
        <v>190</v>
      </c>
      <c r="BM285" t="s">
        <v>5831</v>
      </c>
      <c r="BN285" t="s">
        <v>74</v>
      </c>
      <c r="BO285" t="s">
        <v>74</v>
      </c>
      <c r="BP285" t="s">
        <v>74</v>
      </c>
      <c r="BQ285" t="s">
        <v>74</v>
      </c>
      <c r="BR285" t="s">
        <v>103</v>
      </c>
      <c r="BS285" t="s">
        <v>5885</v>
      </c>
      <c r="BT285" t="str">
        <f>HYPERLINK("https%3A%2F%2Fwww.webofscience.com%2Fwos%2Fwoscc%2Ffull-record%2FWOS:000472113600376","View Full Record in Web of Science")</f>
        <v>View Full Record in Web of Science</v>
      </c>
    </row>
    <row r="286" spans="1:72" x14ac:dyDescent="0.15">
      <c r="A286" t="s">
        <v>72</v>
      </c>
      <c r="B286" t="s">
        <v>5886</v>
      </c>
      <c r="C286" t="s">
        <v>74</v>
      </c>
      <c r="D286" t="s">
        <v>74</v>
      </c>
      <c r="E286" t="s">
        <v>74</v>
      </c>
      <c r="F286" t="s">
        <v>5887</v>
      </c>
      <c r="G286" t="s">
        <v>74</v>
      </c>
      <c r="H286" t="s">
        <v>74</v>
      </c>
      <c r="I286" t="s">
        <v>5888</v>
      </c>
      <c r="J286" t="s">
        <v>5818</v>
      </c>
      <c r="K286" t="s">
        <v>74</v>
      </c>
      <c r="L286" t="s">
        <v>74</v>
      </c>
      <c r="M286" t="s">
        <v>78</v>
      </c>
      <c r="N286" t="s">
        <v>52</v>
      </c>
      <c r="O286" t="s">
        <v>5819</v>
      </c>
      <c r="P286" t="s">
        <v>5820</v>
      </c>
      <c r="Q286" t="s">
        <v>5821</v>
      </c>
      <c r="R286" t="s">
        <v>74</v>
      </c>
      <c r="S286" t="s">
        <v>74</v>
      </c>
      <c r="T286" t="s">
        <v>74</v>
      </c>
      <c r="U286" t="s">
        <v>74</v>
      </c>
      <c r="V286" t="s">
        <v>74</v>
      </c>
      <c r="W286" t="s">
        <v>5889</v>
      </c>
      <c r="X286" t="s">
        <v>5890</v>
      </c>
      <c r="Y286" t="s">
        <v>74</v>
      </c>
      <c r="Z286" t="s">
        <v>5891</v>
      </c>
      <c r="AA286" t="s">
        <v>74</v>
      </c>
      <c r="AB286" t="s">
        <v>74</v>
      </c>
      <c r="AC286" t="s">
        <v>5892</v>
      </c>
      <c r="AD286" t="s">
        <v>5893</v>
      </c>
      <c r="AE286" t="s">
        <v>5894</v>
      </c>
      <c r="AF286" t="s">
        <v>74</v>
      </c>
      <c r="AG286">
        <v>13</v>
      </c>
      <c r="AH286">
        <v>0</v>
      </c>
      <c r="AI286">
        <v>0</v>
      </c>
      <c r="AJ286">
        <v>0</v>
      </c>
      <c r="AK286">
        <v>0</v>
      </c>
      <c r="AL286" t="s">
        <v>1140</v>
      </c>
      <c r="AM286" t="s">
        <v>1141</v>
      </c>
      <c r="AN286" t="s">
        <v>1142</v>
      </c>
      <c r="AO286" t="s">
        <v>5827</v>
      </c>
      <c r="AP286" t="s">
        <v>5828</v>
      </c>
      <c r="AQ286" t="s">
        <v>74</v>
      </c>
      <c r="AR286" t="s">
        <v>5829</v>
      </c>
      <c r="AS286" t="s">
        <v>5830</v>
      </c>
      <c r="AT286" t="s">
        <v>2930</v>
      </c>
      <c r="AU286">
        <v>2019</v>
      </c>
      <c r="AV286">
        <v>54</v>
      </c>
      <c r="AW286" t="s">
        <v>74</v>
      </c>
      <c r="AX286" t="s">
        <v>74</v>
      </c>
      <c r="AY286">
        <v>2</v>
      </c>
      <c r="AZ286" t="s">
        <v>74</v>
      </c>
      <c r="BA286" t="s">
        <v>74</v>
      </c>
      <c r="BB286" t="s">
        <v>74</v>
      </c>
      <c r="BC286" t="s">
        <v>74</v>
      </c>
      <c r="BD286" t="s">
        <v>74</v>
      </c>
      <c r="BE286" t="s">
        <v>74</v>
      </c>
      <c r="BF286" t="s">
        <v>74</v>
      </c>
      <c r="BG286" t="s">
        <v>74</v>
      </c>
      <c r="BH286" t="s">
        <v>74</v>
      </c>
      <c r="BI286">
        <v>1</v>
      </c>
      <c r="BJ286" t="s">
        <v>190</v>
      </c>
      <c r="BK286" t="s">
        <v>798</v>
      </c>
      <c r="BL286" t="s">
        <v>190</v>
      </c>
      <c r="BM286" t="s">
        <v>5831</v>
      </c>
      <c r="BN286" t="s">
        <v>74</v>
      </c>
      <c r="BO286" t="s">
        <v>74</v>
      </c>
      <c r="BP286" t="s">
        <v>74</v>
      </c>
      <c r="BQ286" t="s">
        <v>74</v>
      </c>
      <c r="BR286" t="s">
        <v>103</v>
      </c>
      <c r="BS286" t="s">
        <v>5895</v>
      </c>
      <c r="BT286" t="str">
        <f>HYPERLINK("https%3A%2F%2Fwww.webofscience.com%2Fwos%2Fwoscc%2Ffull-record%2FWOS:000472113600478","View Full Record in Web of Science")</f>
        <v>View Full Record in Web of Science</v>
      </c>
    </row>
    <row r="287" spans="1:72" x14ac:dyDescent="0.15">
      <c r="A287" t="s">
        <v>72</v>
      </c>
      <c r="B287" t="s">
        <v>5896</v>
      </c>
      <c r="C287" t="s">
        <v>74</v>
      </c>
      <c r="D287" t="s">
        <v>74</v>
      </c>
      <c r="E287" t="s">
        <v>74</v>
      </c>
      <c r="F287" t="s">
        <v>5897</v>
      </c>
      <c r="G287" t="s">
        <v>74</v>
      </c>
      <c r="H287" t="s">
        <v>74</v>
      </c>
      <c r="I287" t="s">
        <v>5898</v>
      </c>
      <c r="J287" t="s">
        <v>5818</v>
      </c>
      <c r="K287" t="s">
        <v>74</v>
      </c>
      <c r="L287" t="s">
        <v>74</v>
      </c>
      <c r="M287" t="s">
        <v>78</v>
      </c>
      <c r="N287" t="s">
        <v>52</v>
      </c>
      <c r="O287" t="s">
        <v>5819</v>
      </c>
      <c r="P287" t="s">
        <v>5820</v>
      </c>
      <c r="Q287" t="s">
        <v>5821</v>
      </c>
      <c r="R287" t="s">
        <v>74</v>
      </c>
      <c r="S287" t="s">
        <v>74</v>
      </c>
      <c r="T287" t="s">
        <v>74</v>
      </c>
      <c r="U287" t="s">
        <v>74</v>
      </c>
      <c r="V287" t="s">
        <v>74</v>
      </c>
      <c r="W287" t="s">
        <v>5899</v>
      </c>
      <c r="X287" t="s">
        <v>5900</v>
      </c>
      <c r="Y287" t="s">
        <v>74</v>
      </c>
      <c r="Z287" t="s">
        <v>5901</v>
      </c>
      <c r="AA287" t="s">
        <v>5902</v>
      </c>
      <c r="AB287" t="s">
        <v>5903</v>
      </c>
      <c r="AC287" t="s">
        <v>5904</v>
      </c>
      <c r="AD287" t="s">
        <v>5904</v>
      </c>
      <c r="AE287" t="s">
        <v>5905</v>
      </c>
      <c r="AF287" t="s">
        <v>74</v>
      </c>
      <c r="AG287">
        <v>1</v>
      </c>
      <c r="AH287">
        <v>0</v>
      </c>
      <c r="AI287">
        <v>0</v>
      </c>
      <c r="AJ287">
        <v>0</v>
      </c>
      <c r="AK287">
        <v>0</v>
      </c>
      <c r="AL287" t="s">
        <v>1140</v>
      </c>
      <c r="AM287" t="s">
        <v>1141</v>
      </c>
      <c r="AN287" t="s">
        <v>1142</v>
      </c>
      <c r="AO287" t="s">
        <v>5827</v>
      </c>
      <c r="AP287" t="s">
        <v>5828</v>
      </c>
      <c r="AQ287" t="s">
        <v>74</v>
      </c>
      <c r="AR287" t="s">
        <v>5829</v>
      </c>
      <c r="AS287" t="s">
        <v>5830</v>
      </c>
      <c r="AT287" t="s">
        <v>2930</v>
      </c>
      <c r="AU287">
        <v>2019</v>
      </c>
      <c r="AV287">
        <v>54</v>
      </c>
      <c r="AW287" t="s">
        <v>74</v>
      </c>
      <c r="AX287" t="s">
        <v>74</v>
      </c>
      <c r="AY287">
        <v>2</v>
      </c>
      <c r="AZ287" t="s">
        <v>74</v>
      </c>
      <c r="BA287" t="s">
        <v>74</v>
      </c>
      <c r="BB287" t="s">
        <v>74</v>
      </c>
      <c r="BC287" t="s">
        <v>74</v>
      </c>
      <c r="BD287" t="s">
        <v>74</v>
      </c>
      <c r="BE287" t="s">
        <v>74</v>
      </c>
      <c r="BF287" t="s">
        <v>74</v>
      </c>
      <c r="BG287" t="s">
        <v>74</v>
      </c>
      <c r="BH287" t="s">
        <v>74</v>
      </c>
      <c r="BI287">
        <v>1</v>
      </c>
      <c r="BJ287" t="s">
        <v>190</v>
      </c>
      <c r="BK287" t="s">
        <v>798</v>
      </c>
      <c r="BL287" t="s">
        <v>190</v>
      </c>
      <c r="BM287" t="s">
        <v>5831</v>
      </c>
      <c r="BN287" t="s">
        <v>74</v>
      </c>
      <c r="BO287" t="s">
        <v>74</v>
      </c>
      <c r="BP287" t="s">
        <v>74</v>
      </c>
      <c r="BQ287" t="s">
        <v>74</v>
      </c>
      <c r="BR287" t="s">
        <v>103</v>
      </c>
      <c r="BS287" t="s">
        <v>5906</v>
      </c>
      <c r="BT287" t="str">
        <f>HYPERLINK("https%3A%2F%2Fwww.webofscience.com%2Fwos%2Fwoscc%2Ffull-record%2FWOS:000472113600493","View Full Record in Web of Science")</f>
        <v>View Full Record in Web of Science</v>
      </c>
    </row>
    <row r="288" spans="1:72" x14ac:dyDescent="0.15">
      <c r="A288" t="s">
        <v>72</v>
      </c>
      <c r="B288" t="s">
        <v>5907</v>
      </c>
      <c r="C288" t="s">
        <v>74</v>
      </c>
      <c r="D288" t="s">
        <v>74</v>
      </c>
      <c r="E288" t="s">
        <v>74</v>
      </c>
      <c r="F288" t="s">
        <v>5908</v>
      </c>
      <c r="G288" t="s">
        <v>74</v>
      </c>
      <c r="H288" t="s">
        <v>74</v>
      </c>
      <c r="I288" t="s">
        <v>5909</v>
      </c>
      <c r="J288" t="s">
        <v>5910</v>
      </c>
      <c r="K288" t="s">
        <v>74</v>
      </c>
      <c r="L288" t="s">
        <v>74</v>
      </c>
      <c r="M288" t="s">
        <v>78</v>
      </c>
      <c r="N288" t="s">
        <v>108</v>
      </c>
      <c r="O288" t="s">
        <v>74</v>
      </c>
      <c r="P288" t="s">
        <v>74</v>
      </c>
      <c r="Q288" t="s">
        <v>74</v>
      </c>
      <c r="R288" t="s">
        <v>74</v>
      </c>
      <c r="S288" t="s">
        <v>74</v>
      </c>
      <c r="T288" t="s">
        <v>5911</v>
      </c>
      <c r="U288" t="s">
        <v>5912</v>
      </c>
      <c r="V288" t="s">
        <v>5913</v>
      </c>
      <c r="W288" t="s">
        <v>5914</v>
      </c>
      <c r="X288" t="s">
        <v>5915</v>
      </c>
      <c r="Y288" t="s">
        <v>5916</v>
      </c>
      <c r="Z288" t="s">
        <v>5917</v>
      </c>
      <c r="AA288" t="s">
        <v>5918</v>
      </c>
      <c r="AB288" t="s">
        <v>5919</v>
      </c>
      <c r="AC288" t="s">
        <v>5920</v>
      </c>
      <c r="AD288" t="s">
        <v>5921</v>
      </c>
      <c r="AE288" t="s">
        <v>5922</v>
      </c>
      <c r="AF288" t="s">
        <v>74</v>
      </c>
      <c r="AG288">
        <v>135</v>
      </c>
      <c r="AH288">
        <v>8</v>
      </c>
      <c r="AI288">
        <v>9</v>
      </c>
      <c r="AJ288">
        <v>0</v>
      </c>
      <c r="AK288">
        <v>19</v>
      </c>
      <c r="AL288" t="s">
        <v>438</v>
      </c>
      <c r="AM288" t="s">
        <v>439</v>
      </c>
      <c r="AN288" t="s">
        <v>440</v>
      </c>
      <c r="AO288" t="s">
        <v>5923</v>
      </c>
      <c r="AP288" t="s">
        <v>5924</v>
      </c>
      <c r="AQ288" t="s">
        <v>74</v>
      </c>
      <c r="AR288" t="s">
        <v>5925</v>
      </c>
      <c r="AS288" t="s">
        <v>5926</v>
      </c>
      <c r="AT288" t="s">
        <v>2930</v>
      </c>
      <c r="AU288">
        <v>2019</v>
      </c>
      <c r="AV288">
        <v>103</v>
      </c>
      <c r="AW288" t="s">
        <v>74</v>
      </c>
      <c r="AX288" t="s">
        <v>74</v>
      </c>
      <c r="AY288" t="s">
        <v>74</v>
      </c>
      <c r="AZ288" t="s">
        <v>74</v>
      </c>
      <c r="BA288" t="s">
        <v>74</v>
      </c>
      <c r="BB288">
        <v>248</v>
      </c>
      <c r="BC288">
        <v>259</v>
      </c>
      <c r="BD288" t="s">
        <v>74</v>
      </c>
      <c r="BE288" t="s">
        <v>5927</v>
      </c>
      <c r="BF288" t="str">
        <f>HYPERLINK("http://dx.doi.org/10.1016/j.ecolind.2019.04.016","http://dx.doi.org/10.1016/j.ecolind.2019.04.016")</f>
        <v>http://dx.doi.org/10.1016/j.ecolind.2019.04.016</v>
      </c>
      <c r="BG288" t="s">
        <v>74</v>
      </c>
      <c r="BH288" t="s">
        <v>74</v>
      </c>
      <c r="BI288">
        <v>12</v>
      </c>
      <c r="BJ288" t="s">
        <v>5928</v>
      </c>
      <c r="BK288" t="s">
        <v>101</v>
      </c>
      <c r="BL288" t="s">
        <v>1646</v>
      </c>
      <c r="BM288" t="s">
        <v>5929</v>
      </c>
      <c r="BN288" t="s">
        <v>74</v>
      </c>
      <c r="BO288" t="s">
        <v>74</v>
      </c>
      <c r="BP288" t="s">
        <v>74</v>
      </c>
      <c r="BQ288" t="s">
        <v>74</v>
      </c>
      <c r="BR288" t="s">
        <v>103</v>
      </c>
      <c r="BS288" t="s">
        <v>5930</v>
      </c>
      <c r="BT288" t="str">
        <f>HYPERLINK("https%3A%2F%2Fwww.webofscience.com%2Fwos%2Fwoscc%2Ffull-record%2FWOS:000470965300023","View Full Record in Web of Science")</f>
        <v>View Full Record in Web of Science</v>
      </c>
    </row>
    <row r="289" spans="1:72" x14ac:dyDescent="0.15">
      <c r="A289" t="s">
        <v>72</v>
      </c>
      <c r="B289" t="s">
        <v>5931</v>
      </c>
      <c r="C289" t="s">
        <v>74</v>
      </c>
      <c r="D289" t="s">
        <v>74</v>
      </c>
      <c r="E289" t="s">
        <v>74</v>
      </c>
      <c r="F289" t="s">
        <v>5932</v>
      </c>
      <c r="G289" t="s">
        <v>74</v>
      </c>
      <c r="H289" t="s">
        <v>74</v>
      </c>
      <c r="I289" t="s">
        <v>5933</v>
      </c>
      <c r="J289" t="s">
        <v>5934</v>
      </c>
      <c r="K289" t="s">
        <v>74</v>
      </c>
      <c r="L289" t="s">
        <v>74</v>
      </c>
      <c r="M289" t="s">
        <v>78</v>
      </c>
      <c r="N289" t="s">
        <v>108</v>
      </c>
      <c r="O289" t="s">
        <v>74</v>
      </c>
      <c r="P289" t="s">
        <v>74</v>
      </c>
      <c r="Q289" t="s">
        <v>74</v>
      </c>
      <c r="R289" t="s">
        <v>74</v>
      </c>
      <c r="S289" t="s">
        <v>74</v>
      </c>
      <c r="T289" t="s">
        <v>74</v>
      </c>
      <c r="U289" t="s">
        <v>5935</v>
      </c>
      <c r="V289" t="s">
        <v>5936</v>
      </c>
      <c r="W289" t="s">
        <v>5937</v>
      </c>
      <c r="X289" t="s">
        <v>5938</v>
      </c>
      <c r="Y289" t="s">
        <v>5939</v>
      </c>
      <c r="Z289" t="s">
        <v>5940</v>
      </c>
      <c r="AA289" t="s">
        <v>5941</v>
      </c>
      <c r="AB289" t="s">
        <v>5942</v>
      </c>
      <c r="AC289" t="s">
        <v>5943</v>
      </c>
      <c r="AD289" t="s">
        <v>5944</v>
      </c>
      <c r="AE289" t="s">
        <v>5945</v>
      </c>
      <c r="AF289" t="s">
        <v>74</v>
      </c>
      <c r="AG289">
        <v>32</v>
      </c>
      <c r="AH289">
        <v>12</v>
      </c>
      <c r="AI289">
        <v>12</v>
      </c>
      <c r="AJ289">
        <v>1</v>
      </c>
      <c r="AK289">
        <v>26</v>
      </c>
      <c r="AL289" t="s">
        <v>5946</v>
      </c>
      <c r="AM289" t="s">
        <v>5947</v>
      </c>
      <c r="AN289" t="s">
        <v>5948</v>
      </c>
      <c r="AO289" t="s">
        <v>5949</v>
      </c>
      <c r="AP289" t="s">
        <v>5950</v>
      </c>
      <c r="AQ289" t="s">
        <v>74</v>
      </c>
      <c r="AR289" t="s">
        <v>5951</v>
      </c>
      <c r="AS289" t="s">
        <v>5952</v>
      </c>
      <c r="AT289" t="s">
        <v>2930</v>
      </c>
      <c r="AU289">
        <v>2019</v>
      </c>
      <c r="AV289">
        <v>128</v>
      </c>
      <c r="AW289">
        <v>6</v>
      </c>
      <c r="AX289" t="s">
        <v>74</v>
      </c>
      <c r="AY289" t="s">
        <v>74</v>
      </c>
      <c r="AZ289" t="s">
        <v>74</v>
      </c>
      <c r="BA289" t="s">
        <v>74</v>
      </c>
      <c r="BB289" t="s">
        <v>74</v>
      </c>
      <c r="BC289" t="s">
        <v>74</v>
      </c>
      <c r="BD289">
        <v>145</v>
      </c>
      <c r="BE289" t="s">
        <v>5953</v>
      </c>
      <c r="BF289" t="str">
        <f>HYPERLINK("http://dx.doi.org/10.1007/s12040-019-1184-8","http://dx.doi.org/10.1007/s12040-019-1184-8")</f>
        <v>http://dx.doi.org/10.1007/s12040-019-1184-8</v>
      </c>
      <c r="BG289" t="s">
        <v>74</v>
      </c>
      <c r="BH289" t="s">
        <v>74</v>
      </c>
      <c r="BI289">
        <v>11</v>
      </c>
      <c r="BJ289" t="s">
        <v>5954</v>
      </c>
      <c r="BK289" t="s">
        <v>101</v>
      </c>
      <c r="BL289" t="s">
        <v>5955</v>
      </c>
      <c r="BM289" t="s">
        <v>5956</v>
      </c>
      <c r="BN289" t="s">
        <v>74</v>
      </c>
      <c r="BO289" t="s">
        <v>1308</v>
      </c>
      <c r="BP289" t="s">
        <v>74</v>
      </c>
      <c r="BQ289" t="s">
        <v>74</v>
      </c>
      <c r="BR289" t="s">
        <v>103</v>
      </c>
      <c r="BS289" t="s">
        <v>5957</v>
      </c>
      <c r="BT289" t="str">
        <f>HYPERLINK("https%3A%2F%2Fwww.webofscience.com%2Fwos%2Fwoscc%2Ffull-record%2FWOS:000470678400005","View Full Record in Web of Science")</f>
        <v>View Full Record in Web of Science</v>
      </c>
    </row>
    <row r="290" spans="1:72" x14ac:dyDescent="0.15">
      <c r="A290" t="s">
        <v>72</v>
      </c>
      <c r="B290" t="s">
        <v>5958</v>
      </c>
      <c r="C290" t="s">
        <v>74</v>
      </c>
      <c r="D290" t="s">
        <v>74</v>
      </c>
      <c r="E290" t="s">
        <v>74</v>
      </c>
      <c r="F290" t="s">
        <v>5959</v>
      </c>
      <c r="G290" t="s">
        <v>74</v>
      </c>
      <c r="H290" t="s">
        <v>74</v>
      </c>
      <c r="I290" t="s">
        <v>5960</v>
      </c>
      <c r="J290" t="s">
        <v>5961</v>
      </c>
      <c r="K290" t="s">
        <v>74</v>
      </c>
      <c r="L290" t="s">
        <v>74</v>
      </c>
      <c r="M290" t="s">
        <v>78</v>
      </c>
      <c r="N290" t="s">
        <v>108</v>
      </c>
      <c r="O290" t="s">
        <v>74</v>
      </c>
      <c r="P290" t="s">
        <v>74</v>
      </c>
      <c r="Q290" t="s">
        <v>74</v>
      </c>
      <c r="R290" t="s">
        <v>74</v>
      </c>
      <c r="S290" t="s">
        <v>74</v>
      </c>
      <c r="T290" t="s">
        <v>5962</v>
      </c>
      <c r="U290" t="s">
        <v>5963</v>
      </c>
      <c r="V290" t="s">
        <v>5964</v>
      </c>
      <c r="W290" t="s">
        <v>5965</v>
      </c>
      <c r="X290" t="s">
        <v>5966</v>
      </c>
      <c r="Y290" t="s">
        <v>5967</v>
      </c>
      <c r="Z290" t="s">
        <v>5968</v>
      </c>
      <c r="AA290" t="s">
        <v>5969</v>
      </c>
      <c r="AB290" t="s">
        <v>5970</v>
      </c>
      <c r="AC290" t="s">
        <v>5971</v>
      </c>
      <c r="AD290" t="s">
        <v>5972</v>
      </c>
      <c r="AE290" t="s">
        <v>5973</v>
      </c>
      <c r="AF290" t="s">
        <v>74</v>
      </c>
      <c r="AG290">
        <v>68</v>
      </c>
      <c r="AH290">
        <v>25</v>
      </c>
      <c r="AI290">
        <v>28</v>
      </c>
      <c r="AJ290">
        <v>0</v>
      </c>
      <c r="AK290">
        <v>21</v>
      </c>
      <c r="AL290" t="s">
        <v>438</v>
      </c>
      <c r="AM290" t="s">
        <v>439</v>
      </c>
      <c r="AN290" t="s">
        <v>440</v>
      </c>
      <c r="AO290" t="s">
        <v>5974</v>
      </c>
      <c r="AP290" t="s">
        <v>5975</v>
      </c>
      <c r="AQ290" t="s">
        <v>74</v>
      </c>
      <c r="AR290" t="s">
        <v>5961</v>
      </c>
      <c r="AS290" t="s">
        <v>5976</v>
      </c>
      <c r="AT290" t="s">
        <v>3993</v>
      </c>
      <c r="AU290">
        <v>2019</v>
      </c>
      <c r="AV290">
        <v>347</v>
      </c>
      <c r="AW290" t="s">
        <v>74</v>
      </c>
      <c r="AX290" t="s">
        <v>74</v>
      </c>
      <c r="AY290" t="s">
        <v>74</v>
      </c>
      <c r="AZ290" t="s">
        <v>74</v>
      </c>
      <c r="BA290" t="s">
        <v>74</v>
      </c>
      <c r="BB290">
        <v>13</v>
      </c>
      <c r="BC290">
        <v>24</v>
      </c>
      <c r="BD290" t="s">
        <v>74</v>
      </c>
      <c r="BE290" t="s">
        <v>5977</v>
      </c>
      <c r="BF290" t="str">
        <f>HYPERLINK("http://dx.doi.org/10.1016/j.geoderma.2019.03.024","http://dx.doi.org/10.1016/j.geoderma.2019.03.024")</f>
        <v>http://dx.doi.org/10.1016/j.geoderma.2019.03.024</v>
      </c>
      <c r="BG290" t="s">
        <v>74</v>
      </c>
      <c r="BH290" t="s">
        <v>74</v>
      </c>
      <c r="BI290">
        <v>12</v>
      </c>
      <c r="BJ290" t="s">
        <v>5978</v>
      </c>
      <c r="BK290" t="s">
        <v>101</v>
      </c>
      <c r="BL290" t="s">
        <v>5979</v>
      </c>
      <c r="BM290" t="s">
        <v>5980</v>
      </c>
      <c r="BN290" t="s">
        <v>74</v>
      </c>
      <c r="BO290" t="s">
        <v>74</v>
      </c>
      <c r="BP290" t="s">
        <v>74</v>
      </c>
      <c r="BQ290" t="s">
        <v>74</v>
      </c>
      <c r="BR290" t="s">
        <v>103</v>
      </c>
      <c r="BS290" t="s">
        <v>5981</v>
      </c>
      <c r="BT290" t="str">
        <f>HYPERLINK("https%3A%2F%2Fwww.webofscience.com%2Fwos%2Fwoscc%2Ffull-record%2FWOS:000468715000002","View Full Record in Web of Science")</f>
        <v>View Full Record in Web of Science</v>
      </c>
    </row>
    <row r="291" spans="1:72" x14ac:dyDescent="0.15">
      <c r="A291" t="s">
        <v>72</v>
      </c>
      <c r="B291" t="s">
        <v>5982</v>
      </c>
      <c r="C291" t="s">
        <v>74</v>
      </c>
      <c r="D291" t="s">
        <v>74</v>
      </c>
      <c r="E291" t="s">
        <v>74</v>
      </c>
      <c r="F291" t="s">
        <v>5983</v>
      </c>
      <c r="G291" t="s">
        <v>74</v>
      </c>
      <c r="H291" t="s">
        <v>74</v>
      </c>
      <c r="I291" t="s">
        <v>5984</v>
      </c>
      <c r="J291" t="s">
        <v>805</v>
      </c>
      <c r="K291" t="s">
        <v>74</v>
      </c>
      <c r="L291" t="s">
        <v>74</v>
      </c>
      <c r="M291" t="s">
        <v>78</v>
      </c>
      <c r="N291" t="s">
        <v>108</v>
      </c>
      <c r="O291" t="s">
        <v>74</v>
      </c>
      <c r="P291" t="s">
        <v>74</v>
      </c>
      <c r="Q291" t="s">
        <v>74</v>
      </c>
      <c r="R291" t="s">
        <v>74</v>
      </c>
      <c r="S291" t="s">
        <v>74</v>
      </c>
      <c r="T291" t="s">
        <v>5985</v>
      </c>
      <c r="U291" t="s">
        <v>5986</v>
      </c>
      <c r="V291" t="s">
        <v>5987</v>
      </c>
      <c r="W291" t="s">
        <v>5988</v>
      </c>
      <c r="X291" t="s">
        <v>5989</v>
      </c>
      <c r="Y291" t="s">
        <v>5990</v>
      </c>
      <c r="Z291" t="s">
        <v>5991</v>
      </c>
      <c r="AA291" t="s">
        <v>5992</v>
      </c>
      <c r="AB291" t="s">
        <v>5993</v>
      </c>
      <c r="AC291" t="s">
        <v>5994</v>
      </c>
      <c r="AD291" t="s">
        <v>5995</v>
      </c>
      <c r="AE291" t="s">
        <v>5996</v>
      </c>
      <c r="AF291" t="s">
        <v>74</v>
      </c>
      <c r="AG291">
        <v>46</v>
      </c>
      <c r="AH291">
        <v>60</v>
      </c>
      <c r="AI291">
        <v>63</v>
      </c>
      <c r="AJ291">
        <v>11</v>
      </c>
      <c r="AK291">
        <v>147</v>
      </c>
      <c r="AL291" t="s">
        <v>438</v>
      </c>
      <c r="AM291" t="s">
        <v>439</v>
      </c>
      <c r="AN291" t="s">
        <v>440</v>
      </c>
      <c r="AO291" t="s">
        <v>818</v>
      </c>
      <c r="AP291" t="s">
        <v>819</v>
      </c>
      <c r="AQ291" t="s">
        <v>74</v>
      </c>
      <c r="AR291" t="s">
        <v>820</v>
      </c>
      <c r="AS291" t="s">
        <v>821</v>
      </c>
      <c r="AT291" t="s">
        <v>3993</v>
      </c>
      <c r="AU291">
        <v>2019</v>
      </c>
      <c r="AV291">
        <v>676</v>
      </c>
      <c r="AW291" t="s">
        <v>74</v>
      </c>
      <c r="AX291" t="s">
        <v>74</v>
      </c>
      <c r="AY291" t="s">
        <v>74</v>
      </c>
      <c r="AZ291" t="s">
        <v>74</v>
      </c>
      <c r="BA291" t="s">
        <v>74</v>
      </c>
      <c r="BB291">
        <v>535</v>
      </c>
      <c r="BC291">
        <v>544</v>
      </c>
      <c r="BD291" t="s">
        <v>74</v>
      </c>
      <c r="BE291" t="s">
        <v>5997</v>
      </c>
      <c r="BF291" t="str">
        <f>HYPERLINK("http://dx.doi.org/10.1016/j.scitotenv.2019.04.299","http://dx.doi.org/10.1016/j.scitotenv.2019.04.299")</f>
        <v>http://dx.doi.org/10.1016/j.scitotenv.2019.04.299</v>
      </c>
      <c r="BG291" t="s">
        <v>74</v>
      </c>
      <c r="BH291" t="s">
        <v>74</v>
      </c>
      <c r="BI291">
        <v>10</v>
      </c>
      <c r="BJ291" t="s">
        <v>797</v>
      </c>
      <c r="BK291" t="s">
        <v>101</v>
      </c>
      <c r="BL291" t="s">
        <v>799</v>
      </c>
      <c r="BM291" t="s">
        <v>5998</v>
      </c>
      <c r="BN291">
        <v>31051362</v>
      </c>
      <c r="BO291" t="s">
        <v>74</v>
      </c>
      <c r="BP291" t="s">
        <v>74</v>
      </c>
      <c r="BQ291" t="s">
        <v>74</v>
      </c>
      <c r="BR291" t="s">
        <v>103</v>
      </c>
      <c r="BS291" t="s">
        <v>5999</v>
      </c>
      <c r="BT291" t="str">
        <f>HYPERLINK("https%3A%2F%2Fwww.webofscience.com%2Fwos%2Fwoscc%2Ffull-record%2FWOS:000468188300051","View Full Record in Web of Science")</f>
        <v>View Full Record in Web of Science</v>
      </c>
    </row>
    <row r="292" spans="1:72" x14ac:dyDescent="0.15">
      <c r="A292" t="s">
        <v>72</v>
      </c>
      <c r="B292" t="s">
        <v>6000</v>
      </c>
      <c r="C292" t="s">
        <v>74</v>
      </c>
      <c r="D292" t="s">
        <v>74</v>
      </c>
      <c r="E292" t="s">
        <v>74</v>
      </c>
      <c r="F292" t="s">
        <v>6001</v>
      </c>
      <c r="G292" t="s">
        <v>74</v>
      </c>
      <c r="H292" t="s">
        <v>74</v>
      </c>
      <c r="I292" t="s">
        <v>6002</v>
      </c>
      <c r="J292" t="s">
        <v>6003</v>
      </c>
      <c r="K292" t="s">
        <v>74</v>
      </c>
      <c r="L292" t="s">
        <v>74</v>
      </c>
      <c r="M292" t="s">
        <v>78</v>
      </c>
      <c r="N292" t="s">
        <v>108</v>
      </c>
      <c r="O292" t="s">
        <v>74</v>
      </c>
      <c r="P292" t="s">
        <v>74</v>
      </c>
      <c r="Q292" t="s">
        <v>74</v>
      </c>
      <c r="R292" t="s">
        <v>74</v>
      </c>
      <c r="S292" t="s">
        <v>74</v>
      </c>
      <c r="T292" t="s">
        <v>6004</v>
      </c>
      <c r="U292" t="s">
        <v>6005</v>
      </c>
      <c r="V292" t="s">
        <v>6006</v>
      </c>
      <c r="W292" t="s">
        <v>6007</v>
      </c>
      <c r="X292" t="s">
        <v>6008</v>
      </c>
      <c r="Y292" t="s">
        <v>6009</v>
      </c>
      <c r="Z292" t="s">
        <v>6010</v>
      </c>
      <c r="AA292" t="s">
        <v>74</v>
      </c>
      <c r="AB292" t="s">
        <v>6011</v>
      </c>
      <c r="AC292" t="s">
        <v>74</v>
      </c>
      <c r="AD292" t="s">
        <v>74</v>
      </c>
      <c r="AE292" t="s">
        <v>74</v>
      </c>
      <c r="AF292" t="s">
        <v>74</v>
      </c>
      <c r="AG292">
        <v>26</v>
      </c>
      <c r="AH292">
        <v>20</v>
      </c>
      <c r="AI292">
        <v>20</v>
      </c>
      <c r="AJ292">
        <v>2</v>
      </c>
      <c r="AK292">
        <v>11</v>
      </c>
      <c r="AL292" t="s">
        <v>6012</v>
      </c>
      <c r="AM292" t="s">
        <v>6013</v>
      </c>
      <c r="AN292" t="s">
        <v>6014</v>
      </c>
      <c r="AO292" t="s">
        <v>6015</v>
      </c>
      <c r="AP292" t="s">
        <v>6016</v>
      </c>
      <c r="AQ292" t="s">
        <v>74</v>
      </c>
      <c r="AR292" t="s">
        <v>6017</v>
      </c>
      <c r="AS292" t="s">
        <v>6018</v>
      </c>
      <c r="AT292" t="s">
        <v>2930</v>
      </c>
      <c r="AU292">
        <v>2019</v>
      </c>
      <c r="AV292">
        <v>39</v>
      </c>
      <c r="AW292">
        <v>8</v>
      </c>
      <c r="AX292" t="s">
        <v>74</v>
      </c>
      <c r="AY292" t="s">
        <v>74</v>
      </c>
      <c r="AZ292" t="s">
        <v>74</v>
      </c>
      <c r="BA292" t="s">
        <v>74</v>
      </c>
      <c r="BB292">
        <v>4415</v>
      </c>
      <c r="BC292">
        <v>4427</v>
      </c>
      <c r="BD292" t="s">
        <v>74</v>
      </c>
      <c r="BE292" t="s">
        <v>6019</v>
      </c>
      <c r="BF292" t="str">
        <f>HYPERLINK("http://dx.doi.org/10.3934/dcds.2019179","http://dx.doi.org/10.3934/dcds.2019179")</f>
        <v>http://dx.doi.org/10.3934/dcds.2019179</v>
      </c>
      <c r="BG292" t="s">
        <v>74</v>
      </c>
      <c r="BH292" t="s">
        <v>74</v>
      </c>
      <c r="BI292">
        <v>13</v>
      </c>
      <c r="BJ292" t="s">
        <v>6020</v>
      </c>
      <c r="BK292" t="s">
        <v>101</v>
      </c>
      <c r="BL292" t="s">
        <v>6021</v>
      </c>
      <c r="BM292" t="s">
        <v>6022</v>
      </c>
      <c r="BN292" t="s">
        <v>74</v>
      </c>
      <c r="BO292" t="s">
        <v>366</v>
      </c>
      <c r="BP292" t="s">
        <v>74</v>
      </c>
      <c r="BQ292" t="s">
        <v>74</v>
      </c>
      <c r="BR292" t="s">
        <v>103</v>
      </c>
      <c r="BS292" t="s">
        <v>6023</v>
      </c>
      <c r="BT292" t="str">
        <f>HYPERLINK("https%3A%2F%2Fwww.webofscience.com%2Fwos%2Fwoscc%2Ffull-record%2FWOS:000467538100005","View Full Record in Web of Science")</f>
        <v>View Full Record in Web of Science</v>
      </c>
    </row>
    <row r="293" spans="1:72" x14ac:dyDescent="0.15">
      <c r="A293" t="s">
        <v>72</v>
      </c>
      <c r="B293" t="s">
        <v>6024</v>
      </c>
      <c r="C293" t="s">
        <v>74</v>
      </c>
      <c r="D293" t="s">
        <v>74</v>
      </c>
      <c r="E293" t="s">
        <v>74</v>
      </c>
      <c r="F293" t="s">
        <v>6025</v>
      </c>
      <c r="G293" t="s">
        <v>74</v>
      </c>
      <c r="H293" t="s">
        <v>74</v>
      </c>
      <c r="I293" t="s">
        <v>6026</v>
      </c>
      <c r="J293" t="s">
        <v>6003</v>
      </c>
      <c r="K293" t="s">
        <v>74</v>
      </c>
      <c r="L293" t="s">
        <v>74</v>
      </c>
      <c r="M293" t="s">
        <v>78</v>
      </c>
      <c r="N293" t="s">
        <v>108</v>
      </c>
      <c r="O293" t="s">
        <v>74</v>
      </c>
      <c r="P293" t="s">
        <v>74</v>
      </c>
      <c r="Q293" t="s">
        <v>74</v>
      </c>
      <c r="R293" t="s">
        <v>74</v>
      </c>
      <c r="S293" t="s">
        <v>74</v>
      </c>
      <c r="T293" t="s">
        <v>6027</v>
      </c>
      <c r="U293" t="s">
        <v>6028</v>
      </c>
      <c r="V293" t="s">
        <v>6029</v>
      </c>
      <c r="W293" t="s">
        <v>6030</v>
      </c>
      <c r="X293" t="s">
        <v>6008</v>
      </c>
      <c r="Y293" t="s">
        <v>6031</v>
      </c>
      <c r="Z293" t="s">
        <v>6032</v>
      </c>
      <c r="AA293" t="s">
        <v>74</v>
      </c>
      <c r="AB293" t="s">
        <v>6033</v>
      </c>
      <c r="AC293" t="s">
        <v>6034</v>
      </c>
      <c r="AD293" t="s">
        <v>6035</v>
      </c>
      <c r="AE293" t="s">
        <v>6036</v>
      </c>
      <c r="AF293" t="s">
        <v>74</v>
      </c>
      <c r="AG293">
        <v>19</v>
      </c>
      <c r="AH293">
        <v>7</v>
      </c>
      <c r="AI293">
        <v>7</v>
      </c>
      <c r="AJ293">
        <v>1</v>
      </c>
      <c r="AK293">
        <v>1</v>
      </c>
      <c r="AL293" t="s">
        <v>6012</v>
      </c>
      <c r="AM293" t="s">
        <v>6013</v>
      </c>
      <c r="AN293" t="s">
        <v>6037</v>
      </c>
      <c r="AO293" t="s">
        <v>6015</v>
      </c>
      <c r="AP293" t="s">
        <v>6016</v>
      </c>
      <c r="AQ293" t="s">
        <v>74</v>
      </c>
      <c r="AR293" t="s">
        <v>6017</v>
      </c>
      <c r="AS293" t="s">
        <v>6018</v>
      </c>
      <c r="AT293" t="s">
        <v>2930</v>
      </c>
      <c r="AU293">
        <v>2019</v>
      </c>
      <c r="AV293">
        <v>39</v>
      </c>
      <c r="AW293">
        <v>8</v>
      </c>
      <c r="AX293" t="s">
        <v>74</v>
      </c>
      <c r="AY293" t="s">
        <v>74</v>
      </c>
      <c r="AZ293" t="s">
        <v>74</v>
      </c>
      <c r="BA293" t="s">
        <v>74</v>
      </c>
      <c r="BB293">
        <v>4771</v>
      </c>
      <c r="BC293">
        <v>4781</v>
      </c>
      <c r="BD293" t="s">
        <v>74</v>
      </c>
      <c r="BE293" t="s">
        <v>6038</v>
      </c>
      <c r="BF293" t="str">
        <f>HYPERLINK("http://dx.doi.org/10.3934/dcds.2019194","http://dx.doi.org/10.3934/dcds.2019194")</f>
        <v>http://dx.doi.org/10.3934/dcds.2019194</v>
      </c>
      <c r="BG293" t="s">
        <v>74</v>
      </c>
      <c r="BH293" t="s">
        <v>74</v>
      </c>
      <c r="BI293">
        <v>11</v>
      </c>
      <c r="BJ293" t="s">
        <v>6020</v>
      </c>
      <c r="BK293" t="s">
        <v>101</v>
      </c>
      <c r="BL293" t="s">
        <v>6021</v>
      </c>
      <c r="BM293" t="s">
        <v>6022</v>
      </c>
      <c r="BN293" t="s">
        <v>74</v>
      </c>
      <c r="BO293" t="s">
        <v>366</v>
      </c>
      <c r="BP293" t="s">
        <v>74</v>
      </c>
      <c r="BQ293" t="s">
        <v>74</v>
      </c>
      <c r="BR293" t="s">
        <v>103</v>
      </c>
      <c r="BS293" t="s">
        <v>6039</v>
      </c>
      <c r="BT293" t="str">
        <f>HYPERLINK("https%3A%2F%2Fwww.webofscience.com%2Fwos%2Fwoscc%2Ffull-record%2FWOS:000467538100020","View Full Record in Web of Science")</f>
        <v>View Full Record in Web of Science</v>
      </c>
    </row>
    <row r="294" spans="1:72" x14ac:dyDescent="0.15">
      <c r="A294" t="s">
        <v>72</v>
      </c>
      <c r="B294" t="s">
        <v>6040</v>
      </c>
      <c r="C294" t="s">
        <v>74</v>
      </c>
      <c r="D294" t="s">
        <v>74</v>
      </c>
      <c r="E294" t="s">
        <v>74</v>
      </c>
      <c r="F294" t="s">
        <v>6041</v>
      </c>
      <c r="G294" t="s">
        <v>74</v>
      </c>
      <c r="H294" t="s">
        <v>74</v>
      </c>
      <c r="I294" t="s">
        <v>6042</v>
      </c>
      <c r="J294" t="s">
        <v>855</v>
      </c>
      <c r="K294" t="s">
        <v>74</v>
      </c>
      <c r="L294" t="s">
        <v>74</v>
      </c>
      <c r="M294" t="s">
        <v>78</v>
      </c>
      <c r="N294" t="s">
        <v>79</v>
      </c>
      <c r="O294" t="s">
        <v>74</v>
      </c>
      <c r="P294" t="s">
        <v>74</v>
      </c>
      <c r="Q294" t="s">
        <v>74</v>
      </c>
      <c r="R294" t="s">
        <v>74</v>
      </c>
      <c r="S294" t="s">
        <v>74</v>
      </c>
      <c r="T294" t="s">
        <v>6043</v>
      </c>
      <c r="U294" t="s">
        <v>6044</v>
      </c>
      <c r="V294" t="s">
        <v>6045</v>
      </c>
      <c r="W294" t="s">
        <v>6046</v>
      </c>
      <c r="X294" t="s">
        <v>6047</v>
      </c>
      <c r="Y294" t="s">
        <v>6048</v>
      </c>
      <c r="Z294" t="s">
        <v>6049</v>
      </c>
      <c r="AA294" t="s">
        <v>6050</v>
      </c>
      <c r="AB294" t="s">
        <v>6051</v>
      </c>
      <c r="AC294" t="s">
        <v>6052</v>
      </c>
      <c r="AD294" t="s">
        <v>6053</v>
      </c>
      <c r="AE294" t="s">
        <v>6054</v>
      </c>
      <c r="AF294" t="s">
        <v>74</v>
      </c>
      <c r="AG294">
        <v>143</v>
      </c>
      <c r="AH294">
        <v>12</v>
      </c>
      <c r="AI294">
        <v>12</v>
      </c>
      <c r="AJ294">
        <v>2</v>
      </c>
      <c r="AK294">
        <v>37</v>
      </c>
      <c r="AL294" t="s">
        <v>868</v>
      </c>
      <c r="AM294" t="s">
        <v>869</v>
      </c>
      <c r="AN294" t="s">
        <v>870</v>
      </c>
      <c r="AO294" t="s">
        <v>74</v>
      </c>
      <c r="AP294" t="s">
        <v>871</v>
      </c>
      <c r="AQ294" t="s">
        <v>74</v>
      </c>
      <c r="AR294" t="s">
        <v>872</v>
      </c>
      <c r="AS294" t="s">
        <v>873</v>
      </c>
      <c r="AT294" t="s">
        <v>6055</v>
      </c>
      <c r="AU294">
        <v>2019</v>
      </c>
      <c r="AV294">
        <v>6</v>
      </c>
      <c r="AW294" t="s">
        <v>74</v>
      </c>
      <c r="AX294" t="s">
        <v>74</v>
      </c>
      <c r="AY294" t="s">
        <v>74</v>
      </c>
      <c r="AZ294" t="s">
        <v>74</v>
      </c>
      <c r="BA294" t="s">
        <v>74</v>
      </c>
      <c r="BB294" t="s">
        <v>74</v>
      </c>
      <c r="BC294" t="s">
        <v>74</v>
      </c>
      <c r="BD294">
        <v>444</v>
      </c>
      <c r="BE294" t="s">
        <v>6056</v>
      </c>
      <c r="BF294" t="str">
        <f>HYPERLINK("http://dx.doi.org/10.3389/fmars.2019.00444","http://dx.doi.org/10.3389/fmars.2019.00444")</f>
        <v>http://dx.doi.org/10.3389/fmars.2019.00444</v>
      </c>
      <c r="BG294" t="s">
        <v>74</v>
      </c>
      <c r="BH294" t="s">
        <v>74</v>
      </c>
      <c r="BI294">
        <v>18</v>
      </c>
      <c r="BJ294" t="s">
        <v>876</v>
      </c>
      <c r="BK294" t="s">
        <v>101</v>
      </c>
      <c r="BL294" t="s">
        <v>877</v>
      </c>
      <c r="BM294" t="s">
        <v>6057</v>
      </c>
      <c r="BN294" t="s">
        <v>74</v>
      </c>
      <c r="BO294" t="s">
        <v>313</v>
      </c>
      <c r="BP294" t="s">
        <v>74</v>
      </c>
      <c r="BQ294" t="s">
        <v>74</v>
      </c>
      <c r="BR294" t="s">
        <v>103</v>
      </c>
      <c r="BS294" t="s">
        <v>6058</v>
      </c>
      <c r="BT294" t="str">
        <f>HYPERLINK("https%3A%2F%2Fwww.webofscience.com%2Fwos%2Fwoscc%2Ffull-record%2FWOS:000477973500001","View Full Record in Web of Science")</f>
        <v>View Full Record in Web of Science</v>
      </c>
    </row>
    <row r="295" spans="1:72" x14ac:dyDescent="0.15">
      <c r="A295" t="s">
        <v>72</v>
      </c>
      <c r="B295" t="s">
        <v>6059</v>
      </c>
      <c r="C295" t="s">
        <v>74</v>
      </c>
      <c r="D295" t="s">
        <v>74</v>
      </c>
      <c r="E295" t="s">
        <v>74</v>
      </c>
      <c r="F295" t="s">
        <v>6060</v>
      </c>
      <c r="G295" t="s">
        <v>74</v>
      </c>
      <c r="H295" t="s">
        <v>74</v>
      </c>
      <c r="I295" t="s">
        <v>6061</v>
      </c>
      <c r="J295" t="s">
        <v>855</v>
      </c>
      <c r="K295" t="s">
        <v>74</v>
      </c>
      <c r="L295" t="s">
        <v>74</v>
      </c>
      <c r="M295" t="s">
        <v>78</v>
      </c>
      <c r="N295" t="s">
        <v>79</v>
      </c>
      <c r="O295" t="s">
        <v>74</v>
      </c>
      <c r="P295" t="s">
        <v>74</v>
      </c>
      <c r="Q295" t="s">
        <v>74</v>
      </c>
      <c r="R295" t="s">
        <v>74</v>
      </c>
      <c r="S295" t="s">
        <v>74</v>
      </c>
      <c r="T295" t="s">
        <v>6062</v>
      </c>
      <c r="U295" t="s">
        <v>6063</v>
      </c>
      <c r="V295" t="s">
        <v>6064</v>
      </c>
      <c r="W295" t="s">
        <v>6065</v>
      </c>
      <c r="X295" t="s">
        <v>6066</v>
      </c>
      <c r="Y295" t="s">
        <v>6067</v>
      </c>
      <c r="Z295" t="s">
        <v>6068</v>
      </c>
      <c r="AA295" t="s">
        <v>6069</v>
      </c>
      <c r="AB295" t="s">
        <v>6070</v>
      </c>
      <c r="AC295" t="s">
        <v>6071</v>
      </c>
      <c r="AD295" t="s">
        <v>6072</v>
      </c>
      <c r="AE295" t="s">
        <v>6073</v>
      </c>
      <c r="AF295" t="s">
        <v>74</v>
      </c>
      <c r="AG295">
        <v>68</v>
      </c>
      <c r="AH295">
        <v>31</v>
      </c>
      <c r="AI295">
        <v>32</v>
      </c>
      <c r="AJ295">
        <v>1</v>
      </c>
      <c r="AK295">
        <v>22</v>
      </c>
      <c r="AL295" t="s">
        <v>868</v>
      </c>
      <c r="AM295" t="s">
        <v>869</v>
      </c>
      <c r="AN295" t="s">
        <v>870</v>
      </c>
      <c r="AO295" t="s">
        <v>74</v>
      </c>
      <c r="AP295" t="s">
        <v>871</v>
      </c>
      <c r="AQ295" t="s">
        <v>74</v>
      </c>
      <c r="AR295" t="s">
        <v>872</v>
      </c>
      <c r="AS295" t="s">
        <v>873</v>
      </c>
      <c r="AT295" t="s">
        <v>6055</v>
      </c>
      <c r="AU295">
        <v>2019</v>
      </c>
      <c r="AV295">
        <v>6</v>
      </c>
      <c r="AW295" t="s">
        <v>74</v>
      </c>
      <c r="AX295" t="s">
        <v>74</v>
      </c>
      <c r="AY295" t="s">
        <v>74</v>
      </c>
      <c r="AZ295" t="s">
        <v>74</v>
      </c>
      <c r="BA295" t="s">
        <v>74</v>
      </c>
      <c r="BB295" t="s">
        <v>74</v>
      </c>
      <c r="BC295" t="s">
        <v>74</v>
      </c>
      <c r="BD295">
        <v>421</v>
      </c>
      <c r="BE295" t="s">
        <v>6074</v>
      </c>
      <c r="BF295" t="str">
        <f>HYPERLINK("http://dx.doi.org/10.3389/fmars.2019.00421","http://dx.doi.org/10.3389/fmars.2019.00421")</f>
        <v>http://dx.doi.org/10.3389/fmars.2019.00421</v>
      </c>
      <c r="BG295" t="s">
        <v>74</v>
      </c>
      <c r="BH295" t="s">
        <v>74</v>
      </c>
      <c r="BI295">
        <v>10</v>
      </c>
      <c r="BJ295" t="s">
        <v>876</v>
      </c>
      <c r="BK295" t="s">
        <v>101</v>
      </c>
      <c r="BL295" t="s">
        <v>877</v>
      </c>
      <c r="BM295" t="s">
        <v>6075</v>
      </c>
      <c r="BN295" t="s">
        <v>74</v>
      </c>
      <c r="BO295" t="s">
        <v>402</v>
      </c>
      <c r="BP295" t="s">
        <v>74</v>
      </c>
      <c r="BQ295" t="s">
        <v>74</v>
      </c>
      <c r="BR295" t="s">
        <v>103</v>
      </c>
      <c r="BS295" t="s">
        <v>6076</v>
      </c>
      <c r="BT295" t="str">
        <f>HYPERLINK("https%3A%2F%2Fwww.webofscience.com%2Fwos%2Fwoscc%2Ffull-record%2FWOS:000477973100001","View Full Record in Web of Science")</f>
        <v>View Full Record in Web of Science</v>
      </c>
    </row>
    <row r="296" spans="1:72" x14ac:dyDescent="0.15">
      <c r="A296" t="s">
        <v>72</v>
      </c>
      <c r="B296" t="s">
        <v>6077</v>
      </c>
      <c r="C296" t="s">
        <v>74</v>
      </c>
      <c r="D296" t="s">
        <v>74</v>
      </c>
      <c r="E296" t="s">
        <v>74</v>
      </c>
      <c r="F296" t="s">
        <v>6078</v>
      </c>
      <c r="G296" t="s">
        <v>74</v>
      </c>
      <c r="H296" t="s">
        <v>74</v>
      </c>
      <c r="I296" t="s">
        <v>6079</v>
      </c>
      <c r="J296" t="s">
        <v>6080</v>
      </c>
      <c r="K296" t="s">
        <v>74</v>
      </c>
      <c r="L296" t="s">
        <v>74</v>
      </c>
      <c r="M296" t="s">
        <v>78</v>
      </c>
      <c r="N296" t="s">
        <v>108</v>
      </c>
      <c r="O296" t="s">
        <v>74</v>
      </c>
      <c r="P296" t="s">
        <v>74</v>
      </c>
      <c r="Q296" t="s">
        <v>74</v>
      </c>
      <c r="R296" t="s">
        <v>74</v>
      </c>
      <c r="S296" t="s">
        <v>74</v>
      </c>
      <c r="T296" t="s">
        <v>6081</v>
      </c>
      <c r="U296" t="s">
        <v>6082</v>
      </c>
      <c r="V296" t="s">
        <v>6083</v>
      </c>
      <c r="W296" t="s">
        <v>6084</v>
      </c>
      <c r="X296" t="s">
        <v>6085</v>
      </c>
      <c r="Y296" t="s">
        <v>6086</v>
      </c>
      <c r="Z296" t="s">
        <v>6087</v>
      </c>
      <c r="AA296" t="s">
        <v>6088</v>
      </c>
      <c r="AB296" t="s">
        <v>6089</v>
      </c>
      <c r="AC296" t="s">
        <v>6090</v>
      </c>
      <c r="AD296" t="s">
        <v>6091</v>
      </c>
      <c r="AE296" t="s">
        <v>6092</v>
      </c>
      <c r="AF296" t="s">
        <v>74</v>
      </c>
      <c r="AG296">
        <v>44</v>
      </c>
      <c r="AH296">
        <v>4</v>
      </c>
      <c r="AI296">
        <v>4</v>
      </c>
      <c r="AJ296">
        <v>2</v>
      </c>
      <c r="AK296">
        <v>28</v>
      </c>
      <c r="AL296" t="s">
        <v>638</v>
      </c>
      <c r="AM296" t="s">
        <v>439</v>
      </c>
      <c r="AN296" t="s">
        <v>639</v>
      </c>
      <c r="AO296" t="s">
        <v>6093</v>
      </c>
      <c r="AP296" t="s">
        <v>6094</v>
      </c>
      <c r="AQ296" t="s">
        <v>74</v>
      </c>
      <c r="AR296" t="s">
        <v>6095</v>
      </c>
      <c r="AS296" t="s">
        <v>6096</v>
      </c>
      <c r="AT296" t="s">
        <v>6055</v>
      </c>
      <c r="AU296">
        <v>2019</v>
      </c>
      <c r="AV296">
        <v>1063</v>
      </c>
      <c r="AW296" t="s">
        <v>74</v>
      </c>
      <c r="AX296" t="s">
        <v>74</v>
      </c>
      <c r="AY296" t="s">
        <v>74</v>
      </c>
      <c r="AZ296" t="s">
        <v>74</v>
      </c>
      <c r="BA296" t="s">
        <v>74</v>
      </c>
      <c r="BB296">
        <v>167</v>
      </c>
      <c r="BC296">
        <v>177</v>
      </c>
      <c r="BD296" t="s">
        <v>74</v>
      </c>
      <c r="BE296" t="s">
        <v>6097</v>
      </c>
      <c r="BF296" t="str">
        <f>HYPERLINK("http://dx.doi.org/10.1016/j.aca.2019.02.014","http://dx.doi.org/10.1016/j.aca.2019.02.014")</f>
        <v>http://dx.doi.org/10.1016/j.aca.2019.02.014</v>
      </c>
      <c r="BG296" t="s">
        <v>74</v>
      </c>
      <c r="BH296" t="s">
        <v>74</v>
      </c>
      <c r="BI296">
        <v>11</v>
      </c>
      <c r="BJ296" t="s">
        <v>770</v>
      </c>
      <c r="BK296" t="s">
        <v>101</v>
      </c>
      <c r="BL296" t="s">
        <v>771</v>
      </c>
      <c r="BM296" t="s">
        <v>6098</v>
      </c>
      <c r="BN296">
        <v>30967181</v>
      </c>
      <c r="BO296" t="s">
        <v>74</v>
      </c>
      <c r="BP296" t="s">
        <v>74</v>
      </c>
      <c r="BQ296" t="s">
        <v>74</v>
      </c>
      <c r="BR296" t="s">
        <v>103</v>
      </c>
      <c r="BS296" t="s">
        <v>6099</v>
      </c>
      <c r="BT296" t="str">
        <f>HYPERLINK("https%3A%2F%2Fwww.webofscience.com%2Fwos%2Fwoscc%2Ffull-record%2FWOS:000463815800019","View Full Record in Web of Science")</f>
        <v>View Full Record in Web of Science</v>
      </c>
    </row>
    <row r="297" spans="1:72" x14ac:dyDescent="0.15">
      <c r="A297" t="s">
        <v>72</v>
      </c>
      <c r="B297" t="s">
        <v>6100</v>
      </c>
      <c r="C297" t="s">
        <v>74</v>
      </c>
      <c r="D297" t="s">
        <v>74</v>
      </c>
      <c r="E297" t="s">
        <v>74</v>
      </c>
      <c r="F297" t="s">
        <v>6101</v>
      </c>
      <c r="G297" t="s">
        <v>74</v>
      </c>
      <c r="H297" t="s">
        <v>74</v>
      </c>
      <c r="I297" t="s">
        <v>6102</v>
      </c>
      <c r="J297" t="s">
        <v>6103</v>
      </c>
      <c r="K297" t="s">
        <v>74</v>
      </c>
      <c r="L297" t="s">
        <v>74</v>
      </c>
      <c r="M297" t="s">
        <v>78</v>
      </c>
      <c r="N297" t="s">
        <v>108</v>
      </c>
      <c r="O297" t="s">
        <v>74</v>
      </c>
      <c r="P297" t="s">
        <v>74</v>
      </c>
      <c r="Q297" t="s">
        <v>74</v>
      </c>
      <c r="R297" t="s">
        <v>74</v>
      </c>
      <c r="S297" t="s">
        <v>74</v>
      </c>
      <c r="T297" t="s">
        <v>6104</v>
      </c>
      <c r="U297" t="s">
        <v>74</v>
      </c>
      <c r="V297" t="s">
        <v>6105</v>
      </c>
      <c r="W297" t="s">
        <v>6106</v>
      </c>
      <c r="X297" t="s">
        <v>3555</v>
      </c>
      <c r="Y297" t="s">
        <v>6107</v>
      </c>
      <c r="Z297" t="s">
        <v>6108</v>
      </c>
      <c r="AA297" t="s">
        <v>6109</v>
      </c>
      <c r="AB297" t="s">
        <v>6110</v>
      </c>
      <c r="AC297" t="s">
        <v>6111</v>
      </c>
      <c r="AD297" t="s">
        <v>6111</v>
      </c>
      <c r="AE297" t="s">
        <v>6112</v>
      </c>
      <c r="AF297" t="s">
        <v>74</v>
      </c>
      <c r="AG297">
        <v>13</v>
      </c>
      <c r="AH297">
        <v>2</v>
      </c>
      <c r="AI297">
        <v>2</v>
      </c>
      <c r="AJ297">
        <v>0</v>
      </c>
      <c r="AK297">
        <v>4</v>
      </c>
      <c r="AL297" t="s">
        <v>1274</v>
      </c>
      <c r="AM297" t="s">
        <v>1275</v>
      </c>
      <c r="AN297" t="s">
        <v>1276</v>
      </c>
      <c r="AO297" t="s">
        <v>6113</v>
      </c>
      <c r="AP297" t="s">
        <v>6114</v>
      </c>
      <c r="AQ297" t="s">
        <v>74</v>
      </c>
      <c r="AR297" t="s">
        <v>6115</v>
      </c>
      <c r="AS297" t="s">
        <v>6116</v>
      </c>
      <c r="AT297" t="s">
        <v>6117</v>
      </c>
      <c r="AU297">
        <v>2019</v>
      </c>
      <c r="AV297">
        <v>39</v>
      </c>
      <c r="AW297">
        <v>4</v>
      </c>
      <c r="AX297" t="s">
        <v>74</v>
      </c>
      <c r="AY297" t="s">
        <v>74</v>
      </c>
      <c r="AZ297" t="s">
        <v>74</v>
      </c>
      <c r="BA297" t="s">
        <v>74</v>
      </c>
      <c r="BB297">
        <v>373</v>
      </c>
      <c r="BC297">
        <v>376</v>
      </c>
      <c r="BD297" t="s">
        <v>74</v>
      </c>
      <c r="BE297" t="s">
        <v>6118</v>
      </c>
      <c r="BF297" t="str">
        <f>HYPERLINK("http://dx.doi.org/10.1080/13235818.2019.1644712","http://dx.doi.org/10.1080/13235818.2019.1644712")</f>
        <v>http://dx.doi.org/10.1080/13235818.2019.1644712</v>
      </c>
      <c r="BG297" t="s">
        <v>74</v>
      </c>
      <c r="BH297" t="s">
        <v>6119</v>
      </c>
      <c r="BI297">
        <v>4</v>
      </c>
      <c r="BJ297" t="s">
        <v>3091</v>
      </c>
      <c r="BK297" t="s">
        <v>101</v>
      </c>
      <c r="BL297" t="s">
        <v>3091</v>
      </c>
      <c r="BM297" t="s">
        <v>6120</v>
      </c>
      <c r="BN297" t="s">
        <v>74</v>
      </c>
      <c r="BO297" t="s">
        <v>74</v>
      </c>
      <c r="BP297" t="s">
        <v>74</v>
      </c>
      <c r="BQ297" t="s">
        <v>74</v>
      </c>
      <c r="BR297" t="s">
        <v>103</v>
      </c>
      <c r="BS297" t="s">
        <v>6121</v>
      </c>
      <c r="BT297" t="str">
        <f>HYPERLINK("https%3A%2F%2Fwww.webofscience.com%2Fwos%2Fwoscc%2Ffull-record%2FWOS:000479726400001","View Full Record in Web of Science")</f>
        <v>View Full Record in Web of Science</v>
      </c>
    </row>
    <row r="298" spans="1:72" x14ac:dyDescent="0.15">
      <c r="A298" t="s">
        <v>72</v>
      </c>
      <c r="B298" t="s">
        <v>6122</v>
      </c>
      <c r="C298" t="s">
        <v>74</v>
      </c>
      <c r="D298" t="s">
        <v>74</v>
      </c>
      <c r="E298" t="s">
        <v>74</v>
      </c>
      <c r="F298" t="s">
        <v>6123</v>
      </c>
      <c r="G298" t="s">
        <v>74</v>
      </c>
      <c r="H298" t="s">
        <v>74</v>
      </c>
      <c r="I298" t="s">
        <v>6124</v>
      </c>
      <c r="J298" t="s">
        <v>6125</v>
      </c>
      <c r="K298" t="s">
        <v>74</v>
      </c>
      <c r="L298" t="s">
        <v>74</v>
      </c>
      <c r="M298" t="s">
        <v>78</v>
      </c>
      <c r="N298" t="s">
        <v>1083</v>
      </c>
      <c r="O298" t="s">
        <v>74</v>
      </c>
      <c r="P298" t="s">
        <v>74</v>
      </c>
      <c r="Q298" t="s">
        <v>74</v>
      </c>
      <c r="R298" t="s">
        <v>74</v>
      </c>
      <c r="S298" t="s">
        <v>74</v>
      </c>
      <c r="T298" t="s">
        <v>74</v>
      </c>
      <c r="U298" t="s">
        <v>74</v>
      </c>
      <c r="V298" t="s">
        <v>6126</v>
      </c>
      <c r="W298" t="s">
        <v>6127</v>
      </c>
      <c r="X298" t="s">
        <v>6128</v>
      </c>
      <c r="Y298" t="s">
        <v>6129</v>
      </c>
      <c r="Z298" t="s">
        <v>6130</v>
      </c>
      <c r="AA298" t="s">
        <v>6131</v>
      </c>
      <c r="AB298" t="s">
        <v>6132</v>
      </c>
      <c r="AC298" t="s">
        <v>74</v>
      </c>
      <c r="AD298" t="s">
        <v>74</v>
      </c>
      <c r="AE298" t="s">
        <v>74</v>
      </c>
      <c r="AF298" t="s">
        <v>74</v>
      </c>
      <c r="AG298">
        <v>1</v>
      </c>
      <c r="AH298">
        <v>1</v>
      </c>
      <c r="AI298">
        <v>1</v>
      </c>
      <c r="AJ298">
        <v>0</v>
      </c>
      <c r="AK298">
        <v>5</v>
      </c>
      <c r="AL298" t="s">
        <v>6133</v>
      </c>
      <c r="AM298" t="s">
        <v>657</v>
      </c>
      <c r="AN298" t="s">
        <v>6134</v>
      </c>
      <c r="AO298" t="s">
        <v>6135</v>
      </c>
      <c r="AP298" t="s">
        <v>74</v>
      </c>
      <c r="AQ298" t="s">
        <v>74</v>
      </c>
      <c r="AR298" t="s">
        <v>6136</v>
      </c>
      <c r="AS298" t="s">
        <v>6137</v>
      </c>
      <c r="AT298" t="s">
        <v>6138</v>
      </c>
      <c r="AU298">
        <v>2019</v>
      </c>
      <c r="AV298">
        <v>6</v>
      </c>
      <c r="AW298" t="s">
        <v>74</v>
      </c>
      <c r="AX298" t="s">
        <v>74</v>
      </c>
      <c r="AY298" t="s">
        <v>74</v>
      </c>
      <c r="AZ298" t="s">
        <v>74</v>
      </c>
      <c r="BA298" t="s">
        <v>74</v>
      </c>
      <c r="BB298" t="s">
        <v>74</v>
      </c>
      <c r="BC298" t="s">
        <v>74</v>
      </c>
      <c r="BD298" t="s">
        <v>74</v>
      </c>
      <c r="BE298" t="s">
        <v>6139</v>
      </c>
      <c r="BF298" t="str">
        <f>HYPERLINK("http://dx.doi.org/10.1186/s40645-019-0300-3","http://dx.doi.org/10.1186/s40645-019-0300-3")</f>
        <v>http://dx.doi.org/10.1186/s40645-019-0300-3</v>
      </c>
      <c r="BG298" t="s">
        <v>74</v>
      </c>
      <c r="BH298" t="s">
        <v>74</v>
      </c>
      <c r="BI298">
        <v>1</v>
      </c>
      <c r="BJ298" t="s">
        <v>471</v>
      </c>
      <c r="BK298" t="s">
        <v>101</v>
      </c>
      <c r="BL298" t="s">
        <v>472</v>
      </c>
      <c r="BM298" t="s">
        <v>6140</v>
      </c>
      <c r="BN298" t="s">
        <v>74</v>
      </c>
      <c r="BO298" t="s">
        <v>366</v>
      </c>
      <c r="BP298" t="s">
        <v>74</v>
      </c>
      <c r="BQ298" t="s">
        <v>74</v>
      </c>
      <c r="BR298" t="s">
        <v>103</v>
      </c>
      <c r="BS298" t="s">
        <v>6141</v>
      </c>
      <c r="BT298" t="str">
        <f>HYPERLINK("https%3A%2F%2Fwww.webofscience.com%2Fwos%2Fwoscc%2Ffull-record%2FWOS:000478003400001","View Full Record in Web of Science")</f>
        <v>View Full Record in Web of Science</v>
      </c>
    </row>
    <row r="299" spans="1:72" x14ac:dyDescent="0.15">
      <c r="A299" t="s">
        <v>72</v>
      </c>
      <c r="B299" t="s">
        <v>6142</v>
      </c>
      <c r="C299" t="s">
        <v>74</v>
      </c>
      <c r="D299" t="s">
        <v>74</v>
      </c>
      <c r="E299" t="s">
        <v>74</v>
      </c>
      <c r="F299" t="s">
        <v>6143</v>
      </c>
      <c r="G299" t="s">
        <v>74</v>
      </c>
      <c r="H299" t="s">
        <v>74</v>
      </c>
      <c r="I299" t="s">
        <v>6144</v>
      </c>
      <c r="J299" t="s">
        <v>6145</v>
      </c>
      <c r="K299" t="s">
        <v>74</v>
      </c>
      <c r="L299" t="s">
        <v>74</v>
      </c>
      <c r="M299" t="s">
        <v>78</v>
      </c>
      <c r="N299" t="s">
        <v>108</v>
      </c>
      <c r="O299" t="s">
        <v>74</v>
      </c>
      <c r="P299" t="s">
        <v>74</v>
      </c>
      <c r="Q299" t="s">
        <v>74</v>
      </c>
      <c r="R299" t="s">
        <v>74</v>
      </c>
      <c r="S299" t="s">
        <v>74</v>
      </c>
      <c r="T299" t="s">
        <v>6146</v>
      </c>
      <c r="U299" t="s">
        <v>6147</v>
      </c>
      <c r="V299" t="s">
        <v>6148</v>
      </c>
      <c r="W299" t="s">
        <v>6149</v>
      </c>
      <c r="X299" t="s">
        <v>6150</v>
      </c>
      <c r="Y299" t="s">
        <v>6151</v>
      </c>
      <c r="Z299" t="s">
        <v>6152</v>
      </c>
      <c r="AA299" t="s">
        <v>6153</v>
      </c>
      <c r="AB299" t="s">
        <v>6154</v>
      </c>
      <c r="AC299" t="s">
        <v>6155</v>
      </c>
      <c r="AD299" t="s">
        <v>6156</v>
      </c>
      <c r="AE299" t="s">
        <v>6157</v>
      </c>
      <c r="AF299" t="s">
        <v>74</v>
      </c>
      <c r="AG299">
        <v>62</v>
      </c>
      <c r="AH299">
        <v>51</v>
      </c>
      <c r="AI299">
        <v>56</v>
      </c>
      <c r="AJ299">
        <v>17</v>
      </c>
      <c r="AK299">
        <v>262</v>
      </c>
      <c r="AL299" t="s">
        <v>6158</v>
      </c>
      <c r="AM299" t="s">
        <v>6159</v>
      </c>
      <c r="AN299" t="s">
        <v>6160</v>
      </c>
      <c r="AO299" t="s">
        <v>6161</v>
      </c>
      <c r="AP299" t="s">
        <v>6162</v>
      </c>
      <c r="AQ299" t="s">
        <v>74</v>
      </c>
      <c r="AR299" t="s">
        <v>6163</v>
      </c>
      <c r="AS299" t="s">
        <v>6164</v>
      </c>
      <c r="AT299" t="s">
        <v>6138</v>
      </c>
      <c r="AU299">
        <v>2019</v>
      </c>
      <c r="AV299">
        <v>176</v>
      </c>
      <c r="AW299" t="s">
        <v>74</v>
      </c>
      <c r="AX299" t="s">
        <v>74</v>
      </c>
      <c r="AY299" t="s">
        <v>74</v>
      </c>
      <c r="AZ299" t="s">
        <v>74</v>
      </c>
      <c r="BA299" t="s">
        <v>74</v>
      </c>
      <c r="BB299">
        <v>300</v>
      </c>
      <c r="BC299">
        <v>308</v>
      </c>
      <c r="BD299" t="s">
        <v>74</v>
      </c>
      <c r="BE299" t="s">
        <v>6165</v>
      </c>
      <c r="BF299" t="str">
        <f>HYPERLINK("http://dx.doi.org/10.1016/j.ecoenv.2019.03.099","http://dx.doi.org/10.1016/j.ecoenv.2019.03.099")</f>
        <v>http://dx.doi.org/10.1016/j.ecoenv.2019.03.099</v>
      </c>
      <c r="BG299" t="s">
        <v>74</v>
      </c>
      <c r="BH299" t="s">
        <v>74</v>
      </c>
      <c r="BI299">
        <v>9</v>
      </c>
      <c r="BJ299" t="s">
        <v>6166</v>
      </c>
      <c r="BK299" t="s">
        <v>101</v>
      </c>
      <c r="BL299" t="s">
        <v>6167</v>
      </c>
      <c r="BM299" t="s">
        <v>6168</v>
      </c>
      <c r="BN299">
        <v>30947033</v>
      </c>
      <c r="BO299" t="s">
        <v>74</v>
      </c>
      <c r="BP299" t="s">
        <v>74</v>
      </c>
      <c r="BQ299" t="s">
        <v>74</v>
      </c>
      <c r="BR299" t="s">
        <v>103</v>
      </c>
      <c r="BS299" t="s">
        <v>6169</v>
      </c>
      <c r="BT299" t="str">
        <f>HYPERLINK("https%3A%2F%2Fwww.webofscience.com%2Fwos%2Fwoscc%2Ffull-record%2FWOS:000466056800036","View Full Record in Web of Science")</f>
        <v>View Full Record in Web of Science</v>
      </c>
    </row>
    <row r="300" spans="1:72" x14ac:dyDescent="0.15">
      <c r="A300" t="s">
        <v>72</v>
      </c>
      <c r="B300" t="s">
        <v>6170</v>
      </c>
      <c r="C300" t="s">
        <v>74</v>
      </c>
      <c r="D300" t="s">
        <v>74</v>
      </c>
      <c r="E300" t="s">
        <v>74</v>
      </c>
      <c r="F300" t="s">
        <v>6171</v>
      </c>
      <c r="G300" t="s">
        <v>74</v>
      </c>
      <c r="H300" t="s">
        <v>74</v>
      </c>
      <c r="I300" t="s">
        <v>6172</v>
      </c>
      <c r="J300" t="s">
        <v>1179</v>
      </c>
      <c r="K300" t="s">
        <v>74</v>
      </c>
      <c r="L300" t="s">
        <v>74</v>
      </c>
      <c r="M300" t="s">
        <v>78</v>
      </c>
      <c r="N300" t="s">
        <v>108</v>
      </c>
      <c r="O300" t="s">
        <v>74</v>
      </c>
      <c r="P300" t="s">
        <v>74</v>
      </c>
      <c r="Q300" t="s">
        <v>74</v>
      </c>
      <c r="R300" t="s">
        <v>74</v>
      </c>
      <c r="S300" t="s">
        <v>74</v>
      </c>
      <c r="T300" t="s">
        <v>74</v>
      </c>
      <c r="U300" t="s">
        <v>6173</v>
      </c>
      <c r="V300" t="s">
        <v>6174</v>
      </c>
      <c r="W300" t="s">
        <v>6175</v>
      </c>
      <c r="X300" t="s">
        <v>6176</v>
      </c>
      <c r="Y300" t="s">
        <v>6177</v>
      </c>
      <c r="Z300" t="s">
        <v>6178</v>
      </c>
      <c r="AA300" t="s">
        <v>6179</v>
      </c>
      <c r="AB300" t="s">
        <v>6180</v>
      </c>
      <c r="AC300" t="s">
        <v>6181</v>
      </c>
      <c r="AD300" t="s">
        <v>6182</v>
      </c>
      <c r="AE300" t="s">
        <v>6183</v>
      </c>
      <c r="AF300" t="s">
        <v>74</v>
      </c>
      <c r="AG300">
        <v>110</v>
      </c>
      <c r="AH300">
        <v>23</v>
      </c>
      <c r="AI300">
        <v>23</v>
      </c>
      <c r="AJ300">
        <v>1</v>
      </c>
      <c r="AK300">
        <v>4</v>
      </c>
      <c r="AL300" t="s">
        <v>839</v>
      </c>
      <c r="AM300" t="s">
        <v>840</v>
      </c>
      <c r="AN300" t="s">
        <v>841</v>
      </c>
      <c r="AO300" t="s">
        <v>1191</v>
      </c>
      <c r="AP300" t="s">
        <v>1192</v>
      </c>
      <c r="AQ300" t="s">
        <v>74</v>
      </c>
      <c r="AR300" t="s">
        <v>1193</v>
      </c>
      <c r="AS300" t="s">
        <v>1194</v>
      </c>
      <c r="AT300" t="s">
        <v>6184</v>
      </c>
      <c r="AU300">
        <v>2019</v>
      </c>
      <c r="AV300">
        <v>12</v>
      </c>
      <c r="AW300">
        <v>7</v>
      </c>
      <c r="AX300" t="s">
        <v>74</v>
      </c>
      <c r="AY300" t="s">
        <v>74</v>
      </c>
      <c r="AZ300" t="s">
        <v>74</v>
      </c>
      <c r="BA300" t="s">
        <v>74</v>
      </c>
      <c r="BB300">
        <v>3329</v>
      </c>
      <c r="BC300">
        <v>3355</v>
      </c>
      <c r="BD300" t="s">
        <v>74</v>
      </c>
      <c r="BE300" t="s">
        <v>6185</v>
      </c>
      <c r="BF300" t="str">
        <f>HYPERLINK("http://dx.doi.org/10.5194/gmd-12-3329-2019","http://dx.doi.org/10.5194/gmd-12-3329-2019")</f>
        <v>http://dx.doi.org/10.5194/gmd-12-3329-2019</v>
      </c>
      <c r="BG300" t="s">
        <v>74</v>
      </c>
      <c r="BH300" t="s">
        <v>74</v>
      </c>
      <c r="BI300">
        <v>27</v>
      </c>
      <c r="BJ300" t="s">
        <v>471</v>
      </c>
      <c r="BK300" t="s">
        <v>101</v>
      </c>
      <c r="BL300" t="s">
        <v>472</v>
      </c>
      <c r="BM300" t="s">
        <v>6186</v>
      </c>
      <c r="BN300" t="s">
        <v>74</v>
      </c>
      <c r="BO300" t="s">
        <v>6187</v>
      </c>
      <c r="BP300" t="s">
        <v>74</v>
      </c>
      <c r="BQ300" t="s">
        <v>74</v>
      </c>
      <c r="BR300" t="s">
        <v>103</v>
      </c>
      <c r="BS300" t="s">
        <v>6188</v>
      </c>
      <c r="BT300" t="str">
        <f>HYPERLINK("https%3A%2F%2Fwww.webofscience.com%2Fwos%2Fwoscc%2Ffull-record%2FWOS:000477774200001","View Full Record in Web of Science")</f>
        <v>View Full Record in Web of Science</v>
      </c>
    </row>
    <row r="301" spans="1:72" x14ac:dyDescent="0.15">
      <c r="A301" t="s">
        <v>72</v>
      </c>
      <c r="B301" t="s">
        <v>6189</v>
      </c>
      <c r="C301" t="s">
        <v>74</v>
      </c>
      <c r="D301" t="s">
        <v>74</v>
      </c>
      <c r="E301" t="s">
        <v>74</v>
      </c>
      <c r="F301" t="s">
        <v>6190</v>
      </c>
      <c r="G301" t="s">
        <v>74</v>
      </c>
      <c r="H301" t="s">
        <v>74</v>
      </c>
      <c r="I301" t="s">
        <v>6191</v>
      </c>
      <c r="J301" t="s">
        <v>1373</v>
      </c>
      <c r="K301" t="s">
        <v>74</v>
      </c>
      <c r="L301" t="s">
        <v>74</v>
      </c>
      <c r="M301" t="s">
        <v>78</v>
      </c>
      <c r="N301" t="s">
        <v>108</v>
      </c>
      <c r="O301" t="s">
        <v>74</v>
      </c>
      <c r="P301" t="s">
        <v>74</v>
      </c>
      <c r="Q301" t="s">
        <v>74</v>
      </c>
      <c r="R301" t="s">
        <v>74</v>
      </c>
      <c r="S301" t="s">
        <v>74</v>
      </c>
      <c r="T301" t="s">
        <v>74</v>
      </c>
      <c r="U301" t="s">
        <v>6192</v>
      </c>
      <c r="V301" t="s">
        <v>6193</v>
      </c>
      <c r="W301" t="s">
        <v>6194</v>
      </c>
      <c r="X301" t="s">
        <v>6195</v>
      </c>
      <c r="Y301" t="s">
        <v>6196</v>
      </c>
      <c r="Z301" t="s">
        <v>6197</v>
      </c>
      <c r="AA301" t="s">
        <v>6198</v>
      </c>
      <c r="AB301" t="s">
        <v>6199</v>
      </c>
      <c r="AC301" t="s">
        <v>6200</v>
      </c>
      <c r="AD301" t="s">
        <v>6201</v>
      </c>
      <c r="AE301" t="s">
        <v>6202</v>
      </c>
      <c r="AF301" t="s">
        <v>74</v>
      </c>
      <c r="AG301">
        <v>73</v>
      </c>
      <c r="AH301">
        <v>23</v>
      </c>
      <c r="AI301">
        <v>23</v>
      </c>
      <c r="AJ301">
        <v>0</v>
      </c>
      <c r="AK301">
        <v>15</v>
      </c>
      <c r="AL301" t="s">
        <v>1019</v>
      </c>
      <c r="AM301" t="s">
        <v>1020</v>
      </c>
      <c r="AN301" t="s">
        <v>1021</v>
      </c>
      <c r="AO301" t="s">
        <v>74</v>
      </c>
      <c r="AP301" t="s">
        <v>1385</v>
      </c>
      <c r="AQ301" t="s">
        <v>74</v>
      </c>
      <c r="AR301" t="s">
        <v>1386</v>
      </c>
      <c r="AS301" t="s">
        <v>1387</v>
      </c>
      <c r="AT301" t="s">
        <v>6184</v>
      </c>
      <c r="AU301">
        <v>2019</v>
      </c>
      <c r="AV301">
        <v>10</v>
      </c>
      <c r="AW301" t="s">
        <v>74</v>
      </c>
      <c r="AX301" t="s">
        <v>74</v>
      </c>
      <c r="AY301" t="s">
        <v>74</v>
      </c>
      <c r="AZ301" t="s">
        <v>74</v>
      </c>
      <c r="BA301" t="s">
        <v>74</v>
      </c>
      <c r="BB301" t="s">
        <v>74</v>
      </c>
      <c r="BC301" t="s">
        <v>74</v>
      </c>
      <c r="BD301">
        <v>3383</v>
      </c>
      <c r="BE301" t="s">
        <v>6203</v>
      </c>
      <c r="BF301" t="str">
        <f>HYPERLINK("http://dx.doi.org/10.1038/s41467-019-11348-w","http://dx.doi.org/10.1038/s41467-019-11348-w")</f>
        <v>http://dx.doi.org/10.1038/s41467-019-11348-w</v>
      </c>
      <c r="BG301" t="s">
        <v>74</v>
      </c>
      <c r="BH301" t="s">
        <v>74</v>
      </c>
      <c r="BI301">
        <v>10</v>
      </c>
      <c r="BJ301" t="s">
        <v>1004</v>
      </c>
      <c r="BK301" t="s">
        <v>101</v>
      </c>
      <c r="BL301" t="s">
        <v>1005</v>
      </c>
      <c r="BM301" t="s">
        <v>6204</v>
      </c>
      <c r="BN301">
        <v>31358752</v>
      </c>
      <c r="BO301" t="s">
        <v>4818</v>
      </c>
      <c r="BP301" t="s">
        <v>74</v>
      </c>
      <c r="BQ301" t="s">
        <v>74</v>
      </c>
      <c r="BR301" t="s">
        <v>103</v>
      </c>
      <c r="BS301" t="s">
        <v>6205</v>
      </c>
      <c r="BT301" t="str">
        <f>HYPERLINK("https%3A%2F%2Fwww.webofscience.com%2Fwos%2Fwoscc%2Ffull-record%2FWOS:000477706100007","View Full Record in Web of Science")</f>
        <v>View Full Record in Web of Science</v>
      </c>
    </row>
    <row r="302" spans="1:72" x14ac:dyDescent="0.15">
      <c r="A302" t="s">
        <v>72</v>
      </c>
      <c r="B302" t="s">
        <v>6206</v>
      </c>
      <c r="C302" t="s">
        <v>74</v>
      </c>
      <c r="D302" t="s">
        <v>74</v>
      </c>
      <c r="E302" t="s">
        <v>74</v>
      </c>
      <c r="F302" t="s">
        <v>6207</v>
      </c>
      <c r="G302" t="s">
        <v>74</v>
      </c>
      <c r="H302" t="s">
        <v>74</v>
      </c>
      <c r="I302" t="s">
        <v>6208</v>
      </c>
      <c r="J302" t="s">
        <v>6209</v>
      </c>
      <c r="K302" t="s">
        <v>74</v>
      </c>
      <c r="L302" t="s">
        <v>74</v>
      </c>
      <c r="M302" t="s">
        <v>78</v>
      </c>
      <c r="N302" t="s">
        <v>108</v>
      </c>
      <c r="O302" t="s">
        <v>74</v>
      </c>
      <c r="P302" t="s">
        <v>74</v>
      </c>
      <c r="Q302" t="s">
        <v>74</v>
      </c>
      <c r="R302" t="s">
        <v>74</v>
      </c>
      <c r="S302" t="s">
        <v>74</v>
      </c>
      <c r="T302" t="s">
        <v>6210</v>
      </c>
      <c r="U302" t="s">
        <v>6211</v>
      </c>
      <c r="V302" t="s">
        <v>6212</v>
      </c>
      <c r="W302" t="s">
        <v>6213</v>
      </c>
      <c r="X302" t="s">
        <v>6214</v>
      </c>
      <c r="Y302" t="s">
        <v>6215</v>
      </c>
      <c r="Z302" t="s">
        <v>6216</v>
      </c>
      <c r="AA302" t="s">
        <v>6217</v>
      </c>
      <c r="AB302" t="s">
        <v>6218</v>
      </c>
      <c r="AC302" t="s">
        <v>6219</v>
      </c>
      <c r="AD302" t="s">
        <v>6220</v>
      </c>
      <c r="AE302" t="s">
        <v>6221</v>
      </c>
      <c r="AF302" t="s">
        <v>74</v>
      </c>
      <c r="AG302">
        <v>49</v>
      </c>
      <c r="AH302">
        <v>10</v>
      </c>
      <c r="AI302">
        <v>15</v>
      </c>
      <c r="AJ302">
        <v>1</v>
      </c>
      <c r="AK302">
        <v>60</v>
      </c>
      <c r="AL302" t="s">
        <v>6222</v>
      </c>
      <c r="AM302" t="s">
        <v>657</v>
      </c>
      <c r="AN302" t="s">
        <v>6223</v>
      </c>
      <c r="AO302" t="s">
        <v>6224</v>
      </c>
      <c r="AP302" t="s">
        <v>74</v>
      </c>
      <c r="AQ302" t="s">
        <v>74</v>
      </c>
      <c r="AR302" t="s">
        <v>6209</v>
      </c>
      <c r="AS302" t="s">
        <v>6225</v>
      </c>
      <c r="AT302" t="s">
        <v>6184</v>
      </c>
      <c r="AU302">
        <v>2019</v>
      </c>
      <c r="AV302">
        <v>7</v>
      </c>
      <c r="AW302" t="s">
        <v>74</v>
      </c>
      <c r="AX302" t="s">
        <v>74</v>
      </c>
      <c r="AY302" t="s">
        <v>74</v>
      </c>
      <c r="AZ302" t="s">
        <v>74</v>
      </c>
      <c r="BA302" t="s">
        <v>74</v>
      </c>
      <c r="BB302" t="s">
        <v>74</v>
      </c>
      <c r="BC302" t="s">
        <v>74</v>
      </c>
      <c r="BD302" t="s">
        <v>6226</v>
      </c>
      <c r="BE302" t="s">
        <v>6227</v>
      </c>
      <c r="BF302" t="str">
        <f>HYPERLINK("http://dx.doi.org/10.7717/peerj.7128","http://dx.doi.org/10.7717/peerj.7128")</f>
        <v>http://dx.doi.org/10.7717/peerj.7128</v>
      </c>
      <c r="BG302" t="s">
        <v>74</v>
      </c>
      <c r="BH302" t="s">
        <v>74</v>
      </c>
      <c r="BI302">
        <v>18</v>
      </c>
      <c r="BJ302" t="s">
        <v>1004</v>
      </c>
      <c r="BK302" t="s">
        <v>101</v>
      </c>
      <c r="BL302" t="s">
        <v>1005</v>
      </c>
      <c r="BM302" t="s">
        <v>6228</v>
      </c>
      <c r="BN302">
        <v>31392086</v>
      </c>
      <c r="BO302" t="s">
        <v>6229</v>
      </c>
      <c r="BP302" t="s">
        <v>74</v>
      </c>
      <c r="BQ302" t="s">
        <v>74</v>
      </c>
      <c r="BR302" t="s">
        <v>103</v>
      </c>
      <c r="BS302" t="s">
        <v>6230</v>
      </c>
      <c r="BT302" t="str">
        <f>HYPERLINK("https%3A%2F%2Fwww.webofscience.com%2Fwos%2Fwoscc%2Ffull-record%2FWOS:000477696400002","View Full Record in Web of Science")</f>
        <v>View Full Record in Web of Science</v>
      </c>
    </row>
    <row r="303" spans="1:72" x14ac:dyDescent="0.15">
      <c r="A303" t="s">
        <v>72</v>
      </c>
      <c r="B303" t="s">
        <v>6231</v>
      </c>
      <c r="C303" t="s">
        <v>74</v>
      </c>
      <c r="D303" t="s">
        <v>74</v>
      </c>
      <c r="E303" t="s">
        <v>74</v>
      </c>
      <c r="F303" t="s">
        <v>6232</v>
      </c>
      <c r="G303" t="s">
        <v>74</v>
      </c>
      <c r="H303" t="s">
        <v>74</v>
      </c>
      <c r="I303" t="s">
        <v>6233</v>
      </c>
      <c r="J303" t="s">
        <v>884</v>
      </c>
      <c r="K303" t="s">
        <v>74</v>
      </c>
      <c r="L303" t="s">
        <v>74</v>
      </c>
      <c r="M303" t="s">
        <v>78</v>
      </c>
      <c r="N303" t="s">
        <v>108</v>
      </c>
      <c r="O303" t="s">
        <v>74</v>
      </c>
      <c r="P303" t="s">
        <v>74</v>
      </c>
      <c r="Q303" t="s">
        <v>74</v>
      </c>
      <c r="R303" t="s">
        <v>74</v>
      </c>
      <c r="S303" t="s">
        <v>74</v>
      </c>
      <c r="T303" t="s">
        <v>6234</v>
      </c>
      <c r="U303" t="s">
        <v>6235</v>
      </c>
      <c r="V303" t="s">
        <v>6236</v>
      </c>
      <c r="W303" t="s">
        <v>6237</v>
      </c>
      <c r="X303" t="s">
        <v>6238</v>
      </c>
      <c r="Y303" t="s">
        <v>6239</v>
      </c>
      <c r="Z303" t="s">
        <v>6240</v>
      </c>
      <c r="AA303" t="s">
        <v>6241</v>
      </c>
      <c r="AB303" t="s">
        <v>6242</v>
      </c>
      <c r="AC303" t="s">
        <v>6243</v>
      </c>
      <c r="AD303" t="s">
        <v>6244</v>
      </c>
      <c r="AE303" t="s">
        <v>6245</v>
      </c>
      <c r="AF303" t="s">
        <v>74</v>
      </c>
      <c r="AG303">
        <v>45</v>
      </c>
      <c r="AH303">
        <v>16</v>
      </c>
      <c r="AI303">
        <v>17</v>
      </c>
      <c r="AJ303">
        <v>0</v>
      </c>
      <c r="AK303">
        <v>1</v>
      </c>
      <c r="AL303" t="s">
        <v>182</v>
      </c>
      <c r="AM303" t="s">
        <v>183</v>
      </c>
      <c r="AN303" t="s">
        <v>184</v>
      </c>
      <c r="AO303" t="s">
        <v>896</v>
      </c>
      <c r="AP303" t="s">
        <v>897</v>
      </c>
      <c r="AQ303" t="s">
        <v>74</v>
      </c>
      <c r="AR303" t="s">
        <v>898</v>
      </c>
      <c r="AS303" t="s">
        <v>899</v>
      </c>
      <c r="AT303" t="s">
        <v>6246</v>
      </c>
      <c r="AU303">
        <v>2019</v>
      </c>
      <c r="AV303">
        <v>46</v>
      </c>
      <c r="AW303">
        <v>14</v>
      </c>
      <c r="AX303" t="s">
        <v>74</v>
      </c>
      <c r="AY303" t="s">
        <v>74</v>
      </c>
      <c r="AZ303" t="s">
        <v>74</v>
      </c>
      <c r="BA303" t="s">
        <v>74</v>
      </c>
      <c r="BB303">
        <v>7893</v>
      </c>
      <c r="BC303">
        <v>7901</v>
      </c>
      <c r="BD303" t="s">
        <v>74</v>
      </c>
      <c r="BE303" t="s">
        <v>6247</v>
      </c>
      <c r="BF303" t="str">
        <f>HYPERLINK("http://dx.doi.org/10.1029/2018GL081658","http://dx.doi.org/10.1029/2018GL081658")</f>
        <v>http://dx.doi.org/10.1029/2018GL081658</v>
      </c>
      <c r="BG303" t="s">
        <v>74</v>
      </c>
      <c r="BH303" t="s">
        <v>74</v>
      </c>
      <c r="BI303">
        <v>9</v>
      </c>
      <c r="BJ303" t="s">
        <v>471</v>
      </c>
      <c r="BK303" t="s">
        <v>101</v>
      </c>
      <c r="BL303" t="s">
        <v>472</v>
      </c>
      <c r="BM303" t="s">
        <v>6248</v>
      </c>
      <c r="BN303" t="s">
        <v>74</v>
      </c>
      <c r="BO303" t="s">
        <v>6249</v>
      </c>
      <c r="BP303" t="s">
        <v>74</v>
      </c>
      <c r="BQ303" t="s">
        <v>74</v>
      </c>
      <c r="BR303" t="s">
        <v>103</v>
      </c>
      <c r="BS303" t="s">
        <v>6250</v>
      </c>
      <c r="BT303" t="str">
        <f>HYPERLINK("https%3A%2F%2Fwww.webofscience.com%2Fwos%2Fwoscc%2Ffull-record%2FWOS:000481818900004","View Full Record in Web of Science")</f>
        <v>View Full Record in Web of Science</v>
      </c>
    </row>
    <row r="304" spans="1:72" x14ac:dyDescent="0.15">
      <c r="A304" t="s">
        <v>72</v>
      </c>
      <c r="B304" t="s">
        <v>6251</v>
      </c>
      <c r="C304" t="s">
        <v>74</v>
      </c>
      <c r="D304" t="s">
        <v>74</v>
      </c>
      <c r="E304" t="s">
        <v>74</v>
      </c>
      <c r="F304" t="s">
        <v>6252</v>
      </c>
      <c r="G304" t="s">
        <v>74</v>
      </c>
      <c r="H304" t="s">
        <v>74</v>
      </c>
      <c r="I304" t="s">
        <v>6253</v>
      </c>
      <c r="J304" t="s">
        <v>884</v>
      </c>
      <c r="K304" t="s">
        <v>74</v>
      </c>
      <c r="L304" t="s">
        <v>74</v>
      </c>
      <c r="M304" t="s">
        <v>78</v>
      </c>
      <c r="N304" t="s">
        <v>108</v>
      </c>
      <c r="O304" t="s">
        <v>74</v>
      </c>
      <c r="P304" t="s">
        <v>74</v>
      </c>
      <c r="Q304" t="s">
        <v>74</v>
      </c>
      <c r="R304" t="s">
        <v>74</v>
      </c>
      <c r="S304" t="s">
        <v>74</v>
      </c>
      <c r="T304" t="s">
        <v>6254</v>
      </c>
      <c r="U304" t="s">
        <v>6255</v>
      </c>
      <c r="V304" t="s">
        <v>6256</v>
      </c>
      <c r="W304" t="s">
        <v>6257</v>
      </c>
      <c r="X304" t="s">
        <v>6258</v>
      </c>
      <c r="Y304" t="s">
        <v>6259</v>
      </c>
      <c r="Z304" t="s">
        <v>6260</v>
      </c>
      <c r="AA304" t="s">
        <v>6261</v>
      </c>
      <c r="AB304" t="s">
        <v>6262</v>
      </c>
      <c r="AC304" t="s">
        <v>6263</v>
      </c>
      <c r="AD304" t="s">
        <v>6264</v>
      </c>
      <c r="AE304" t="s">
        <v>6265</v>
      </c>
      <c r="AF304" t="s">
        <v>74</v>
      </c>
      <c r="AG304">
        <v>63</v>
      </c>
      <c r="AH304">
        <v>111</v>
      </c>
      <c r="AI304">
        <v>122</v>
      </c>
      <c r="AJ304">
        <v>2</v>
      </c>
      <c r="AK304">
        <v>33</v>
      </c>
      <c r="AL304" t="s">
        <v>182</v>
      </c>
      <c r="AM304" t="s">
        <v>183</v>
      </c>
      <c r="AN304" t="s">
        <v>184</v>
      </c>
      <c r="AO304" t="s">
        <v>896</v>
      </c>
      <c r="AP304" t="s">
        <v>897</v>
      </c>
      <c r="AQ304" t="s">
        <v>74</v>
      </c>
      <c r="AR304" t="s">
        <v>898</v>
      </c>
      <c r="AS304" t="s">
        <v>899</v>
      </c>
      <c r="AT304" t="s">
        <v>6246</v>
      </c>
      <c r="AU304">
        <v>2019</v>
      </c>
      <c r="AV304">
        <v>46</v>
      </c>
      <c r="AW304">
        <v>14</v>
      </c>
      <c r="AX304" t="s">
        <v>74</v>
      </c>
      <c r="AY304" t="s">
        <v>74</v>
      </c>
      <c r="AZ304" t="s">
        <v>74</v>
      </c>
      <c r="BA304" t="s">
        <v>74</v>
      </c>
      <c r="BB304">
        <v>8174</v>
      </c>
      <c r="BC304">
        <v>8183</v>
      </c>
      <c r="BD304" t="s">
        <v>74</v>
      </c>
      <c r="BE304" t="s">
        <v>6266</v>
      </c>
      <c r="BF304" t="str">
        <f>HYPERLINK("http://dx.doi.org/10.1029/2019GL082182","http://dx.doi.org/10.1029/2019GL082182")</f>
        <v>http://dx.doi.org/10.1029/2019GL082182</v>
      </c>
      <c r="BG304" t="s">
        <v>74</v>
      </c>
      <c r="BH304" t="s">
        <v>74</v>
      </c>
      <c r="BI304">
        <v>10</v>
      </c>
      <c r="BJ304" t="s">
        <v>471</v>
      </c>
      <c r="BK304" t="s">
        <v>101</v>
      </c>
      <c r="BL304" t="s">
        <v>472</v>
      </c>
      <c r="BM304" t="s">
        <v>6248</v>
      </c>
      <c r="BN304">
        <v>35866175</v>
      </c>
      <c r="BO304" t="s">
        <v>595</v>
      </c>
      <c r="BP304" t="s">
        <v>74</v>
      </c>
      <c r="BQ304" t="s">
        <v>74</v>
      </c>
      <c r="BR304" t="s">
        <v>103</v>
      </c>
      <c r="BS304" t="s">
        <v>6267</v>
      </c>
      <c r="BT304" t="str">
        <f>HYPERLINK("https%3A%2F%2Fwww.webofscience.com%2Fwos%2Fwoscc%2Ffull-record%2FWOS:000481818900035","View Full Record in Web of Science")</f>
        <v>View Full Record in Web of Science</v>
      </c>
    </row>
    <row r="305" spans="1:72" x14ac:dyDescent="0.15">
      <c r="A305" t="s">
        <v>72</v>
      </c>
      <c r="B305" t="s">
        <v>6268</v>
      </c>
      <c r="C305" t="s">
        <v>74</v>
      </c>
      <c r="D305" t="s">
        <v>74</v>
      </c>
      <c r="E305" t="s">
        <v>74</v>
      </c>
      <c r="F305" t="s">
        <v>6269</v>
      </c>
      <c r="G305" t="s">
        <v>74</v>
      </c>
      <c r="H305" t="s">
        <v>74</v>
      </c>
      <c r="I305" t="s">
        <v>6270</v>
      </c>
      <c r="J305" t="s">
        <v>884</v>
      </c>
      <c r="K305" t="s">
        <v>74</v>
      </c>
      <c r="L305" t="s">
        <v>74</v>
      </c>
      <c r="M305" t="s">
        <v>78</v>
      </c>
      <c r="N305" t="s">
        <v>108</v>
      </c>
      <c r="O305" t="s">
        <v>74</v>
      </c>
      <c r="P305" t="s">
        <v>74</v>
      </c>
      <c r="Q305" t="s">
        <v>74</v>
      </c>
      <c r="R305" t="s">
        <v>74</v>
      </c>
      <c r="S305" t="s">
        <v>74</v>
      </c>
      <c r="T305" t="s">
        <v>6271</v>
      </c>
      <c r="U305" t="s">
        <v>6272</v>
      </c>
      <c r="V305" t="s">
        <v>6273</v>
      </c>
      <c r="W305" t="s">
        <v>6274</v>
      </c>
      <c r="X305" t="s">
        <v>6275</v>
      </c>
      <c r="Y305" t="s">
        <v>6276</v>
      </c>
      <c r="Z305" t="s">
        <v>6277</v>
      </c>
      <c r="AA305" t="s">
        <v>6278</v>
      </c>
      <c r="AB305" t="s">
        <v>6279</v>
      </c>
      <c r="AC305" t="s">
        <v>6280</v>
      </c>
      <c r="AD305" t="s">
        <v>6281</v>
      </c>
      <c r="AE305" t="s">
        <v>6282</v>
      </c>
      <c r="AF305" t="s">
        <v>74</v>
      </c>
      <c r="AG305">
        <v>33</v>
      </c>
      <c r="AH305">
        <v>8</v>
      </c>
      <c r="AI305">
        <v>9</v>
      </c>
      <c r="AJ305">
        <v>0</v>
      </c>
      <c r="AK305">
        <v>13</v>
      </c>
      <c r="AL305" t="s">
        <v>182</v>
      </c>
      <c r="AM305" t="s">
        <v>183</v>
      </c>
      <c r="AN305" t="s">
        <v>184</v>
      </c>
      <c r="AO305" t="s">
        <v>896</v>
      </c>
      <c r="AP305" t="s">
        <v>897</v>
      </c>
      <c r="AQ305" t="s">
        <v>74</v>
      </c>
      <c r="AR305" t="s">
        <v>898</v>
      </c>
      <c r="AS305" t="s">
        <v>899</v>
      </c>
      <c r="AT305" t="s">
        <v>6246</v>
      </c>
      <c r="AU305">
        <v>2019</v>
      </c>
      <c r="AV305">
        <v>46</v>
      </c>
      <c r="AW305">
        <v>14</v>
      </c>
      <c r="AX305" t="s">
        <v>74</v>
      </c>
      <c r="AY305" t="s">
        <v>74</v>
      </c>
      <c r="AZ305" t="s">
        <v>74</v>
      </c>
      <c r="BA305" t="s">
        <v>74</v>
      </c>
      <c r="BB305">
        <v>8224</v>
      </c>
      <c r="BC305">
        <v>8233</v>
      </c>
      <c r="BD305" t="s">
        <v>74</v>
      </c>
      <c r="BE305" t="s">
        <v>6283</v>
      </c>
      <c r="BF305" t="str">
        <f>HYPERLINK("http://dx.doi.org/10.1029/2019GL082999","http://dx.doi.org/10.1029/2019GL082999")</f>
        <v>http://dx.doi.org/10.1029/2019GL082999</v>
      </c>
      <c r="BG305" t="s">
        <v>74</v>
      </c>
      <c r="BH305" t="s">
        <v>74</v>
      </c>
      <c r="BI305">
        <v>10</v>
      </c>
      <c r="BJ305" t="s">
        <v>471</v>
      </c>
      <c r="BK305" t="s">
        <v>101</v>
      </c>
      <c r="BL305" t="s">
        <v>472</v>
      </c>
      <c r="BM305" t="s">
        <v>6248</v>
      </c>
      <c r="BN305" t="s">
        <v>74</v>
      </c>
      <c r="BO305" t="s">
        <v>1867</v>
      </c>
      <c r="BP305" t="s">
        <v>74</v>
      </c>
      <c r="BQ305" t="s">
        <v>74</v>
      </c>
      <c r="BR305" t="s">
        <v>103</v>
      </c>
      <c r="BS305" t="s">
        <v>6284</v>
      </c>
      <c r="BT305" t="str">
        <f>HYPERLINK("https%3A%2F%2Fwww.webofscience.com%2Fwos%2Fwoscc%2Ffull-record%2FWOS:000481818900040","View Full Record in Web of Science")</f>
        <v>View Full Record in Web of Science</v>
      </c>
    </row>
    <row r="306" spans="1:72" x14ac:dyDescent="0.15">
      <c r="A306" t="s">
        <v>72</v>
      </c>
      <c r="B306" t="s">
        <v>6285</v>
      </c>
      <c r="C306" t="s">
        <v>74</v>
      </c>
      <c r="D306" t="s">
        <v>74</v>
      </c>
      <c r="E306" t="s">
        <v>74</v>
      </c>
      <c r="F306" t="s">
        <v>6286</v>
      </c>
      <c r="G306" t="s">
        <v>74</v>
      </c>
      <c r="H306" t="s">
        <v>74</v>
      </c>
      <c r="I306" t="s">
        <v>6287</v>
      </c>
      <c r="J306" t="s">
        <v>1887</v>
      </c>
      <c r="K306" t="s">
        <v>74</v>
      </c>
      <c r="L306" t="s">
        <v>74</v>
      </c>
      <c r="M306" t="s">
        <v>78</v>
      </c>
      <c r="N306" t="s">
        <v>108</v>
      </c>
      <c r="O306" t="s">
        <v>74</v>
      </c>
      <c r="P306" t="s">
        <v>74</v>
      </c>
      <c r="Q306" t="s">
        <v>74</v>
      </c>
      <c r="R306" t="s">
        <v>74</v>
      </c>
      <c r="S306" t="s">
        <v>74</v>
      </c>
      <c r="T306" t="s">
        <v>6288</v>
      </c>
      <c r="U306" t="s">
        <v>6289</v>
      </c>
      <c r="V306" t="s">
        <v>6290</v>
      </c>
      <c r="W306" t="s">
        <v>6291</v>
      </c>
      <c r="X306" t="s">
        <v>6292</v>
      </c>
      <c r="Y306" t="s">
        <v>6293</v>
      </c>
      <c r="Z306" t="s">
        <v>6294</v>
      </c>
      <c r="AA306" t="s">
        <v>6295</v>
      </c>
      <c r="AB306" t="s">
        <v>6296</v>
      </c>
      <c r="AC306" t="s">
        <v>6297</v>
      </c>
      <c r="AD306" t="s">
        <v>6298</v>
      </c>
      <c r="AE306" t="s">
        <v>6299</v>
      </c>
      <c r="AF306" t="s">
        <v>74</v>
      </c>
      <c r="AG306">
        <v>99</v>
      </c>
      <c r="AH306">
        <v>21</v>
      </c>
      <c r="AI306">
        <v>23</v>
      </c>
      <c r="AJ306">
        <v>2</v>
      </c>
      <c r="AK306">
        <v>39</v>
      </c>
      <c r="AL306" t="s">
        <v>182</v>
      </c>
      <c r="AM306" t="s">
        <v>183</v>
      </c>
      <c r="AN306" t="s">
        <v>184</v>
      </c>
      <c r="AO306" t="s">
        <v>6300</v>
      </c>
      <c r="AP306" t="s">
        <v>1899</v>
      </c>
      <c r="AQ306" t="s">
        <v>74</v>
      </c>
      <c r="AR306" t="s">
        <v>1900</v>
      </c>
      <c r="AS306" t="s">
        <v>1901</v>
      </c>
      <c r="AT306" t="s">
        <v>6301</v>
      </c>
      <c r="AU306">
        <v>2019</v>
      </c>
      <c r="AV306">
        <v>124</v>
      </c>
      <c r="AW306">
        <v>14</v>
      </c>
      <c r="AX306" t="s">
        <v>74</v>
      </c>
      <c r="AY306" t="s">
        <v>74</v>
      </c>
      <c r="AZ306" t="s">
        <v>74</v>
      </c>
      <c r="BA306" t="s">
        <v>74</v>
      </c>
      <c r="BB306">
        <v>8161</v>
      </c>
      <c r="BC306">
        <v>8177</v>
      </c>
      <c r="BD306" t="s">
        <v>74</v>
      </c>
      <c r="BE306" t="s">
        <v>6302</v>
      </c>
      <c r="BF306" t="str">
        <f>HYPERLINK("http://dx.doi.org/10.1029/2019JD030517","http://dx.doi.org/10.1029/2019JD030517")</f>
        <v>http://dx.doi.org/10.1029/2019JD030517</v>
      </c>
      <c r="BG306" t="s">
        <v>74</v>
      </c>
      <c r="BH306" t="s">
        <v>74</v>
      </c>
      <c r="BI306">
        <v>17</v>
      </c>
      <c r="BJ306" t="s">
        <v>259</v>
      </c>
      <c r="BK306" t="s">
        <v>101</v>
      </c>
      <c r="BL306" t="s">
        <v>259</v>
      </c>
      <c r="BM306" t="s">
        <v>6303</v>
      </c>
      <c r="BN306" t="s">
        <v>74</v>
      </c>
      <c r="BO306" t="s">
        <v>2003</v>
      </c>
      <c r="BP306" t="s">
        <v>74</v>
      </c>
      <c r="BQ306" t="s">
        <v>74</v>
      </c>
      <c r="BR306" t="s">
        <v>103</v>
      </c>
      <c r="BS306" t="s">
        <v>6304</v>
      </c>
      <c r="BT306" t="str">
        <f>HYPERLINK("https%3A%2F%2Fwww.webofscience.com%2Fwos%2Fwoscc%2Ffull-record%2FWOS:000481444200040","View Full Record in Web of Science")</f>
        <v>View Full Record in Web of Science</v>
      </c>
    </row>
    <row r="307" spans="1:72" x14ac:dyDescent="0.15">
      <c r="A307" t="s">
        <v>72</v>
      </c>
      <c r="B307" t="s">
        <v>6305</v>
      </c>
      <c r="C307" t="s">
        <v>74</v>
      </c>
      <c r="D307" t="s">
        <v>74</v>
      </c>
      <c r="E307" t="s">
        <v>74</v>
      </c>
      <c r="F307" t="s">
        <v>6306</v>
      </c>
      <c r="G307" t="s">
        <v>74</v>
      </c>
      <c r="H307" t="s">
        <v>74</v>
      </c>
      <c r="I307" t="s">
        <v>6307</v>
      </c>
      <c r="J307" t="s">
        <v>1887</v>
      </c>
      <c r="K307" t="s">
        <v>74</v>
      </c>
      <c r="L307" t="s">
        <v>74</v>
      </c>
      <c r="M307" t="s">
        <v>78</v>
      </c>
      <c r="N307" t="s">
        <v>108</v>
      </c>
      <c r="O307" t="s">
        <v>74</v>
      </c>
      <c r="P307" t="s">
        <v>74</v>
      </c>
      <c r="Q307" t="s">
        <v>74</v>
      </c>
      <c r="R307" t="s">
        <v>74</v>
      </c>
      <c r="S307" t="s">
        <v>74</v>
      </c>
      <c r="T307" t="s">
        <v>6308</v>
      </c>
      <c r="U307" t="s">
        <v>6309</v>
      </c>
      <c r="V307" t="s">
        <v>6310</v>
      </c>
      <c r="W307" t="s">
        <v>6311</v>
      </c>
      <c r="X307" t="s">
        <v>6312</v>
      </c>
      <c r="Y307" t="s">
        <v>6313</v>
      </c>
      <c r="Z307" t="s">
        <v>6314</v>
      </c>
      <c r="AA307" t="s">
        <v>6315</v>
      </c>
      <c r="AB307" t="s">
        <v>6316</v>
      </c>
      <c r="AC307" t="s">
        <v>6317</v>
      </c>
      <c r="AD307" t="s">
        <v>6318</v>
      </c>
      <c r="AE307" t="s">
        <v>6319</v>
      </c>
      <c r="AF307" t="s">
        <v>74</v>
      </c>
      <c r="AG307">
        <v>100</v>
      </c>
      <c r="AH307">
        <v>10</v>
      </c>
      <c r="AI307">
        <v>10</v>
      </c>
      <c r="AJ307">
        <v>1</v>
      </c>
      <c r="AK307">
        <v>36</v>
      </c>
      <c r="AL307" t="s">
        <v>182</v>
      </c>
      <c r="AM307" t="s">
        <v>183</v>
      </c>
      <c r="AN307" t="s">
        <v>184</v>
      </c>
      <c r="AO307" t="s">
        <v>6300</v>
      </c>
      <c r="AP307" t="s">
        <v>1899</v>
      </c>
      <c r="AQ307" t="s">
        <v>74</v>
      </c>
      <c r="AR307" t="s">
        <v>1900</v>
      </c>
      <c r="AS307" t="s">
        <v>1901</v>
      </c>
      <c r="AT307" t="s">
        <v>6301</v>
      </c>
      <c r="AU307">
        <v>2019</v>
      </c>
      <c r="AV307">
        <v>124</v>
      </c>
      <c r="AW307">
        <v>14</v>
      </c>
      <c r="AX307" t="s">
        <v>74</v>
      </c>
      <c r="AY307" t="s">
        <v>74</v>
      </c>
      <c r="AZ307" t="s">
        <v>74</v>
      </c>
      <c r="BA307" t="s">
        <v>74</v>
      </c>
      <c r="BB307">
        <v>8104</v>
      </c>
      <c r="BC307">
        <v>8118</v>
      </c>
      <c r="BD307" t="s">
        <v>74</v>
      </c>
      <c r="BE307" t="s">
        <v>6320</v>
      </c>
      <c r="BF307" t="str">
        <f>HYPERLINK("http://dx.doi.org/10.1029/2018JD029063","http://dx.doi.org/10.1029/2018JD029063")</f>
        <v>http://dx.doi.org/10.1029/2018JD029063</v>
      </c>
      <c r="BG307" t="s">
        <v>74</v>
      </c>
      <c r="BH307" t="s">
        <v>74</v>
      </c>
      <c r="BI307">
        <v>15</v>
      </c>
      <c r="BJ307" t="s">
        <v>259</v>
      </c>
      <c r="BK307" t="s">
        <v>101</v>
      </c>
      <c r="BL307" t="s">
        <v>259</v>
      </c>
      <c r="BM307" t="s">
        <v>6303</v>
      </c>
      <c r="BN307" t="s">
        <v>74</v>
      </c>
      <c r="BO307" t="s">
        <v>164</v>
      </c>
      <c r="BP307" t="s">
        <v>74</v>
      </c>
      <c r="BQ307" t="s">
        <v>74</v>
      </c>
      <c r="BR307" t="s">
        <v>103</v>
      </c>
      <c r="BS307" t="s">
        <v>6321</v>
      </c>
      <c r="BT307" t="str">
        <f>HYPERLINK("https%3A%2F%2Fwww.webofscience.com%2Fwos%2Fwoscc%2Ffull-record%2FWOS:000481444200037","View Full Record in Web of Science")</f>
        <v>View Full Record in Web of Science</v>
      </c>
    </row>
    <row r="308" spans="1:72" x14ac:dyDescent="0.15">
      <c r="A308" t="s">
        <v>72</v>
      </c>
      <c r="B308" t="s">
        <v>6322</v>
      </c>
      <c r="C308" t="s">
        <v>74</v>
      </c>
      <c r="D308" t="s">
        <v>74</v>
      </c>
      <c r="E308" t="s">
        <v>74</v>
      </c>
      <c r="F308" t="s">
        <v>6323</v>
      </c>
      <c r="G308" t="s">
        <v>74</v>
      </c>
      <c r="H308" t="s">
        <v>74</v>
      </c>
      <c r="I308" t="s">
        <v>6324</v>
      </c>
      <c r="J308" t="s">
        <v>989</v>
      </c>
      <c r="K308" t="s">
        <v>74</v>
      </c>
      <c r="L308" t="s">
        <v>74</v>
      </c>
      <c r="M308" t="s">
        <v>78</v>
      </c>
      <c r="N308" t="s">
        <v>108</v>
      </c>
      <c r="O308" t="s">
        <v>74</v>
      </c>
      <c r="P308" t="s">
        <v>74</v>
      </c>
      <c r="Q308" t="s">
        <v>74</v>
      </c>
      <c r="R308" t="s">
        <v>74</v>
      </c>
      <c r="S308" t="s">
        <v>74</v>
      </c>
      <c r="T308" t="s">
        <v>74</v>
      </c>
      <c r="U308" t="s">
        <v>6325</v>
      </c>
      <c r="V308" t="s">
        <v>6326</v>
      </c>
      <c r="W308" t="s">
        <v>6327</v>
      </c>
      <c r="X308" t="s">
        <v>6328</v>
      </c>
      <c r="Y308" t="s">
        <v>6329</v>
      </c>
      <c r="Z308" t="s">
        <v>6330</v>
      </c>
      <c r="AA308" t="s">
        <v>74</v>
      </c>
      <c r="AB308" t="s">
        <v>6331</v>
      </c>
      <c r="AC308" t="s">
        <v>6332</v>
      </c>
      <c r="AD308" t="s">
        <v>6333</v>
      </c>
      <c r="AE308" t="s">
        <v>6334</v>
      </c>
      <c r="AF308" t="s">
        <v>74</v>
      </c>
      <c r="AG308">
        <v>37</v>
      </c>
      <c r="AH308">
        <v>9</v>
      </c>
      <c r="AI308">
        <v>9</v>
      </c>
      <c r="AJ308">
        <v>0</v>
      </c>
      <c r="AK308">
        <v>3</v>
      </c>
      <c r="AL308" t="s">
        <v>1019</v>
      </c>
      <c r="AM308" t="s">
        <v>1020</v>
      </c>
      <c r="AN308" t="s">
        <v>1021</v>
      </c>
      <c r="AO308" t="s">
        <v>1000</v>
      </c>
      <c r="AP308" t="s">
        <v>74</v>
      </c>
      <c r="AQ308" t="s">
        <v>74</v>
      </c>
      <c r="AR308" t="s">
        <v>1001</v>
      </c>
      <c r="AS308" t="s">
        <v>1002</v>
      </c>
      <c r="AT308" t="s">
        <v>6335</v>
      </c>
      <c r="AU308">
        <v>2019</v>
      </c>
      <c r="AV308">
        <v>9</v>
      </c>
      <c r="AW308" t="s">
        <v>74</v>
      </c>
      <c r="AX308" t="s">
        <v>74</v>
      </c>
      <c r="AY308" t="s">
        <v>74</v>
      </c>
      <c r="AZ308" t="s">
        <v>74</v>
      </c>
      <c r="BA308" t="s">
        <v>74</v>
      </c>
      <c r="BB308" t="s">
        <v>74</v>
      </c>
      <c r="BC308" t="s">
        <v>74</v>
      </c>
      <c r="BD308">
        <v>10875</v>
      </c>
      <c r="BE308" t="s">
        <v>6336</v>
      </c>
      <c r="BF308" t="str">
        <f>HYPERLINK("http://dx.doi.org/10.1038/s41598-019-46900-7","http://dx.doi.org/10.1038/s41598-019-46900-7")</f>
        <v>http://dx.doi.org/10.1038/s41598-019-46900-7</v>
      </c>
      <c r="BG308" t="s">
        <v>74</v>
      </c>
      <c r="BH308" t="s">
        <v>74</v>
      </c>
      <c r="BI308">
        <v>8</v>
      </c>
      <c r="BJ308" t="s">
        <v>1004</v>
      </c>
      <c r="BK308" t="s">
        <v>101</v>
      </c>
      <c r="BL308" t="s">
        <v>1005</v>
      </c>
      <c r="BM308" t="s">
        <v>6337</v>
      </c>
      <c r="BN308">
        <v>31350440</v>
      </c>
      <c r="BO308" t="s">
        <v>313</v>
      </c>
      <c r="BP308" t="s">
        <v>74</v>
      </c>
      <c r="BQ308" t="s">
        <v>74</v>
      </c>
      <c r="BR308" t="s">
        <v>103</v>
      </c>
      <c r="BS308" t="s">
        <v>6338</v>
      </c>
      <c r="BT308" t="str">
        <f>HYPERLINK("https%3A%2F%2Fwww.webofscience.com%2Fwos%2Fwoscc%2Ffull-record%2FWOS:000477698600033","View Full Record in Web of Science")</f>
        <v>View Full Record in Web of Science</v>
      </c>
    </row>
    <row r="309" spans="1:72" x14ac:dyDescent="0.15">
      <c r="A309" t="s">
        <v>72</v>
      </c>
      <c r="B309" t="s">
        <v>6339</v>
      </c>
      <c r="C309" t="s">
        <v>74</v>
      </c>
      <c r="D309" t="s">
        <v>74</v>
      </c>
      <c r="E309" t="s">
        <v>74</v>
      </c>
      <c r="F309" t="s">
        <v>6340</v>
      </c>
      <c r="G309" t="s">
        <v>74</v>
      </c>
      <c r="H309" t="s">
        <v>74</v>
      </c>
      <c r="I309" t="s">
        <v>6341</v>
      </c>
      <c r="J309" t="s">
        <v>6342</v>
      </c>
      <c r="K309" t="s">
        <v>74</v>
      </c>
      <c r="L309" t="s">
        <v>74</v>
      </c>
      <c r="M309" t="s">
        <v>78</v>
      </c>
      <c r="N309" t="s">
        <v>2711</v>
      </c>
      <c r="O309" t="s">
        <v>74</v>
      </c>
      <c r="P309" t="s">
        <v>74</v>
      </c>
      <c r="Q309" t="s">
        <v>74</v>
      </c>
      <c r="R309" t="s">
        <v>74</v>
      </c>
      <c r="S309" t="s">
        <v>74</v>
      </c>
      <c r="T309" t="s">
        <v>6343</v>
      </c>
      <c r="U309" t="s">
        <v>6344</v>
      </c>
      <c r="V309" t="s">
        <v>6345</v>
      </c>
      <c r="W309" t="s">
        <v>6346</v>
      </c>
      <c r="X309" t="s">
        <v>6347</v>
      </c>
      <c r="Y309" t="s">
        <v>6348</v>
      </c>
      <c r="Z309" t="s">
        <v>6349</v>
      </c>
      <c r="AA309" t="s">
        <v>6350</v>
      </c>
      <c r="AB309" t="s">
        <v>6351</v>
      </c>
      <c r="AC309" t="s">
        <v>74</v>
      </c>
      <c r="AD309" t="s">
        <v>74</v>
      </c>
      <c r="AE309" t="s">
        <v>74</v>
      </c>
      <c r="AF309" t="s">
        <v>74</v>
      </c>
      <c r="AG309">
        <v>30</v>
      </c>
      <c r="AH309">
        <v>8</v>
      </c>
      <c r="AI309">
        <v>10</v>
      </c>
      <c r="AJ309">
        <v>0</v>
      </c>
      <c r="AK309">
        <v>3</v>
      </c>
      <c r="AL309" t="s">
        <v>1140</v>
      </c>
      <c r="AM309" t="s">
        <v>1141</v>
      </c>
      <c r="AN309" t="s">
        <v>1142</v>
      </c>
      <c r="AO309" t="s">
        <v>6352</v>
      </c>
      <c r="AP309" t="s">
        <v>6353</v>
      </c>
      <c r="AQ309" t="s">
        <v>74</v>
      </c>
      <c r="AR309" t="s">
        <v>6354</v>
      </c>
      <c r="AS309" t="s">
        <v>6355</v>
      </c>
      <c r="AT309" t="s">
        <v>1147</v>
      </c>
      <c r="AU309">
        <v>2019</v>
      </c>
      <c r="AV309">
        <v>29</v>
      </c>
      <c r="AW309">
        <v>11</v>
      </c>
      <c r="AX309" t="s">
        <v>74</v>
      </c>
      <c r="AY309" t="s">
        <v>74</v>
      </c>
      <c r="AZ309" t="s">
        <v>74</v>
      </c>
      <c r="BA309" t="s">
        <v>74</v>
      </c>
      <c r="BB309">
        <v>2010</v>
      </c>
      <c r="BC309">
        <v>2016</v>
      </c>
      <c r="BD309" t="s">
        <v>74</v>
      </c>
      <c r="BE309" t="s">
        <v>6356</v>
      </c>
      <c r="BF309" t="str">
        <f>HYPERLINK("http://dx.doi.org/10.1002/aqc.3161","http://dx.doi.org/10.1002/aqc.3161")</f>
        <v>http://dx.doi.org/10.1002/aqc.3161</v>
      </c>
      <c r="BG309" t="s">
        <v>74</v>
      </c>
      <c r="BH309" t="s">
        <v>6119</v>
      </c>
      <c r="BI309">
        <v>7</v>
      </c>
      <c r="BJ309" t="s">
        <v>6357</v>
      </c>
      <c r="BK309" t="s">
        <v>101</v>
      </c>
      <c r="BL309" t="s">
        <v>6358</v>
      </c>
      <c r="BM309" t="s">
        <v>6359</v>
      </c>
      <c r="BN309" t="s">
        <v>74</v>
      </c>
      <c r="BO309" t="s">
        <v>164</v>
      </c>
      <c r="BP309" t="s">
        <v>74</v>
      </c>
      <c r="BQ309" t="s">
        <v>74</v>
      </c>
      <c r="BR309" t="s">
        <v>103</v>
      </c>
      <c r="BS309" t="s">
        <v>6360</v>
      </c>
      <c r="BT309" t="str">
        <f>HYPERLINK("https%3A%2F%2Fwww.webofscience.com%2Fwos%2Fwoscc%2Ffull-record%2FWOS:000479712300001","View Full Record in Web of Science")</f>
        <v>View Full Record in Web of Science</v>
      </c>
    </row>
    <row r="310" spans="1:72" x14ac:dyDescent="0.15">
      <c r="A310" t="s">
        <v>72</v>
      </c>
      <c r="B310" t="s">
        <v>6361</v>
      </c>
      <c r="C310" t="s">
        <v>74</v>
      </c>
      <c r="D310" t="s">
        <v>74</v>
      </c>
      <c r="E310" t="s">
        <v>74</v>
      </c>
      <c r="F310" t="s">
        <v>6362</v>
      </c>
      <c r="G310" t="s">
        <v>74</v>
      </c>
      <c r="H310" t="s">
        <v>74</v>
      </c>
      <c r="I310" t="s">
        <v>6363</v>
      </c>
      <c r="J310" t="s">
        <v>1179</v>
      </c>
      <c r="K310" t="s">
        <v>74</v>
      </c>
      <c r="L310" t="s">
        <v>74</v>
      </c>
      <c r="M310" t="s">
        <v>78</v>
      </c>
      <c r="N310" t="s">
        <v>108</v>
      </c>
      <c r="O310" t="s">
        <v>74</v>
      </c>
      <c r="P310" t="s">
        <v>74</v>
      </c>
      <c r="Q310" t="s">
        <v>74</v>
      </c>
      <c r="R310" t="s">
        <v>74</v>
      </c>
      <c r="S310" t="s">
        <v>74</v>
      </c>
      <c r="T310" t="s">
        <v>74</v>
      </c>
      <c r="U310" t="s">
        <v>6364</v>
      </c>
      <c r="V310" t="s">
        <v>6365</v>
      </c>
      <c r="W310" t="s">
        <v>6366</v>
      </c>
      <c r="X310" t="s">
        <v>6367</v>
      </c>
      <c r="Y310" t="s">
        <v>6368</v>
      </c>
      <c r="Z310" t="s">
        <v>6369</v>
      </c>
      <c r="AA310" t="s">
        <v>6370</v>
      </c>
      <c r="AB310" t="s">
        <v>6371</v>
      </c>
      <c r="AC310" t="s">
        <v>6372</v>
      </c>
      <c r="AD310" t="s">
        <v>6373</v>
      </c>
      <c r="AE310" t="s">
        <v>6374</v>
      </c>
      <c r="AF310" t="s">
        <v>74</v>
      </c>
      <c r="AG310">
        <v>122</v>
      </c>
      <c r="AH310">
        <v>189</v>
      </c>
      <c r="AI310">
        <v>197</v>
      </c>
      <c r="AJ310">
        <v>2</v>
      </c>
      <c r="AK310">
        <v>14</v>
      </c>
      <c r="AL310" t="s">
        <v>839</v>
      </c>
      <c r="AM310" t="s">
        <v>840</v>
      </c>
      <c r="AN310" t="s">
        <v>841</v>
      </c>
      <c r="AO310" t="s">
        <v>1191</v>
      </c>
      <c r="AP310" t="s">
        <v>1192</v>
      </c>
      <c r="AQ310" t="s">
        <v>74</v>
      </c>
      <c r="AR310" t="s">
        <v>1193</v>
      </c>
      <c r="AS310" t="s">
        <v>1194</v>
      </c>
      <c r="AT310" t="s">
        <v>6375</v>
      </c>
      <c r="AU310">
        <v>2019</v>
      </c>
      <c r="AV310">
        <v>12</v>
      </c>
      <c r="AW310">
        <v>7</v>
      </c>
      <c r="AX310" t="s">
        <v>74</v>
      </c>
      <c r="AY310" t="s">
        <v>74</v>
      </c>
      <c r="AZ310" t="s">
        <v>74</v>
      </c>
      <c r="BA310" t="s">
        <v>74</v>
      </c>
      <c r="BB310">
        <v>3241</v>
      </c>
      <c r="BC310">
        <v>3281</v>
      </c>
      <c r="BD310" t="s">
        <v>74</v>
      </c>
      <c r="BE310" t="s">
        <v>6376</v>
      </c>
      <c r="BF310" t="str">
        <f>HYPERLINK("http://dx.doi.org/10.5194/gmd-12-3241-2019","http://dx.doi.org/10.5194/gmd-12-3241-2019")</f>
        <v>http://dx.doi.org/10.5194/gmd-12-3241-2019</v>
      </c>
      <c r="BG310" t="s">
        <v>74</v>
      </c>
      <c r="BH310" t="s">
        <v>74</v>
      </c>
      <c r="BI310">
        <v>41</v>
      </c>
      <c r="BJ310" t="s">
        <v>471</v>
      </c>
      <c r="BK310" t="s">
        <v>101</v>
      </c>
      <c r="BL310" t="s">
        <v>472</v>
      </c>
      <c r="BM310" t="s">
        <v>6377</v>
      </c>
      <c r="BN310" t="s">
        <v>74</v>
      </c>
      <c r="BO310" t="s">
        <v>2270</v>
      </c>
      <c r="BP310" t="s">
        <v>1784</v>
      </c>
      <c r="BQ310" t="s">
        <v>1785</v>
      </c>
      <c r="BR310" t="s">
        <v>103</v>
      </c>
      <c r="BS310" t="s">
        <v>6378</v>
      </c>
      <c r="BT310" t="str">
        <f>HYPERLINK("https%3A%2F%2Fwww.webofscience.com%2Fwos%2Fwoscc%2Ffull-record%2FWOS:000477081100003","View Full Record in Web of Science")</f>
        <v>View Full Record in Web of Science</v>
      </c>
    </row>
    <row r="311" spans="1:72" x14ac:dyDescent="0.15">
      <c r="A311" t="s">
        <v>72</v>
      </c>
      <c r="B311" t="s">
        <v>6379</v>
      </c>
      <c r="C311" t="s">
        <v>74</v>
      </c>
      <c r="D311" t="s">
        <v>74</v>
      </c>
      <c r="E311" t="s">
        <v>74</v>
      </c>
      <c r="F311" t="s">
        <v>6380</v>
      </c>
      <c r="G311" t="s">
        <v>74</v>
      </c>
      <c r="H311" t="s">
        <v>74</v>
      </c>
      <c r="I311" t="s">
        <v>6381</v>
      </c>
      <c r="J311" t="s">
        <v>6382</v>
      </c>
      <c r="K311" t="s">
        <v>74</v>
      </c>
      <c r="L311" t="s">
        <v>74</v>
      </c>
      <c r="M311" t="s">
        <v>78</v>
      </c>
      <c r="N311" t="s">
        <v>108</v>
      </c>
      <c r="O311" t="s">
        <v>74</v>
      </c>
      <c r="P311" t="s">
        <v>74</v>
      </c>
      <c r="Q311" t="s">
        <v>74</v>
      </c>
      <c r="R311" t="s">
        <v>74</v>
      </c>
      <c r="S311" t="s">
        <v>74</v>
      </c>
      <c r="T311" t="s">
        <v>6383</v>
      </c>
      <c r="U311" t="s">
        <v>6384</v>
      </c>
      <c r="V311" t="s">
        <v>6385</v>
      </c>
      <c r="W311" t="s">
        <v>6386</v>
      </c>
      <c r="X311" t="s">
        <v>6387</v>
      </c>
      <c r="Y311" t="s">
        <v>6388</v>
      </c>
      <c r="Z311" t="s">
        <v>6389</v>
      </c>
      <c r="AA311" t="s">
        <v>6390</v>
      </c>
      <c r="AB311" t="s">
        <v>6391</v>
      </c>
      <c r="AC311" t="s">
        <v>74</v>
      </c>
      <c r="AD311" t="s">
        <v>74</v>
      </c>
      <c r="AE311" t="s">
        <v>74</v>
      </c>
      <c r="AF311" t="s">
        <v>74</v>
      </c>
      <c r="AG311">
        <v>32</v>
      </c>
      <c r="AH311">
        <v>8</v>
      </c>
      <c r="AI311">
        <v>8</v>
      </c>
      <c r="AJ311">
        <v>0</v>
      </c>
      <c r="AK311">
        <v>5</v>
      </c>
      <c r="AL311" t="s">
        <v>302</v>
      </c>
      <c r="AM311" t="s">
        <v>4016</v>
      </c>
      <c r="AN311" t="s">
        <v>4542</v>
      </c>
      <c r="AO311" t="s">
        <v>6392</v>
      </c>
      <c r="AP311" t="s">
        <v>6393</v>
      </c>
      <c r="AQ311" t="s">
        <v>74</v>
      </c>
      <c r="AR311" t="s">
        <v>6394</v>
      </c>
      <c r="AS311" t="s">
        <v>6395</v>
      </c>
      <c r="AT311" t="s">
        <v>6375</v>
      </c>
      <c r="AU311">
        <v>2019</v>
      </c>
      <c r="AV311">
        <v>871</v>
      </c>
      <c r="AW311" t="s">
        <v>74</v>
      </c>
      <c r="AX311" t="s">
        <v>74</v>
      </c>
      <c r="AY311" t="s">
        <v>74</v>
      </c>
      <c r="AZ311" t="s">
        <v>74</v>
      </c>
      <c r="BA311" t="s">
        <v>74</v>
      </c>
      <c r="BB311">
        <v>925</v>
      </c>
      <c r="BC311">
        <v>951</v>
      </c>
      <c r="BD311" t="s">
        <v>74</v>
      </c>
      <c r="BE311" t="s">
        <v>6396</v>
      </c>
      <c r="BF311" t="str">
        <f>HYPERLINK("http://dx.doi.org/10.1017/jfm.2019.354","http://dx.doi.org/10.1017/jfm.2019.354")</f>
        <v>http://dx.doi.org/10.1017/jfm.2019.354</v>
      </c>
      <c r="BG311" t="s">
        <v>74</v>
      </c>
      <c r="BH311" t="s">
        <v>74</v>
      </c>
      <c r="BI311">
        <v>27</v>
      </c>
      <c r="BJ311" t="s">
        <v>6397</v>
      </c>
      <c r="BK311" t="s">
        <v>101</v>
      </c>
      <c r="BL311" t="s">
        <v>6398</v>
      </c>
      <c r="BM311" t="s">
        <v>6399</v>
      </c>
      <c r="BN311" t="s">
        <v>74</v>
      </c>
      <c r="BO311" t="s">
        <v>74</v>
      </c>
      <c r="BP311" t="s">
        <v>74</v>
      </c>
      <c r="BQ311" t="s">
        <v>74</v>
      </c>
      <c r="BR311" t="s">
        <v>103</v>
      </c>
      <c r="BS311" t="s">
        <v>6400</v>
      </c>
      <c r="BT311" t="str">
        <f>HYPERLINK("https%3A%2F%2Fwww.webofscience.com%2Fwos%2Fwoscc%2Ffull-record%2FWOS:000469445800001","View Full Record in Web of Science")</f>
        <v>View Full Record in Web of Science</v>
      </c>
    </row>
    <row r="312" spans="1:72" x14ac:dyDescent="0.15">
      <c r="A312" t="s">
        <v>72</v>
      </c>
      <c r="B312" t="s">
        <v>6401</v>
      </c>
      <c r="C312" t="s">
        <v>74</v>
      </c>
      <c r="D312" t="s">
        <v>74</v>
      </c>
      <c r="E312" t="s">
        <v>74</v>
      </c>
      <c r="F312" t="s">
        <v>6402</v>
      </c>
      <c r="G312" t="s">
        <v>74</v>
      </c>
      <c r="H312" t="s">
        <v>74</v>
      </c>
      <c r="I312" t="s">
        <v>6403</v>
      </c>
      <c r="J312" t="s">
        <v>2024</v>
      </c>
      <c r="K312" t="s">
        <v>74</v>
      </c>
      <c r="L312" t="s">
        <v>74</v>
      </c>
      <c r="M312" t="s">
        <v>78</v>
      </c>
      <c r="N312" t="s">
        <v>108</v>
      </c>
      <c r="O312" t="s">
        <v>74</v>
      </c>
      <c r="P312" t="s">
        <v>74</v>
      </c>
      <c r="Q312" t="s">
        <v>74</v>
      </c>
      <c r="R312" t="s">
        <v>74</v>
      </c>
      <c r="S312" t="s">
        <v>74</v>
      </c>
      <c r="T312" t="s">
        <v>74</v>
      </c>
      <c r="U312" t="s">
        <v>6404</v>
      </c>
      <c r="V312" t="s">
        <v>6405</v>
      </c>
      <c r="W312" t="s">
        <v>6406</v>
      </c>
      <c r="X312" t="s">
        <v>6407</v>
      </c>
      <c r="Y312" t="s">
        <v>6408</v>
      </c>
      <c r="Z312" t="s">
        <v>6409</v>
      </c>
      <c r="AA312" t="s">
        <v>6410</v>
      </c>
      <c r="AB312" t="s">
        <v>6411</v>
      </c>
      <c r="AC312" t="s">
        <v>6412</v>
      </c>
      <c r="AD312" t="s">
        <v>6413</v>
      </c>
      <c r="AE312" t="s">
        <v>6414</v>
      </c>
      <c r="AF312" t="s">
        <v>74</v>
      </c>
      <c r="AG312">
        <v>92</v>
      </c>
      <c r="AH312">
        <v>43</v>
      </c>
      <c r="AI312">
        <v>51</v>
      </c>
      <c r="AJ312">
        <v>0</v>
      </c>
      <c r="AK312">
        <v>25</v>
      </c>
      <c r="AL312" t="s">
        <v>2032</v>
      </c>
      <c r="AM312" t="s">
        <v>2033</v>
      </c>
      <c r="AN312" t="s">
        <v>2034</v>
      </c>
      <c r="AO312" t="s">
        <v>2035</v>
      </c>
      <c r="AP312" t="s">
        <v>74</v>
      </c>
      <c r="AQ312" t="s">
        <v>74</v>
      </c>
      <c r="AR312" t="s">
        <v>2024</v>
      </c>
      <c r="AS312" t="s">
        <v>2036</v>
      </c>
      <c r="AT312" t="s">
        <v>6415</v>
      </c>
      <c r="AU312">
        <v>2019</v>
      </c>
      <c r="AV312">
        <v>14</v>
      </c>
      <c r="AW312">
        <v>7</v>
      </c>
      <c r="AX312" t="s">
        <v>74</v>
      </c>
      <c r="AY312" t="s">
        <v>74</v>
      </c>
      <c r="AZ312" t="s">
        <v>74</v>
      </c>
      <c r="BA312" t="s">
        <v>74</v>
      </c>
      <c r="BB312" t="s">
        <v>74</v>
      </c>
      <c r="BC312" t="s">
        <v>74</v>
      </c>
      <c r="BD312" t="s">
        <v>6416</v>
      </c>
      <c r="BE312" t="s">
        <v>6417</v>
      </c>
      <c r="BF312" t="str">
        <f>HYPERLINK("http://dx.doi.org/10.1371/journal.pone.0219325","http://dx.doi.org/10.1371/journal.pone.0219325")</f>
        <v>http://dx.doi.org/10.1371/journal.pone.0219325</v>
      </c>
      <c r="BG312" t="s">
        <v>74</v>
      </c>
      <c r="BH312" t="s">
        <v>74</v>
      </c>
      <c r="BI312">
        <v>25</v>
      </c>
      <c r="BJ312" t="s">
        <v>1004</v>
      </c>
      <c r="BK312" t="s">
        <v>101</v>
      </c>
      <c r="BL312" t="s">
        <v>1005</v>
      </c>
      <c r="BM312" t="s">
        <v>6418</v>
      </c>
      <c r="BN312">
        <v>31339923</v>
      </c>
      <c r="BO312" t="s">
        <v>4818</v>
      </c>
      <c r="BP312" t="s">
        <v>74</v>
      </c>
      <c r="BQ312" t="s">
        <v>74</v>
      </c>
      <c r="BR312" t="s">
        <v>103</v>
      </c>
      <c r="BS312" t="s">
        <v>6419</v>
      </c>
      <c r="BT312" t="str">
        <f>HYPERLINK("https%3A%2F%2Fwww.webofscience.com%2Fwos%2Fwoscc%2Ffull-record%2FWOS:000482335700023","View Full Record in Web of Science")</f>
        <v>View Full Record in Web of Science</v>
      </c>
    </row>
    <row r="313" spans="1:72" x14ac:dyDescent="0.15">
      <c r="A313" t="s">
        <v>72</v>
      </c>
      <c r="B313" t="s">
        <v>6420</v>
      </c>
      <c r="C313" t="s">
        <v>74</v>
      </c>
      <c r="D313" t="s">
        <v>74</v>
      </c>
      <c r="E313" t="s">
        <v>74</v>
      </c>
      <c r="F313" t="s">
        <v>6421</v>
      </c>
      <c r="G313" t="s">
        <v>74</v>
      </c>
      <c r="H313" t="s">
        <v>74</v>
      </c>
      <c r="I313" t="s">
        <v>6422</v>
      </c>
      <c r="J313" t="s">
        <v>5343</v>
      </c>
      <c r="K313" t="s">
        <v>74</v>
      </c>
      <c r="L313" t="s">
        <v>74</v>
      </c>
      <c r="M313" t="s">
        <v>78</v>
      </c>
      <c r="N313" t="s">
        <v>108</v>
      </c>
      <c r="O313" t="s">
        <v>74</v>
      </c>
      <c r="P313" t="s">
        <v>74</v>
      </c>
      <c r="Q313" t="s">
        <v>74</v>
      </c>
      <c r="R313" t="s">
        <v>74</v>
      </c>
      <c r="S313" t="s">
        <v>74</v>
      </c>
      <c r="T313" t="s">
        <v>6423</v>
      </c>
      <c r="U313" t="s">
        <v>6424</v>
      </c>
      <c r="V313" t="s">
        <v>6425</v>
      </c>
      <c r="W313" t="s">
        <v>6426</v>
      </c>
      <c r="X313" t="s">
        <v>6427</v>
      </c>
      <c r="Y313" t="s">
        <v>6428</v>
      </c>
      <c r="Z313" t="s">
        <v>6429</v>
      </c>
      <c r="AA313" t="s">
        <v>74</v>
      </c>
      <c r="AB313" t="s">
        <v>6430</v>
      </c>
      <c r="AC313" t="s">
        <v>6431</v>
      </c>
      <c r="AD313" t="s">
        <v>6432</v>
      </c>
      <c r="AE313" t="s">
        <v>6433</v>
      </c>
      <c r="AF313" t="s">
        <v>74</v>
      </c>
      <c r="AG313">
        <v>59</v>
      </c>
      <c r="AH313">
        <v>8</v>
      </c>
      <c r="AI313">
        <v>9</v>
      </c>
      <c r="AJ313">
        <v>4</v>
      </c>
      <c r="AK313">
        <v>26</v>
      </c>
      <c r="AL313" t="s">
        <v>1140</v>
      </c>
      <c r="AM313" t="s">
        <v>1141</v>
      </c>
      <c r="AN313" t="s">
        <v>1142</v>
      </c>
      <c r="AO313" t="s">
        <v>5355</v>
      </c>
      <c r="AP313" t="s">
        <v>5356</v>
      </c>
      <c r="AQ313" t="s">
        <v>74</v>
      </c>
      <c r="AR313" t="s">
        <v>5357</v>
      </c>
      <c r="AS313" t="s">
        <v>5358</v>
      </c>
      <c r="AT313" t="s">
        <v>98</v>
      </c>
      <c r="AU313">
        <v>2019</v>
      </c>
      <c r="AV313">
        <v>59</v>
      </c>
      <c r="AW313">
        <v>9</v>
      </c>
      <c r="AX313" t="s">
        <v>74</v>
      </c>
      <c r="AY313" t="s">
        <v>74</v>
      </c>
      <c r="AZ313" t="s">
        <v>74</v>
      </c>
      <c r="BA313" t="s">
        <v>74</v>
      </c>
      <c r="BB313">
        <v>879</v>
      </c>
      <c r="BC313">
        <v>889</v>
      </c>
      <c r="BD313" t="s">
        <v>74</v>
      </c>
      <c r="BE313" t="s">
        <v>6434</v>
      </c>
      <c r="BF313" t="str">
        <f>HYPERLINK("http://dx.doi.org/10.1002/jobm.201900240","http://dx.doi.org/10.1002/jobm.201900240")</f>
        <v>http://dx.doi.org/10.1002/jobm.201900240</v>
      </c>
      <c r="BG313" t="s">
        <v>74</v>
      </c>
      <c r="BH313" t="s">
        <v>6119</v>
      </c>
      <c r="BI313">
        <v>11</v>
      </c>
      <c r="BJ313" t="s">
        <v>1514</v>
      </c>
      <c r="BK313" t="s">
        <v>101</v>
      </c>
      <c r="BL313" t="s">
        <v>1514</v>
      </c>
      <c r="BM313" t="s">
        <v>6435</v>
      </c>
      <c r="BN313">
        <v>31339587</v>
      </c>
      <c r="BO313" t="s">
        <v>74</v>
      </c>
      <c r="BP313" t="s">
        <v>74</v>
      </c>
      <c r="BQ313" t="s">
        <v>74</v>
      </c>
      <c r="BR313" t="s">
        <v>103</v>
      </c>
      <c r="BS313" t="s">
        <v>6436</v>
      </c>
      <c r="BT313" t="str">
        <f>HYPERLINK("https%3A%2F%2Fwww.webofscience.com%2Fwos%2Fwoscc%2Ffull-record%2FWOS:000479645000001","View Full Record in Web of Science")</f>
        <v>View Full Record in Web of Science</v>
      </c>
    </row>
    <row r="314" spans="1:72" x14ac:dyDescent="0.15">
      <c r="A314" t="s">
        <v>72</v>
      </c>
      <c r="B314" t="s">
        <v>6437</v>
      </c>
      <c r="C314" t="s">
        <v>74</v>
      </c>
      <c r="D314" t="s">
        <v>74</v>
      </c>
      <c r="E314" t="s">
        <v>74</v>
      </c>
      <c r="F314" t="s">
        <v>6438</v>
      </c>
      <c r="G314" t="s">
        <v>74</v>
      </c>
      <c r="H314" t="s">
        <v>74</v>
      </c>
      <c r="I314" t="s">
        <v>6439</v>
      </c>
      <c r="J314" t="s">
        <v>6440</v>
      </c>
      <c r="K314" t="s">
        <v>74</v>
      </c>
      <c r="L314" t="s">
        <v>74</v>
      </c>
      <c r="M314" t="s">
        <v>78</v>
      </c>
      <c r="N314" t="s">
        <v>108</v>
      </c>
      <c r="O314" t="s">
        <v>74</v>
      </c>
      <c r="P314" t="s">
        <v>74</v>
      </c>
      <c r="Q314" t="s">
        <v>74</v>
      </c>
      <c r="R314" t="s">
        <v>74</v>
      </c>
      <c r="S314" t="s">
        <v>74</v>
      </c>
      <c r="T314" t="s">
        <v>74</v>
      </c>
      <c r="U314" t="s">
        <v>6441</v>
      </c>
      <c r="V314" t="s">
        <v>6442</v>
      </c>
      <c r="W314" t="s">
        <v>6443</v>
      </c>
      <c r="X314" t="s">
        <v>6444</v>
      </c>
      <c r="Y314" t="s">
        <v>6445</v>
      </c>
      <c r="Z314" t="s">
        <v>6446</v>
      </c>
      <c r="AA314" t="s">
        <v>6447</v>
      </c>
      <c r="AB314" t="s">
        <v>6448</v>
      </c>
      <c r="AC314" t="s">
        <v>6449</v>
      </c>
      <c r="AD314" t="s">
        <v>6450</v>
      </c>
      <c r="AE314" t="s">
        <v>6451</v>
      </c>
      <c r="AF314" t="s">
        <v>74</v>
      </c>
      <c r="AG314">
        <v>72</v>
      </c>
      <c r="AH314">
        <v>7</v>
      </c>
      <c r="AI314">
        <v>7</v>
      </c>
      <c r="AJ314">
        <v>0</v>
      </c>
      <c r="AK314">
        <v>1</v>
      </c>
      <c r="AL314" t="s">
        <v>839</v>
      </c>
      <c r="AM314" t="s">
        <v>840</v>
      </c>
      <c r="AN314" t="s">
        <v>841</v>
      </c>
      <c r="AO314" t="s">
        <v>6452</v>
      </c>
      <c r="AP314" t="s">
        <v>6453</v>
      </c>
      <c r="AQ314" t="s">
        <v>74</v>
      </c>
      <c r="AR314" t="s">
        <v>6454</v>
      </c>
      <c r="AS314" t="s">
        <v>6455</v>
      </c>
      <c r="AT314" t="s">
        <v>6415</v>
      </c>
      <c r="AU314">
        <v>2019</v>
      </c>
      <c r="AV314">
        <v>37</v>
      </c>
      <c r="AW314">
        <v>4</v>
      </c>
      <c r="AX314" t="s">
        <v>74</v>
      </c>
      <c r="AY314" t="s">
        <v>74</v>
      </c>
      <c r="AZ314" t="s">
        <v>74</v>
      </c>
      <c r="BA314" t="s">
        <v>74</v>
      </c>
      <c r="BB314">
        <v>613</v>
      </c>
      <c r="BC314">
        <v>629</v>
      </c>
      <c r="BD314" t="s">
        <v>74</v>
      </c>
      <c r="BE314" t="s">
        <v>6456</v>
      </c>
      <c r="BF314" t="str">
        <f>HYPERLINK("http://dx.doi.org/10.5194/angeo-37-613-2019","http://dx.doi.org/10.5194/angeo-37-613-2019")</f>
        <v>http://dx.doi.org/10.5194/angeo-37-613-2019</v>
      </c>
      <c r="BG314" t="s">
        <v>74</v>
      </c>
      <c r="BH314" t="s">
        <v>74</v>
      </c>
      <c r="BI314">
        <v>17</v>
      </c>
      <c r="BJ314" t="s">
        <v>6457</v>
      </c>
      <c r="BK314" t="s">
        <v>101</v>
      </c>
      <c r="BL314" t="s">
        <v>6458</v>
      </c>
      <c r="BM314" t="s">
        <v>6459</v>
      </c>
      <c r="BN314" t="s">
        <v>74</v>
      </c>
      <c r="BO314" t="s">
        <v>6460</v>
      </c>
      <c r="BP314" t="s">
        <v>74</v>
      </c>
      <c r="BQ314" t="s">
        <v>74</v>
      </c>
      <c r="BR314" t="s">
        <v>103</v>
      </c>
      <c r="BS314" t="s">
        <v>6461</v>
      </c>
      <c r="BT314" t="str">
        <f>HYPERLINK("https%3A%2F%2Fwww.webofscience.com%2Fwos%2Fwoscc%2Ffull-record%2FWOS:000476891300001","View Full Record in Web of Science")</f>
        <v>View Full Record in Web of Science</v>
      </c>
    </row>
    <row r="315" spans="1:72" x14ac:dyDescent="0.15">
      <c r="A315" t="s">
        <v>72</v>
      </c>
      <c r="B315" t="s">
        <v>6462</v>
      </c>
      <c r="C315" t="s">
        <v>74</v>
      </c>
      <c r="D315" t="s">
        <v>74</v>
      </c>
      <c r="E315" t="s">
        <v>74</v>
      </c>
      <c r="F315" t="s">
        <v>6463</v>
      </c>
      <c r="G315" t="s">
        <v>74</v>
      </c>
      <c r="H315" t="s">
        <v>74</v>
      </c>
      <c r="I315" t="s">
        <v>6464</v>
      </c>
      <c r="J315" t="s">
        <v>4622</v>
      </c>
      <c r="K315" t="s">
        <v>74</v>
      </c>
      <c r="L315" t="s">
        <v>74</v>
      </c>
      <c r="M315" t="s">
        <v>78</v>
      </c>
      <c r="N315" t="s">
        <v>108</v>
      </c>
      <c r="O315" t="s">
        <v>74</v>
      </c>
      <c r="P315" t="s">
        <v>74</v>
      </c>
      <c r="Q315" t="s">
        <v>74</v>
      </c>
      <c r="R315" t="s">
        <v>74</v>
      </c>
      <c r="S315" t="s">
        <v>74</v>
      </c>
      <c r="T315" t="s">
        <v>6465</v>
      </c>
      <c r="U315" t="s">
        <v>6466</v>
      </c>
      <c r="V315" t="s">
        <v>6467</v>
      </c>
      <c r="W315" t="s">
        <v>6468</v>
      </c>
      <c r="X315" t="s">
        <v>6469</v>
      </c>
      <c r="Y315" t="s">
        <v>6470</v>
      </c>
      <c r="Z315" t="s">
        <v>6471</v>
      </c>
      <c r="AA315" t="s">
        <v>6472</v>
      </c>
      <c r="AB315" t="s">
        <v>6473</v>
      </c>
      <c r="AC315" t="s">
        <v>6474</v>
      </c>
      <c r="AD315" t="s">
        <v>6475</v>
      </c>
      <c r="AE315" t="s">
        <v>6476</v>
      </c>
      <c r="AF315" t="s">
        <v>74</v>
      </c>
      <c r="AG315">
        <v>100</v>
      </c>
      <c r="AH315">
        <v>23</v>
      </c>
      <c r="AI315">
        <v>25</v>
      </c>
      <c r="AJ315">
        <v>3</v>
      </c>
      <c r="AK315">
        <v>25</v>
      </c>
      <c r="AL315" t="s">
        <v>4632</v>
      </c>
      <c r="AM315" t="s">
        <v>4633</v>
      </c>
      <c r="AN315" t="s">
        <v>4634</v>
      </c>
      <c r="AO315" t="s">
        <v>4635</v>
      </c>
      <c r="AP315" t="s">
        <v>4636</v>
      </c>
      <c r="AQ315" t="s">
        <v>74</v>
      </c>
      <c r="AR315" t="s">
        <v>4622</v>
      </c>
      <c r="AS315" t="s">
        <v>4637</v>
      </c>
      <c r="AT315" t="s">
        <v>6477</v>
      </c>
      <c r="AU315">
        <v>2019</v>
      </c>
      <c r="AV315">
        <v>19</v>
      </c>
      <c r="AW315">
        <v>12</v>
      </c>
      <c r="AX315" t="s">
        <v>74</v>
      </c>
      <c r="AY315" t="s">
        <v>74</v>
      </c>
      <c r="AZ315" t="s">
        <v>74</v>
      </c>
      <c r="BA315" t="s">
        <v>74</v>
      </c>
      <c r="BB315">
        <v>1490</v>
      </c>
      <c r="BC315">
        <v>1504</v>
      </c>
      <c r="BD315" t="s">
        <v>74</v>
      </c>
      <c r="BE315" t="s">
        <v>6478</v>
      </c>
      <c r="BF315" t="str">
        <f>HYPERLINK("http://dx.doi.org/10.1089/ast.2018.2004","http://dx.doi.org/10.1089/ast.2018.2004")</f>
        <v>http://dx.doi.org/10.1089/ast.2018.2004</v>
      </c>
      <c r="BG315" t="s">
        <v>74</v>
      </c>
      <c r="BH315" t="s">
        <v>6119</v>
      </c>
      <c r="BI315">
        <v>15</v>
      </c>
      <c r="BJ315" t="s">
        <v>4639</v>
      </c>
      <c r="BK315" t="s">
        <v>101</v>
      </c>
      <c r="BL315" t="s">
        <v>4640</v>
      </c>
      <c r="BM315" t="s">
        <v>6479</v>
      </c>
      <c r="BN315">
        <v>31339746</v>
      </c>
      <c r="BO315" t="s">
        <v>6480</v>
      </c>
      <c r="BP315" t="s">
        <v>74</v>
      </c>
      <c r="BQ315" t="s">
        <v>74</v>
      </c>
      <c r="BR315" t="s">
        <v>103</v>
      </c>
      <c r="BS315" t="s">
        <v>6481</v>
      </c>
      <c r="BT315" t="str">
        <f>HYPERLINK("https%3A%2F%2Fwww.webofscience.com%2Fwos%2Fwoscc%2Ffull-record%2FWOS:000478684100001","View Full Record in Web of Science")</f>
        <v>View Full Record in Web of Science</v>
      </c>
    </row>
    <row r="316" spans="1:72" x14ac:dyDescent="0.15">
      <c r="A316" t="s">
        <v>72</v>
      </c>
      <c r="B316" t="s">
        <v>6482</v>
      </c>
      <c r="C316" t="s">
        <v>74</v>
      </c>
      <c r="D316" t="s">
        <v>74</v>
      </c>
      <c r="E316" t="s">
        <v>74</v>
      </c>
      <c r="F316" t="s">
        <v>6483</v>
      </c>
      <c r="G316" t="s">
        <v>74</v>
      </c>
      <c r="H316" t="s">
        <v>74</v>
      </c>
      <c r="I316" t="s">
        <v>6484</v>
      </c>
      <c r="J316" t="s">
        <v>6485</v>
      </c>
      <c r="K316" t="s">
        <v>74</v>
      </c>
      <c r="L316" t="s">
        <v>74</v>
      </c>
      <c r="M316" t="s">
        <v>78</v>
      </c>
      <c r="N316" t="s">
        <v>108</v>
      </c>
      <c r="O316" t="s">
        <v>74</v>
      </c>
      <c r="P316" t="s">
        <v>74</v>
      </c>
      <c r="Q316" t="s">
        <v>74</v>
      </c>
      <c r="R316" t="s">
        <v>74</v>
      </c>
      <c r="S316" t="s">
        <v>74</v>
      </c>
      <c r="T316" t="s">
        <v>6486</v>
      </c>
      <c r="U316" t="s">
        <v>6487</v>
      </c>
      <c r="V316" t="s">
        <v>6488</v>
      </c>
      <c r="W316" t="s">
        <v>6489</v>
      </c>
      <c r="X316" t="s">
        <v>6490</v>
      </c>
      <c r="Y316" t="s">
        <v>6491</v>
      </c>
      <c r="Z316" t="s">
        <v>6492</v>
      </c>
      <c r="AA316" t="s">
        <v>74</v>
      </c>
      <c r="AB316" t="s">
        <v>74</v>
      </c>
      <c r="AC316" t="s">
        <v>6493</v>
      </c>
      <c r="AD316" t="s">
        <v>6493</v>
      </c>
      <c r="AE316" t="s">
        <v>6494</v>
      </c>
      <c r="AF316" t="s">
        <v>74</v>
      </c>
      <c r="AG316">
        <v>80</v>
      </c>
      <c r="AH316">
        <v>4</v>
      </c>
      <c r="AI316">
        <v>4</v>
      </c>
      <c r="AJ316">
        <v>0</v>
      </c>
      <c r="AK316">
        <v>22</v>
      </c>
      <c r="AL316" t="s">
        <v>6495</v>
      </c>
      <c r="AM316" t="s">
        <v>657</v>
      </c>
      <c r="AN316" t="s">
        <v>6496</v>
      </c>
      <c r="AO316" t="s">
        <v>6497</v>
      </c>
      <c r="AP316" t="s">
        <v>6498</v>
      </c>
      <c r="AQ316" t="s">
        <v>74</v>
      </c>
      <c r="AR316" t="s">
        <v>6485</v>
      </c>
      <c r="AS316" t="s">
        <v>6499</v>
      </c>
      <c r="AT316" t="s">
        <v>1147</v>
      </c>
      <c r="AU316">
        <v>2019</v>
      </c>
      <c r="AV316">
        <v>29</v>
      </c>
      <c r="AW316">
        <v>11</v>
      </c>
      <c r="AX316" t="s">
        <v>74</v>
      </c>
      <c r="AY316" t="s">
        <v>74</v>
      </c>
      <c r="AZ316" t="s">
        <v>74</v>
      </c>
      <c r="BA316" t="s">
        <v>74</v>
      </c>
      <c r="BB316">
        <v>1679</v>
      </c>
      <c r="BC316">
        <v>1693</v>
      </c>
      <c r="BD316">
        <v>959683619862028</v>
      </c>
      <c r="BE316" t="s">
        <v>6500</v>
      </c>
      <c r="BF316" t="str">
        <f>HYPERLINK("http://dx.doi.org/10.1177/0959683619862028","http://dx.doi.org/10.1177/0959683619862028")</f>
        <v>http://dx.doi.org/10.1177/0959683619862028</v>
      </c>
      <c r="BG316" t="s">
        <v>74</v>
      </c>
      <c r="BH316" t="s">
        <v>6119</v>
      </c>
      <c r="BI316">
        <v>15</v>
      </c>
      <c r="BJ316" t="s">
        <v>310</v>
      </c>
      <c r="BK316" t="s">
        <v>101</v>
      </c>
      <c r="BL316" t="s">
        <v>311</v>
      </c>
      <c r="BM316" t="s">
        <v>6501</v>
      </c>
      <c r="BN316" t="s">
        <v>74</v>
      </c>
      <c r="BO316" t="s">
        <v>1308</v>
      </c>
      <c r="BP316" t="s">
        <v>74</v>
      </c>
      <c r="BQ316" t="s">
        <v>74</v>
      </c>
      <c r="BR316" t="s">
        <v>103</v>
      </c>
      <c r="BS316" t="s">
        <v>6502</v>
      </c>
      <c r="BT316" t="str">
        <f>HYPERLINK("https%3A%2F%2Fwww.webofscience.com%2Fwos%2Fwoscc%2Ffull-record%2FWOS:000478271400001","View Full Record in Web of Science")</f>
        <v>View Full Record in Web of Science</v>
      </c>
    </row>
    <row r="317" spans="1:72" x14ac:dyDescent="0.15">
      <c r="A317" t="s">
        <v>72</v>
      </c>
      <c r="B317" t="s">
        <v>6503</v>
      </c>
      <c r="C317" t="s">
        <v>74</v>
      </c>
      <c r="D317" t="s">
        <v>74</v>
      </c>
      <c r="E317" t="s">
        <v>74</v>
      </c>
      <c r="F317" t="s">
        <v>6504</v>
      </c>
      <c r="G317" t="s">
        <v>74</v>
      </c>
      <c r="H317" t="s">
        <v>74</v>
      </c>
      <c r="I317" t="s">
        <v>6505</v>
      </c>
      <c r="J317" t="s">
        <v>6506</v>
      </c>
      <c r="K317" t="s">
        <v>74</v>
      </c>
      <c r="L317" t="s">
        <v>74</v>
      </c>
      <c r="M317" t="s">
        <v>78</v>
      </c>
      <c r="N317" t="s">
        <v>108</v>
      </c>
      <c r="O317" t="s">
        <v>74</v>
      </c>
      <c r="P317" t="s">
        <v>74</v>
      </c>
      <c r="Q317" t="s">
        <v>74</v>
      </c>
      <c r="R317" t="s">
        <v>74</v>
      </c>
      <c r="S317" t="s">
        <v>74</v>
      </c>
      <c r="T317" t="s">
        <v>6507</v>
      </c>
      <c r="U317" t="s">
        <v>6508</v>
      </c>
      <c r="V317" t="s">
        <v>6509</v>
      </c>
      <c r="W317" t="s">
        <v>6510</v>
      </c>
      <c r="X317" t="s">
        <v>6511</v>
      </c>
      <c r="Y317" t="s">
        <v>6512</v>
      </c>
      <c r="Z317" t="s">
        <v>6513</v>
      </c>
      <c r="AA317" t="s">
        <v>6514</v>
      </c>
      <c r="AB317" t="s">
        <v>6515</v>
      </c>
      <c r="AC317" t="s">
        <v>6516</v>
      </c>
      <c r="AD317" t="s">
        <v>6517</v>
      </c>
      <c r="AE317" t="s">
        <v>6518</v>
      </c>
      <c r="AF317" t="s">
        <v>74</v>
      </c>
      <c r="AG317">
        <v>53</v>
      </c>
      <c r="AH317">
        <v>28</v>
      </c>
      <c r="AI317">
        <v>28</v>
      </c>
      <c r="AJ317">
        <v>5</v>
      </c>
      <c r="AK317">
        <v>34</v>
      </c>
      <c r="AL317" t="s">
        <v>2723</v>
      </c>
      <c r="AM317" t="s">
        <v>657</v>
      </c>
      <c r="AN317" t="s">
        <v>2724</v>
      </c>
      <c r="AO317" t="s">
        <v>6519</v>
      </c>
      <c r="AP317" t="s">
        <v>6520</v>
      </c>
      <c r="AQ317" t="s">
        <v>74</v>
      </c>
      <c r="AR317" t="s">
        <v>6521</v>
      </c>
      <c r="AS317" t="s">
        <v>6522</v>
      </c>
      <c r="AT317" t="s">
        <v>6415</v>
      </c>
      <c r="AU317">
        <v>2019</v>
      </c>
      <c r="AV317">
        <v>286</v>
      </c>
      <c r="AW317">
        <v>1907</v>
      </c>
      <c r="AX317" t="s">
        <v>74</v>
      </c>
      <c r="AY317" t="s">
        <v>74</v>
      </c>
      <c r="AZ317" t="s">
        <v>74</v>
      </c>
      <c r="BA317" t="s">
        <v>74</v>
      </c>
      <c r="BB317" t="s">
        <v>74</v>
      </c>
      <c r="BC317" t="s">
        <v>74</v>
      </c>
      <c r="BD317">
        <v>20191424</v>
      </c>
      <c r="BE317" t="s">
        <v>6523</v>
      </c>
      <c r="BF317" t="str">
        <f>HYPERLINK("http://dx.doi.org/10.1098/rspb.2019.1424","http://dx.doi.org/10.1098/rspb.2019.1424")</f>
        <v>http://dx.doi.org/10.1098/rspb.2019.1424</v>
      </c>
      <c r="BG317" t="s">
        <v>74</v>
      </c>
      <c r="BH317" t="s">
        <v>74</v>
      </c>
      <c r="BI317">
        <v>10</v>
      </c>
      <c r="BJ317" t="s">
        <v>6524</v>
      </c>
      <c r="BK317" t="s">
        <v>101</v>
      </c>
      <c r="BL317" t="s">
        <v>6525</v>
      </c>
      <c r="BM317" t="s">
        <v>6526</v>
      </c>
      <c r="BN317">
        <v>31337309</v>
      </c>
      <c r="BO317" t="s">
        <v>1465</v>
      </c>
      <c r="BP317" t="s">
        <v>74</v>
      </c>
      <c r="BQ317" t="s">
        <v>74</v>
      </c>
      <c r="BR317" t="s">
        <v>103</v>
      </c>
      <c r="BS317" t="s">
        <v>6527</v>
      </c>
      <c r="BT317" t="str">
        <f>HYPERLINK("https%3A%2F%2Fwww.webofscience.com%2Fwos%2Fwoscc%2Ffull-record%2FWOS:000477953500027","View Full Record in Web of Science")</f>
        <v>View Full Record in Web of Science</v>
      </c>
    </row>
    <row r="318" spans="1:72" x14ac:dyDescent="0.15">
      <c r="A318" t="s">
        <v>72</v>
      </c>
      <c r="B318" t="s">
        <v>6528</v>
      </c>
      <c r="C318" t="s">
        <v>74</v>
      </c>
      <c r="D318" t="s">
        <v>74</v>
      </c>
      <c r="E318" t="s">
        <v>74</v>
      </c>
      <c r="F318" t="s">
        <v>6529</v>
      </c>
      <c r="G318" t="s">
        <v>74</v>
      </c>
      <c r="H318" t="s">
        <v>74</v>
      </c>
      <c r="I318" t="s">
        <v>6530</v>
      </c>
      <c r="J318" t="s">
        <v>855</v>
      </c>
      <c r="K318" t="s">
        <v>74</v>
      </c>
      <c r="L318" t="s">
        <v>74</v>
      </c>
      <c r="M318" t="s">
        <v>78</v>
      </c>
      <c r="N318" t="s">
        <v>79</v>
      </c>
      <c r="O318" t="s">
        <v>74</v>
      </c>
      <c r="P318" t="s">
        <v>74</v>
      </c>
      <c r="Q318" t="s">
        <v>74</v>
      </c>
      <c r="R318" t="s">
        <v>74</v>
      </c>
      <c r="S318" t="s">
        <v>74</v>
      </c>
      <c r="T318" t="s">
        <v>6531</v>
      </c>
      <c r="U318" t="s">
        <v>6532</v>
      </c>
      <c r="V318" t="s">
        <v>6533</v>
      </c>
      <c r="W318" t="s">
        <v>6534</v>
      </c>
      <c r="X318" t="s">
        <v>6535</v>
      </c>
      <c r="Y318" t="s">
        <v>6536</v>
      </c>
      <c r="Z318" t="s">
        <v>6537</v>
      </c>
      <c r="AA318" t="s">
        <v>6538</v>
      </c>
      <c r="AB318" t="s">
        <v>6539</v>
      </c>
      <c r="AC318" t="s">
        <v>6540</v>
      </c>
      <c r="AD318" t="s">
        <v>6541</v>
      </c>
      <c r="AE318" t="s">
        <v>6542</v>
      </c>
      <c r="AF318" t="s">
        <v>74</v>
      </c>
      <c r="AG318">
        <v>161</v>
      </c>
      <c r="AH318">
        <v>28</v>
      </c>
      <c r="AI318">
        <v>30</v>
      </c>
      <c r="AJ318">
        <v>0</v>
      </c>
      <c r="AK318">
        <v>15</v>
      </c>
      <c r="AL318" t="s">
        <v>868</v>
      </c>
      <c r="AM318" t="s">
        <v>869</v>
      </c>
      <c r="AN318" t="s">
        <v>870</v>
      </c>
      <c r="AO318" t="s">
        <v>74</v>
      </c>
      <c r="AP318" t="s">
        <v>871</v>
      </c>
      <c r="AQ318" t="s">
        <v>74</v>
      </c>
      <c r="AR318" t="s">
        <v>872</v>
      </c>
      <c r="AS318" t="s">
        <v>873</v>
      </c>
      <c r="AT318" t="s">
        <v>6415</v>
      </c>
      <c r="AU318">
        <v>2019</v>
      </c>
      <c r="AV318">
        <v>6</v>
      </c>
      <c r="AW318" t="s">
        <v>74</v>
      </c>
      <c r="AX318" t="s">
        <v>74</v>
      </c>
      <c r="AY318" t="s">
        <v>74</v>
      </c>
      <c r="AZ318" t="s">
        <v>74</v>
      </c>
      <c r="BA318" t="s">
        <v>74</v>
      </c>
      <c r="BB318" t="s">
        <v>74</v>
      </c>
      <c r="BC318" t="s">
        <v>74</v>
      </c>
      <c r="BD318">
        <v>452</v>
      </c>
      <c r="BE318" t="s">
        <v>6543</v>
      </c>
      <c r="BF318" t="str">
        <f>HYPERLINK("http://dx.doi.org/10.3389/fmars.2019.00452","http://dx.doi.org/10.3389/fmars.2019.00452")</f>
        <v>http://dx.doi.org/10.3389/fmars.2019.00452</v>
      </c>
      <c r="BG318" t="s">
        <v>74</v>
      </c>
      <c r="BH318" t="s">
        <v>74</v>
      </c>
      <c r="BI318">
        <v>24</v>
      </c>
      <c r="BJ318" t="s">
        <v>876</v>
      </c>
      <c r="BK318" t="s">
        <v>101</v>
      </c>
      <c r="BL318" t="s">
        <v>877</v>
      </c>
      <c r="BM318" t="s">
        <v>6544</v>
      </c>
      <c r="BN318" t="s">
        <v>74</v>
      </c>
      <c r="BO318" t="s">
        <v>6545</v>
      </c>
      <c r="BP318" t="s">
        <v>74</v>
      </c>
      <c r="BQ318" t="s">
        <v>74</v>
      </c>
      <c r="BR318" t="s">
        <v>103</v>
      </c>
      <c r="BS318" t="s">
        <v>6546</v>
      </c>
      <c r="BT318" t="str">
        <f>HYPERLINK("https%3A%2F%2Fwww.webofscience.com%2Fwos%2Fwoscc%2Ffull-record%2FWOS:000476942600001","View Full Record in Web of Science")</f>
        <v>View Full Record in Web of Science</v>
      </c>
    </row>
    <row r="319" spans="1:72" x14ac:dyDescent="0.15">
      <c r="A319" t="s">
        <v>72</v>
      </c>
      <c r="B319" t="s">
        <v>6547</v>
      </c>
      <c r="C319" t="s">
        <v>74</v>
      </c>
      <c r="D319" t="s">
        <v>74</v>
      </c>
      <c r="E319" t="s">
        <v>74</v>
      </c>
      <c r="F319" t="s">
        <v>6548</v>
      </c>
      <c r="G319" t="s">
        <v>74</v>
      </c>
      <c r="H319" t="s">
        <v>74</v>
      </c>
      <c r="I319" t="s">
        <v>6549</v>
      </c>
      <c r="J319" t="s">
        <v>855</v>
      </c>
      <c r="K319" t="s">
        <v>74</v>
      </c>
      <c r="L319" t="s">
        <v>74</v>
      </c>
      <c r="M319" t="s">
        <v>78</v>
      </c>
      <c r="N319" t="s">
        <v>79</v>
      </c>
      <c r="O319" t="s">
        <v>74</v>
      </c>
      <c r="P319" t="s">
        <v>74</v>
      </c>
      <c r="Q319" t="s">
        <v>74</v>
      </c>
      <c r="R319" t="s">
        <v>74</v>
      </c>
      <c r="S319" t="s">
        <v>74</v>
      </c>
      <c r="T319" t="s">
        <v>6550</v>
      </c>
      <c r="U319" t="s">
        <v>6551</v>
      </c>
      <c r="V319" t="s">
        <v>6552</v>
      </c>
      <c r="W319" t="s">
        <v>6553</v>
      </c>
      <c r="X319" t="s">
        <v>6554</v>
      </c>
      <c r="Y319" t="s">
        <v>6555</v>
      </c>
      <c r="Z319" t="s">
        <v>6556</v>
      </c>
      <c r="AA319" t="s">
        <v>6557</v>
      </c>
      <c r="AB319" t="s">
        <v>6558</v>
      </c>
      <c r="AC319" t="s">
        <v>6559</v>
      </c>
      <c r="AD319" t="s">
        <v>6560</v>
      </c>
      <c r="AE319" t="s">
        <v>6561</v>
      </c>
      <c r="AF319" t="s">
        <v>74</v>
      </c>
      <c r="AG319">
        <v>52</v>
      </c>
      <c r="AH319">
        <v>3</v>
      </c>
      <c r="AI319">
        <v>4</v>
      </c>
      <c r="AJ319">
        <v>2</v>
      </c>
      <c r="AK319">
        <v>9</v>
      </c>
      <c r="AL319" t="s">
        <v>868</v>
      </c>
      <c r="AM319" t="s">
        <v>869</v>
      </c>
      <c r="AN319" t="s">
        <v>870</v>
      </c>
      <c r="AO319" t="s">
        <v>74</v>
      </c>
      <c r="AP319" t="s">
        <v>871</v>
      </c>
      <c r="AQ319" t="s">
        <v>74</v>
      </c>
      <c r="AR319" t="s">
        <v>872</v>
      </c>
      <c r="AS319" t="s">
        <v>873</v>
      </c>
      <c r="AT319" t="s">
        <v>6415</v>
      </c>
      <c r="AU319">
        <v>2019</v>
      </c>
      <c r="AV319">
        <v>6</v>
      </c>
      <c r="AW319" t="s">
        <v>74</v>
      </c>
      <c r="AX319" t="s">
        <v>74</v>
      </c>
      <c r="AY319" t="s">
        <v>74</v>
      </c>
      <c r="AZ319" t="s">
        <v>74</v>
      </c>
      <c r="BA319" t="s">
        <v>74</v>
      </c>
      <c r="BB319" t="s">
        <v>74</v>
      </c>
      <c r="BC319" t="s">
        <v>74</v>
      </c>
      <c r="BD319">
        <v>358</v>
      </c>
      <c r="BE319" t="s">
        <v>6562</v>
      </c>
      <c r="BF319" t="str">
        <f>HYPERLINK("http://dx.doi.org/10.3389/fmars.2019.00358","http://dx.doi.org/10.3389/fmars.2019.00358")</f>
        <v>http://dx.doi.org/10.3389/fmars.2019.00358</v>
      </c>
      <c r="BG319" t="s">
        <v>74</v>
      </c>
      <c r="BH319" t="s">
        <v>74</v>
      </c>
      <c r="BI319">
        <v>8</v>
      </c>
      <c r="BJ319" t="s">
        <v>876</v>
      </c>
      <c r="BK319" t="s">
        <v>101</v>
      </c>
      <c r="BL319" t="s">
        <v>877</v>
      </c>
      <c r="BM319" t="s">
        <v>6563</v>
      </c>
      <c r="BN319" t="s">
        <v>74</v>
      </c>
      <c r="BO319" t="s">
        <v>313</v>
      </c>
      <c r="BP319" t="s">
        <v>74</v>
      </c>
      <c r="BQ319" t="s">
        <v>74</v>
      </c>
      <c r="BR319" t="s">
        <v>103</v>
      </c>
      <c r="BS319" t="s">
        <v>6564</v>
      </c>
      <c r="BT319" t="str">
        <f>HYPERLINK("https%3A%2F%2Fwww.webofscience.com%2Fwos%2Fwoscc%2Ffull-record%2FWOS:000476941700001","View Full Record in Web of Science")</f>
        <v>View Full Record in Web of Science</v>
      </c>
    </row>
    <row r="320" spans="1:72" x14ac:dyDescent="0.15">
      <c r="A320" t="s">
        <v>72</v>
      </c>
      <c r="B320" t="s">
        <v>6565</v>
      </c>
      <c r="C320" t="s">
        <v>74</v>
      </c>
      <c r="D320" t="s">
        <v>74</v>
      </c>
      <c r="E320" t="s">
        <v>74</v>
      </c>
      <c r="F320" t="s">
        <v>6566</v>
      </c>
      <c r="G320" t="s">
        <v>74</v>
      </c>
      <c r="H320" t="s">
        <v>74</v>
      </c>
      <c r="I320" t="s">
        <v>6567</v>
      </c>
      <c r="J320" t="s">
        <v>6568</v>
      </c>
      <c r="K320" t="s">
        <v>74</v>
      </c>
      <c r="L320" t="s">
        <v>74</v>
      </c>
      <c r="M320" t="s">
        <v>78</v>
      </c>
      <c r="N320" t="s">
        <v>108</v>
      </c>
      <c r="O320" t="s">
        <v>74</v>
      </c>
      <c r="P320" t="s">
        <v>74</v>
      </c>
      <c r="Q320" t="s">
        <v>74</v>
      </c>
      <c r="R320" t="s">
        <v>74</v>
      </c>
      <c r="S320" t="s">
        <v>74</v>
      </c>
      <c r="T320" t="s">
        <v>6569</v>
      </c>
      <c r="U320" t="s">
        <v>6570</v>
      </c>
      <c r="V320" t="s">
        <v>6571</v>
      </c>
      <c r="W320" t="s">
        <v>6572</v>
      </c>
      <c r="X320" t="s">
        <v>6573</v>
      </c>
      <c r="Y320" t="s">
        <v>6574</v>
      </c>
      <c r="Z320" t="s">
        <v>6575</v>
      </c>
      <c r="AA320" t="s">
        <v>74</v>
      </c>
      <c r="AB320" t="s">
        <v>6576</v>
      </c>
      <c r="AC320" t="s">
        <v>74</v>
      </c>
      <c r="AD320" t="s">
        <v>74</v>
      </c>
      <c r="AE320" t="s">
        <v>74</v>
      </c>
      <c r="AF320" t="s">
        <v>74</v>
      </c>
      <c r="AG320">
        <v>105</v>
      </c>
      <c r="AH320">
        <v>21</v>
      </c>
      <c r="AI320">
        <v>21</v>
      </c>
      <c r="AJ320">
        <v>0</v>
      </c>
      <c r="AK320">
        <v>13</v>
      </c>
      <c r="AL320" t="s">
        <v>1140</v>
      </c>
      <c r="AM320" t="s">
        <v>1141</v>
      </c>
      <c r="AN320" t="s">
        <v>1142</v>
      </c>
      <c r="AO320" t="s">
        <v>6577</v>
      </c>
      <c r="AP320" t="s">
        <v>6578</v>
      </c>
      <c r="AQ320" t="s">
        <v>74</v>
      </c>
      <c r="AR320" t="s">
        <v>6579</v>
      </c>
      <c r="AS320" t="s">
        <v>6580</v>
      </c>
      <c r="AT320" t="s">
        <v>6581</v>
      </c>
      <c r="AU320">
        <v>2020</v>
      </c>
      <c r="AV320">
        <v>55</v>
      </c>
      <c r="AW320">
        <v>5</v>
      </c>
      <c r="AX320" t="s">
        <v>74</v>
      </c>
      <c r="AY320" t="s">
        <v>74</v>
      </c>
      <c r="AZ320" t="s">
        <v>74</v>
      </c>
      <c r="BA320" t="s">
        <v>74</v>
      </c>
      <c r="BB320">
        <v>3297</v>
      </c>
      <c r="BC320">
        <v>3320</v>
      </c>
      <c r="BD320" t="s">
        <v>74</v>
      </c>
      <c r="BE320" t="s">
        <v>6582</v>
      </c>
      <c r="BF320" t="str">
        <f>HYPERLINK("http://dx.doi.org/10.1002/gj.3594","http://dx.doi.org/10.1002/gj.3594")</f>
        <v>http://dx.doi.org/10.1002/gj.3594</v>
      </c>
      <c r="BG320" t="s">
        <v>74</v>
      </c>
      <c r="BH320" t="s">
        <v>6119</v>
      </c>
      <c r="BI320">
        <v>24</v>
      </c>
      <c r="BJ320" t="s">
        <v>471</v>
      </c>
      <c r="BK320" t="s">
        <v>101</v>
      </c>
      <c r="BL320" t="s">
        <v>472</v>
      </c>
      <c r="BM320" t="s">
        <v>6583</v>
      </c>
      <c r="BN320" t="s">
        <v>74</v>
      </c>
      <c r="BO320" t="s">
        <v>74</v>
      </c>
      <c r="BP320" t="s">
        <v>74</v>
      </c>
      <c r="BQ320" t="s">
        <v>74</v>
      </c>
      <c r="BR320" t="s">
        <v>103</v>
      </c>
      <c r="BS320" t="s">
        <v>6584</v>
      </c>
      <c r="BT320" t="str">
        <f>HYPERLINK("https%3A%2F%2Fwww.webofscience.com%2Fwos%2Fwoscc%2Ffull-record%2FWOS:000477290300001","View Full Record in Web of Science")</f>
        <v>View Full Record in Web of Science</v>
      </c>
    </row>
    <row r="321" spans="1:72" x14ac:dyDescent="0.15">
      <c r="A321" t="s">
        <v>72</v>
      </c>
      <c r="B321" t="s">
        <v>6585</v>
      </c>
      <c r="C321" t="s">
        <v>74</v>
      </c>
      <c r="D321" t="s">
        <v>74</v>
      </c>
      <c r="E321" t="s">
        <v>74</v>
      </c>
      <c r="F321" t="s">
        <v>6586</v>
      </c>
      <c r="G321" t="s">
        <v>74</v>
      </c>
      <c r="H321" t="s">
        <v>74</v>
      </c>
      <c r="I321" t="s">
        <v>6587</v>
      </c>
      <c r="J321" t="s">
        <v>989</v>
      </c>
      <c r="K321" t="s">
        <v>74</v>
      </c>
      <c r="L321" t="s">
        <v>74</v>
      </c>
      <c r="M321" t="s">
        <v>78</v>
      </c>
      <c r="N321" t="s">
        <v>108</v>
      </c>
      <c r="O321" t="s">
        <v>74</v>
      </c>
      <c r="P321" t="s">
        <v>74</v>
      </c>
      <c r="Q321" t="s">
        <v>74</v>
      </c>
      <c r="R321" t="s">
        <v>74</v>
      </c>
      <c r="S321" t="s">
        <v>74</v>
      </c>
      <c r="T321" t="s">
        <v>74</v>
      </c>
      <c r="U321" t="s">
        <v>6588</v>
      </c>
      <c r="V321" t="s">
        <v>6589</v>
      </c>
      <c r="W321" t="s">
        <v>6590</v>
      </c>
      <c r="X321" t="s">
        <v>6591</v>
      </c>
      <c r="Y321" t="s">
        <v>6592</v>
      </c>
      <c r="Z321" t="s">
        <v>6593</v>
      </c>
      <c r="AA321" t="s">
        <v>6594</v>
      </c>
      <c r="AB321" t="s">
        <v>6595</v>
      </c>
      <c r="AC321" t="s">
        <v>6596</v>
      </c>
      <c r="AD321" t="s">
        <v>6597</v>
      </c>
      <c r="AE321" t="s">
        <v>6598</v>
      </c>
      <c r="AF321" t="s">
        <v>74</v>
      </c>
      <c r="AG321">
        <v>48</v>
      </c>
      <c r="AH321">
        <v>24</v>
      </c>
      <c r="AI321">
        <v>30</v>
      </c>
      <c r="AJ321">
        <v>0</v>
      </c>
      <c r="AK321">
        <v>11</v>
      </c>
      <c r="AL321" t="s">
        <v>1019</v>
      </c>
      <c r="AM321" t="s">
        <v>1020</v>
      </c>
      <c r="AN321" t="s">
        <v>1021</v>
      </c>
      <c r="AO321" t="s">
        <v>1000</v>
      </c>
      <c r="AP321" t="s">
        <v>74</v>
      </c>
      <c r="AQ321" t="s">
        <v>74</v>
      </c>
      <c r="AR321" t="s">
        <v>1001</v>
      </c>
      <c r="AS321" t="s">
        <v>1002</v>
      </c>
      <c r="AT321" t="s">
        <v>6415</v>
      </c>
      <c r="AU321">
        <v>2019</v>
      </c>
      <c r="AV321">
        <v>9</v>
      </c>
      <c r="AW321" t="s">
        <v>74</v>
      </c>
      <c r="AX321" t="s">
        <v>74</v>
      </c>
      <c r="AY321" t="s">
        <v>74</v>
      </c>
      <c r="AZ321" t="s">
        <v>74</v>
      </c>
      <c r="BA321" t="s">
        <v>74</v>
      </c>
      <c r="BB321" t="s">
        <v>74</v>
      </c>
      <c r="BC321" t="s">
        <v>74</v>
      </c>
      <c r="BD321">
        <v>10761</v>
      </c>
      <c r="BE321" t="s">
        <v>6599</v>
      </c>
      <c r="BF321" t="str">
        <f>HYPERLINK("http://dx.doi.org/10.1038/s41598-019-47150-3","http://dx.doi.org/10.1038/s41598-019-47150-3")</f>
        <v>http://dx.doi.org/10.1038/s41598-019-47150-3</v>
      </c>
      <c r="BG321" t="s">
        <v>74</v>
      </c>
      <c r="BH321" t="s">
        <v>74</v>
      </c>
      <c r="BI321">
        <v>10</v>
      </c>
      <c r="BJ321" t="s">
        <v>1004</v>
      </c>
      <c r="BK321" t="s">
        <v>101</v>
      </c>
      <c r="BL321" t="s">
        <v>1005</v>
      </c>
      <c r="BM321" t="s">
        <v>6600</v>
      </c>
      <c r="BN321">
        <v>31341253</v>
      </c>
      <c r="BO321" t="s">
        <v>331</v>
      </c>
      <c r="BP321" t="s">
        <v>74</v>
      </c>
      <c r="BQ321" t="s">
        <v>74</v>
      </c>
      <c r="BR321" t="s">
        <v>103</v>
      </c>
      <c r="BS321" t="s">
        <v>6601</v>
      </c>
      <c r="BT321" t="str">
        <f>HYPERLINK("https%3A%2F%2Fwww.webofscience.com%2Fwos%2Fwoscc%2Ffull-record%2FWOS:000476874600059","View Full Record in Web of Science")</f>
        <v>View Full Record in Web of Science</v>
      </c>
    </row>
    <row r="322" spans="1:72" x14ac:dyDescent="0.15">
      <c r="A322" t="s">
        <v>72</v>
      </c>
      <c r="B322" t="s">
        <v>6602</v>
      </c>
      <c r="C322" t="s">
        <v>74</v>
      </c>
      <c r="D322" t="s">
        <v>74</v>
      </c>
      <c r="E322" t="s">
        <v>74</v>
      </c>
      <c r="F322" t="s">
        <v>6603</v>
      </c>
      <c r="G322" t="s">
        <v>74</v>
      </c>
      <c r="H322" t="s">
        <v>74</v>
      </c>
      <c r="I322" t="s">
        <v>6604</v>
      </c>
      <c r="J322" t="s">
        <v>6605</v>
      </c>
      <c r="K322" t="s">
        <v>74</v>
      </c>
      <c r="L322" t="s">
        <v>74</v>
      </c>
      <c r="M322" t="s">
        <v>78</v>
      </c>
      <c r="N322" t="s">
        <v>108</v>
      </c>
      <c r="O322" t="s">
        <v>74</v>
      </c>
      <c r="P322" t="s">
        <v>74</v>
      </c>
      <c r="Q322" t="s">
        <v>74</v>
      </c>
      <c r="R322" t="s">
        <v>74</v>
      </c>
      <c r="S322" t="s">
        <v>74</v>
      </c>
      <c r="T322" t="s">
        <v>6606</v>
      </c>
      <c r="U322" t="s">
        <v>6607</v>
      </c>
      <c r="V322" t="s">
        <v>6608</v>
      </c>
      <c r="W322" t="s">
        <v>6609</v>
      </c>
      <c r="X322" t="s">
        <v>6610</v>
      </c>
      <c r="Y322" t="s">
        <v>6611</v>
      </c>
      <c r="Z322" t="s">
        <v>6612</v>
      </c>
      <c r="AA322" t="s">
        <v>6613</v>
      </c>
      <c r="AB322" t="s">
        <v>6614</v>
      </c>
      <c r="AC322" t="s">
        <v>6615</v>
      </c>
      <c r="AD322" t="s">
        <v>6616</v>
      </c>
      <c r="AE322" t="s">
        <v>6617</v>
      </c>
      <c r="AF322" t="s">
        <v>74</v>
      </c>
      <c r="AG322">
        <v>70</v>
      </c>
      <c r="AH322">
        <v>37</v>
      </c>
      <c r="AI322">
        <v>43</v>
      </c>
      <c r="AJ322">
        <v>1</v>
      </c>
      <c r="AK322">
        <v>32</v>
      </c>
      <c r="AL322" t="s">
        <v>6618</v>
      </c>
      <c r="AM322" t="s">
        <v>183</v>
      </c>
      <c r="AN322" t="s">
        <v>6619</v>
      </c>
      <c r="AO322" t="s">
        <v>6620</v>
      </c>
      <c r="AP322" t="s">
        <v>6621</v>
      </c>
      <c r="AQ322" t="s">
        <v>74</v>
      </c>
      <c r="AR322" t="s">
        <v>6622</v>
      </c>
      <c r="AS322" t="s">
        <v>6623</v>
      </c>
      <c r="AT322" t="s">
        <v>1414</v>
      </c>
      <c r="AU322">
        <v>2019</v>
      </c>
      <c r="AV322">
        <v>116</v>
      </c>
      <c r="AW322">
        <v>30</v>
      </c>
      <c r="AX322" t="s">
        <v>74</v>
      </c>
      <c r="AY322" t="s">
        <v>74</v>
      </c>
      <c r="AZ322" t="s">
        <v>74</v>
      </c>
      <c r="BA322" t="s">
        <v>74</v>
      </c>
      <c r="BB322">
        <v>14881</v>
      </c>
      <c r="BC322">
        <v>14886</v>
      </c>
      <c r="BD322" t="s">
        <v>74</v>
      </c>
      <c r="BE322" t="s">
        <v>6624</v>
      </c>
      <c r="BF322" t="str">
        <f>HYPERLINK("http://dx.doi.org/10.1073/pnas.1905447116","http://dx.doi.org/10.1073/pnas.1905447116")</f>
        <v>http://dx.doi.org/10.1073/pnas.1905447116</v>
      </c>
      <c r="BG322" t="s">
        <v>74</v>
      </c>
      <c r="BH322" t="s">
        <v>74</v>
      </c>
      <c r="BI322">
        <v>6</v>
      </c>
      <c r="BJ322" t="s">
        <v>1004</v>
      </c>
      <c r="BK322" t="s">
        <v>101</v>
      </c>
      <c r="BL322" t="s">
        <v>1005</v>
      </c>
      <c r="BM322" t="s">
        <v>6625</v>
      </c>
      <c r="BN322">
        <v>31285336</v>
      </c>
      <c r="BO322" t="s">
        <v>1125</v>
      </c>
      <c r="BP322" t="s">
        <v>74</v>
      </c>
      <c r="BQ322" t="s">
        <v>74</v>
      </c>
      <c r="BR322" t="s">
        <v>103</v>
      </c>
      <c r="BS322" t="s">
        <v>6626</v>
      </c>
      <c r="BT322" t="str">
        <f>HYPERLINK("https%3A%2F%2Fwww.webofscience.com%2Fwos%2Fwoscc%2Ffull-record%2FWOS:000476715500022","View Full Record in Web of Science")</f>
        <v>View Full Record in Web of Science</v>
      </c>
    </row>
    <row r="323" spans="1:72" x14ac:dyDescent="0.15">
      <c r="A323" t="s">
        <v>72</v>
      </c>
      <c r="B323" t="s">
        <v>6627</v>
      </c>
      <c r="C323" t="s">
        <v>74</v>
      </c>
      <c r="D323" t="s">
        <v>74</v>
      </c>
      <c r="E323" t="s">
        <v>74</v>
      </c>
      <c r="F323" t="s">
        <v>6628</v>
      </c>
      <c r="G323" t="s">
        <v>74</v>
      </c>
      <c r="H323" t="s">
        <v>74</v>
      </c>
      <c r="I323" t="s">
        <v>6629</v>
      </c>
      <c r="J323" t="s">
        <v>6630</v>
      </c>
      <c r="K323" t="s">
        <v>74</v>
      </c>
      <c r="L323" t="s">
        <v>74</v>
      </c>
      <c r="M323" t="s">
        <v>78</v>
      </c>
      <c r="N323" t="s">
        <v>79</v>
      </c>
      <c r="O323" t="s">
        <v>74</v>
      </c>
      <c r="P323" t="s">
        <v>74</v>
      </c>
      <c r="Q323" t="s">
        <v>74</v>
      </c>
      <c r="R323" t="s">
        <v>74</v>
      </c>
      <c r="S323" t="s">
        <v>74</v>
      </c>
      <c r="T323" t="s">
        <v>6631</v>
      </c>
      <c r="U323" t="s">
        <v>6632</v>
      </c>
      <c r="V323" t="s">
        <v>6633</v>
      </c>
      <c r="W323" t="s">
        <v>6634</v>
      </c>
      <c r="X323" t="s">
        <v>6635</v>
      </c>
      <c r="Y323" t="s">
        <v>6636</v>
      </c>
      <c r="Z323" t="s">
        <v>6637</v>
      </c>
      <c r="AA323" t="s">
        <v>6638</v>
      </c>
      <c r="AB323" t="s">
        <v>6639</v>
      </c>
      <c r="AC323" t="s">
        <v>6640</v>
      </c>
      <c r="AD323" t="s">
        <v>6641</v>
      </c>
      <c r="AE323" t="s">
        <v>6642</v>
      </c>
      <c r="AF323" t="s">
        <v>74</v>
      </c>
      <c r="AG323">
        <v>182</v>
      </c>
      <c r="AH323">
        <v>151</v>
      </c>
      <c r="AI323">
        <v>160</v>
      </c>
      <c r="AJ323">
        <v>41</v>
      </c>
      <c r="AK323">
        <v>216</v>
      </c>
      <c r="AL323" t="s">
        <v>1274</v>
      </c>
      <c r="AM323" t="s">
        <v>1275</v>
      </c>
      <c r="AN323" t="s">
        <v>1276</v>
      </c>
      <c r="AO323" t="s">
        <v>6643</v>
      </c>
      <c r="AP323" t="s">
        <v>6644</v>
      </c>
      <c r="AQ323" t="s">
        <v>74</v>
      </c>
      <c r="AR323" t="s">
        <v>6630</v>
      </c>
      <c r="AS323" t="s">
        <v>6645</v>
      </c>
      <c r="AT323" t="s">
        <v>74</v>
      </c>
      <c r="AU323">
        <v>2019</v>
      </c>
      <c r="AV323">
        <v>35</v>
      </c>
      <c r="AW323">
        <v>6</v>
      </c>
      <c r="AX323" t="s">
        <v>74</v>
      </c>
      <c r="AY323" t="s">
        <v>74</v>
      </c>
      <c r="AZ323" t="s">
        <v>74</v>
      </c>
      <c r="BA323" t="s">
        <v>74</v>
      </c>
      <c r="BB323">
        <v>631</v>
      </c>
      <c r="BC323">
        <v>648</v>
      </c>
      <c r="BD323" t="s">
        <v>74</v>
      </c>
      <c r="BE323" t="s">
        <v>6646</v>
      </c>
      <c r="BF323" t="str">
        <f>HYPERLINK("http://dx.doi.org/10.1080/08927014.2019.1640214","http://dx.doi.org/10.1080/08927014.2019.1640214")</f>
        <v>http://dx.doi.org/10.1080/08927014.2019.1640214</v>
      </c>
      <c r="BG323" t="s">
        <v>74</v>
      </c>
      <c r="BH323" t="s">
        <v>6119</v>
      </c>
      <c r="BI323">
        <v>18</v>
      </c>
      <c r="BJ323" t="s">
        <v>4353</v>
      </c>
      <c r="BK323" t="s">
        <v>101</v>
      </c>
      <c r="BL323" t="s">
        <v>4353</v>
      </c>
      <c r="BM323" t="s">
        <v>6647</v>
      </c>
      <c r="BN323">
        <v>31339358</v>
      </c>
      <c r="BO323" t="s">
        <v>6648</v>
      </c>
      <c r="BP323" t="s">
        <v>1784</v>
      </c>
      <c r="BQ323" t="s">
        <v>1785</v>
      </c>
      <c r="BR323" t="s">
        <v>103</v>
      </c>
      <c r="BS323" t="s">
        <v>6649</v>
      </c>
      <c r="BT323" t="str">
        <f>HYPERLINK("https%3A%2F%2Fwww.webofscience.com%2Fwos%2Fwoscc%2Ffull-record%2FWOS:000480842900001","View Full Record in Web of Science")</f>
        <v>View Full Record in Web of Science</v>
      </c>
    </row>
    <row r="324" spans="1:72" x14ac:dyDescent="0.15">
      <c r="A324" t="s">
        <v>72</v>
      </c>
      <c r="B324" t="s">
        <v>6650</v>
      </c>
      <c r="C324" t="s">
        <v>74</v>
      </c>
      <c r="D324" t="s">
        <v>74</v>
      </c>
      <c r="E324" t="s">
        <v>74</v>
      </c>
      <c r="F324" t="s">
        <v>6651</v>
      </c>
      <c r="G324" t="s">
        <v>74</v>
      </c>
      <c r="H324" t="s">
        <v>74</v>
      </c>
      <c r="I324" t="s">
        <v>6652</v>
      </c>
      <c r="J324" t="s">
        <v>855</v>
      </c>
      <c r="K324" t="s">
        <v>74</v>
      </c>
      <c r="L324" t="s">
        <v>74</v>
      </c>
      <c r="M324" t="s">
        <v>78</v>
      </c>
      <c r="N324" t="s">
        <v>79</v>
      </c>
      <c r="O324" t="s">
        <v>74</v>
      </c>
      <c r="P324" t="s">
        <v>74</v>
      </c>
      <c r="Q324" t="s">
        <v>74</v>
      </c>
      <c r="R324" t="s">
        <v>74</v>
      </c>
      <c r="S324" t="s">
        <v>74</v>
      </c>
      <c r="T324" t="s">
        <v>6653</v>
      </c>
      <c r="U324" t="s">
        <v>6654</v>
      </c>
      <c r="V324" t="s">
        <v>6655</v>
      </c>
      <c r="W324" t="s">
        <v>6656</v>
      </c>
      <c r="X324" t="s">
        <v>6657</v>
      </c>
      <c r="Y324" t="s">
        <v>6658</v>
      </c>
      <c r="Z324" t="s">
        <v>6659</v>
      </c>
      <c r="AA324" t="s">
        <v>6660</v>
      </c>
      <c r="AB324" t="s">
        <v>6661</v>
      </c>
      <c r="AC324" t="s">
        <v>6662</v>
      </c>
      <c r="AD324" t="s">
        <v>6663</v>
      </c>
      <c r="AE324" t="s">
        <v>6664</v>
      </c>
      <c r="AF324" t="s">
        <v>74</v>
      </c>
      <c r="AG324">
        <v>120</v>
      </c>
      <c r="AH324">
        <v>61</v>
      </c>
      <c r="AI324">
        <v>64</v>
      </c>
      <c r="AJ324">
        <v>4</v>
      </c>
      <c r="AK324">
        <v>57</v>
      </c>
      <c r="AL324" t="s">
        <v>868</v>
      </c>
      <c r="AM324" t="s">
        <v>869</v>
      </c>
      <c r="AN324" t="s">
        <v>870</v>
      </c>
      <c r="AO324" t="s">
        <v>74</v>
      </c>
      <c r="AP324" t="s">
        <v>871</v>
      </c>
      <c r="AQ324" t="s">
        <v>74</v>
      </c>
      <c r="AR324" t="s">
        <v>872</v>
      </c>
      <c r="AS324" t="s">
        <v>873</v>
      </c>
      <c r="AT324" t="s">
        <v>1414</v>
      </c>
      <c r="AU324">
        <v>2019</v>
      </c>
      <c r="AV324">
        <v>6</v>
      </c>
      <c r="AW324" t="s">
        <v>74</v>
      </c>
      <c r="AX324" t="s">
        <v>74</v>
      </c>
      <c r="AY324" t="s">
        <v>74</v>
      </c>
      <c r="AZ324" t="s">
        <v>74</v>
      </c>
      <c r="BA324" t="s">
        <v>74</v>
      </c>
      <c r="BB324" t="s">
        <v>74</v>
      </c>
      <c r="BC324" t="s">
        <v>74</v>
      </c>
      <c r="BD324">
        <v>367</v>
      </c>
      <c r="BE324" t="s">
        <v>6665</v>
      </c>
      <c r="BF324" t="str">
        <f>HYPERLINK("http://dx.doi.org/10.3389/fmars.2019.00367","http://dx.doi.org/10.3389/fmars.2019.00367")</f>
        <v>http://dx.doi.org/10.3389/fmars.2019.00367</v>
      </c>
      <c r="BG324" t="s">
        <v>74</v>
      </c>
      <c r="BH324" t="s">
        <v>74</v>
      </c>
      <c r="BI324">
        <v>20</v>
      </c>
      <c r="BJ324" t="s">
        <v>876</v>
      </c>
      <c r="BK324" t="s">
        <v>101</v>
      </c>
      <c r="BL324" t="s">
        <v>877</v>
      </c>
      <c r="BM324" t="s">
        <v>6666</v>
      </c>
      <c r="BN324" t="s">
        <v>74</v>
      </c>
      <c r="BO324" t="s">
        <v>402</v>
      </c>
      <c r="BP324" t="s">
        <v>74</v>
      </c>
      <c r="BQ324" t="s">
        <v>74</v>
      </c>
      <c r="BR324" t="s">
        <v>103</v>
      </c>
      <c r="BS324" t="s">
        <v>6667</v>
      </c>
      <c r="BT324" t="str">
        <f>HYPERLINK("https%3A%2F%2Fwww.webofscience.com%2Fwos%2Fwoscc%2Ffull-record%2FWOS:000476940200001","View Full Record in Web of Science")</f>
        <v>View Full Record in Web of Science</v>
      </c>
    </row>
    <row r="325" spans="1:72" x14ac:dyDescent="0.15">
      <c r="A325" t="s">
        <v>72</v>
      </c>
      <c r="B325" t="s">
        <v>6668</v>
      </c>
      <c r="C325" t="s">
        <v>74</v>
      </c>
      <c r="D325" t="s">
        <v>74</v>
      </c>
      <c r="E325" t="s">
        <v>74</v>
      </c>
      <c r="F325" t="s">
        <v>6669</v>
      </c>
      <c r="G325" t="s">
        <v>74</v>
      </c>
      <c r="H325" t="s">
        <v>74</v>
      </c>
      <c r="I325" t="s">
        <v>6670</v>
      </c>
      <c r="J325" t="s">
        <v>6671</v>
      </c>
      <c r="K325" t="s">
        <v>74</v>
      </c>
      <c r="L325" t="s">
        <v>74</v>
      </c>
      <c r="M325" t="s">
        <v>78</v>
      </c>
      <c r="N325" t="s">
        <v>108</v>
      </c>
      <c r="O325" t="s">
        <v>74</v>
      </c>
      <c r="P325" t="s">
        <v>74</v>
      </c>
      <c r="Q325" t="s">
        <v>74</v>
      </c>
      <c r="R325" t="s">
        <v>74</v>
      </c>
      <c r="S325" t="s">
        <v>74</v>
      </c>
      <c r="T325" t="s">
        <v>6672</v>
      </c>
      <c r="U325" t="s">
        <v>6673</v>
      </c>
      <c r="V325" t="s">
        <v>6674</v>
      </c>
      <c r="W325" t="s">
        <v>6675</v>
      </c>
      <c r="X325" t="s">
        <v>6676</v>
      </c>
      <c r="Y325" t="s">
        <v>6677</v>
      </c>
      <c r="Z325" t="s">
        <v>6678</v>
      </c>
      <c r="AA325" t="s">
        <v>6679</v>
      </c>
      <c r="AB325" t="s">
        <v>6680</v>
      </c>
      <c r="AC325" t="s">
        <v>74</v>
      </c>
      <c r="AD325" t="s">
        <v>74</v>
      </c>
      <c r="AE325" t="s">
        <v>74</v>
      </c>
      <c r="AF325" t="s">
        <v>74</v>
      </c>
      <c r="AG325">
        <v>42</v>
      </c>
      <c r="AH325">
        <v>7</v>
      </c>
      <c r="AI325">
        <v>7</v>
      </c>
      <c r="AJ325">
        <v>0</v>
      </c>
      <c r="AK325">
        <v>13</v>
      </c>
      <c r="AL325" t="s">
        <v>6681</v>
      </c>
      <c r="AM325" t="s">
        <v>6682</v>
      </c>
      <c r="AN325" t="s">
        <v>6683</v>
      </c>
      <c r="AO325" t="s">
        <v>6684</v>
      </c>
      <c r="AP325" t="s">
        <v>6685</v>
      </c>
      <c r="AQ325" t="s">
        <v>74</v>
      </c>
      <c r="AR325" t="s">
        <v>6686</v>
      </c>
      <c r="AS325" t="s">
        <v>6687</v>
      </c>
      <c r="AT325" t="s">
        <v>1147</v>
      </c>
      <c r="AU325">
        <v>2019</v>
      </c>
      <c r="AV325">
        <v>56</v>
      </c>
      <c r="AW325">
        <v>6</v>
      </c>
      <c r="AX325" t="s">
        <v>74</v>
      </c>
      <c r="AY325" t="s">
        <v>74</v>
      </c>
      <c r="AZ325" t="s">
        <v>74</v>
      </c>
      <c r="BA325" t="s">
        <v>74</v>
      </c>
      <c r="BB325">
        <v>907</v>
      </c>
      <c r="BC325">
        <v>914</v>
      </c>
      <c r="BD325">
        <v>300985819861717</v>
      </c>
      <c r="BE325" t="s">
        <v>6688</v>
      </c>
      <c r="BF325" t="str">
        <f>HYPERLINK("http://dx.doi.org/10.1177/0300985819861717","http://dx.doi.org/10.1177/0300985819861717")</f>
        <v>http://dx.doi.org/10.1177/0300985819861717</v>
      </c>
      <c r="BG325" t="s">
        <v>74</v>
      </c>
      <c r="BH325" t="s">
        <v>6119</v>
      </c>
      <c r="BI325">
        <v>8</v>
      </c>
      <c r="BJ325" t="s">
        <v>6689</v>
      </c>
      <c r="BK325" t="s">
        <v>101</v>
      </c>
      <c r="BL325" t="s">
        <v>6689</v>
      </c>
      <c r="BM325" t="s">
        <v>6690</v>
      </c>
      <c r="BN325">
        <v>31331256</v>
      </c>
      <c r="BO325" t="s">
        <v>1308</v>
      </c>
      <c r="BP325" t="s">
        <v>74</v>
      </c>
      <c r="BQ325" t="s">
        <v>74</v>
      </c>
      <c r="BR325" t="s">
        <v>103</v>
      </c>
      <c r="BS325" t="s">
        <v>6691</v>
      </c>
      <c r="BT325" t="str">
        <f>HYPERLINK("https%3A%2F%2Fwww.webofscience.com%2Fwos%2Fwoscc%2Ffull-record%2FWOS:000477339700001","View Full Record in Web of Science")</f>
        <v>View Full Record in Web of Science</v>
      </c>
    </row>
    <row r="326" spans="1:72" x14ac:dyDescent="0.15">
      <c r="A326" t="s">
        <v>72</v>
      </c>
      <c r="B326" t="s">
        <v>6692</v>
      </c>
      <c r="C326" t="s">
        <v>74</v>
      </c>
      <c r="D326" t="s">
        <v>74</v>
      </c>
      <c r="E326" t="s">
        <v>74</v>
      </c>
      <c r="F326" t="s">
        <v>6693</v>
      </c>
      <c r="G326" t="s">
        <v>74</v>
      </c>
      <c r="H326" t="s">
        <v>74</v>
      </c>
      <c r="I326" t="s">
        <v>6694</v>
      </c>
      <c r="J326" t="s">
        <v>5818</v>
      </c>
      <c r="K326" t="s">
        <v>74</v>
      </c>
      <c r="L326" t="s">
        <v>74</v>
      </c>
      <c r="M326" t="s">
        <v>78</v>
      </c>
      <c r="N326" t="s">
        <v>108</v>
      </c>
      <c r="O326" t="s">
        <v>74</v>
      </c>
      <c r="P326" t="s">
        <v>74</v>
      </c>
      <c r="Q326" t="s">
        <v>74</v>
      </c>
      <c r="R326" t="s">
        <v>74</v>
      </c>
      <c r="S326" t="s">
        <v>74</v>
      </c>
      <c r="T326" t="s">
        <v>74</v>
      </c>
      <c r="U326" t="s">
        <v>6695</v>
      </c>
      <c r="V326" t="s">
        <v>6696</v>
      </c>
      <c r="W326" t="s">
        <v>6697</v>
      </c>
      <c r="X326" t="s">
        <v>6698</v>
      </c>
      <c r="Y326" t="s">
        <v>6699</v>
      </c>
      <c r="Z326" t="s">
        <v>6700</v>
      </c>
      <c r="AA326" t="s">
        <v>74</v>
      </c>
      <c r="AB326" t="s">
        <v>6701</v>
      </c>
      <c r="AC326" t="s">
        <v>6702</v>
      </c>
      <c r="AD326" t="s">
        <v>6703</v>
      </c>
      <c r="AE326" t="s">
        <v>6704</v>
      </c>
      <c r="AF326" t="s">
        <v>74</v>
      </c>
      <c r="AG326">
        <v>92</v>
      </c>
      <c r="AH326">
        <v>11</v>
      </c>
      <c r="AI326">
        <v>11</v>
      </c>
      <c r="AJ326">
        <v>0</v>
      </c>
      <c r="AK326">
        <v>6</v>
      </c>
      <c r="AL326" t="s">
        <v>1140</v>
      </c>
      <c r="AM326" t="s">
        <v>1141</v>
      </c>
      <c r="AN326" t="s">
        <v>1142</v>
      </c>
      <c r="AO326" t="s">
        <v>5827</v>
      </c>
      <c r="AP326" t="s">
        <v>5828</v>
      </c>
      <c r="AQ326" t="s">
        <v>74</v>
      </c>
      <c r="AR326" t="s">
        <v>5829</v>
      </c>
      <c r="AS326" t="s">
        <v>5830</v>
      </c>
      <c r="AT326" t="s">
        <v>98</v>
      </c>
      <c r="AU326">
        <v>2019</v>
      </c>
      <c r="AV326">
        <v>54</v>
      </c>
      <c r="AW326">
        <v>9</v>
      </c>
      <c r="AX326" t="s">
        <v>74</v>
      </c>
      <c r="AY326" t="s">
        <v>74</v>
      </c>
      <c r="AZ326" t="s">
        <v>74</v>
      </c>
      <c r="BA326" t="s">
        <v>74</v>
      </c>
      <c r="BB326">
        <v>1973</v>
      </c>
      <c r="BC326">
        <v>1989</v>
      </c>
      <c r="BD326" t="s">
        <v>74</v>
      </c>
      <c r="BE326" t="s">
        <v>6705</v>
      </c>
      <c r="BF326" t="str">
        <f>HYPERLINK("http://dx.doi.org/10.1111/maps.13366","http://dx.doi.org/10.1111/maps.13366")</f>
        <v>http://dx.doi.org/10.1111/maps.13366</v>
      </c>
      <c r="BG326" t="s">
        <v>74</v>
      </c>
      <c r="BH326" t="s">
        <v>6119</v>
      </c>
      <c r="BI326">
        <v>17</v>
      </c>
      <c r="BJ326" t="s">
        <v>190</v>
      </c>
      <c r="BK326" t="s">
        <v>101</v>
      </c>
      <c r="BL326" t="s">
        <v>190</v>
      </c>
      <c r="BM326" t="s">
        <v>6706</v>
      </c>
      <c r="BN326" t="s">
        <v>74</v>
      </c>
      <c r="BO326" t="s">
        <v>1308</v>
      </c>
      <c r="BP326" t="s">
        <v>74</v>
      </c>
      <c r="BQ326" t="s">
        <v>74</v>
      </c>
      <c r="BR326" t="s">
        <v>103</v>
      </c>
      <c r="BS326" t="s">
        <v>6707</v>
      </c>
      <c r="BT326" t="str">
        <f>HYPERLINK("https%3A%2F%2Fwww.webofscience.com%2Fwos%2Fwoscc%2Ffull-record%2FWOS:000477403600001","View Full Record in Web of Science")</f>
        <v>View Full Record in Web of Science</v>
      </c>
    </row>
    <row r="327" spans="1:72" x14ac:dyDescent="0.15">
      <c r="A327" t="s">
        <v>72</v>
      </c>
      <c r="B327" t="s">
        <v>6708</v>
      </c>
      <c r="C327" t="s">
        <v>74</v>
      </c>
      <c r="D327" t="s">
        <v>74</v>
      </c>
      <c r="E327" t="s">
        <v>74</v>
      </c>
      <c r="F327" t="s">
        <v>6709</v>
      </c>
      <c r="G327" t="s">
        <v>74</v>
      </c>
      <c r="H327" t="s">
        <v>74</v>
      </c>
      <c r="I327" t="s">
        <v>6710</v>
      </c>
      <c r="J327" t="s">
        <v>5818</v>
      </c>
      <c r="K327" t="s">
        <v>74</v>
      </c>
      <c r="L327" t="s">
        <v>74</v>
      </c>
      <c r="M327" t="s">
        <v>78</v>
      </c>
      <c r="N327" t="s">
        <v>108</v>
      </c>
      <c r="O327" t="s">
        <v>74</v>
      </c>
      <c r="P327" t="s">
        <v>74</v>
      </c>
      <c r="Q327" t="s">
        <v>74</v>
      </c>
      <c r="R327" t="s">
        <v>74</v>
      </c>
      <c r="S327" t="s">
        <v>74</v>
      </c>
      <c r="T327" t="s">
        <v>74</v>
      </c>
      <c r="U327" t="s">
        <v>6711</v>
      </c>
      <c r="V327" t="s">
        <v>6712</v>
      </c>
      <c r="W327" t="s">
        <v>6713</v>
      </c>
      <c r="X327" t="s">
        <v>6714</v>
      </c>
      <c r="Y327" t="s">
        <v>6715</v>
      </c>
      <c r="Z327" t="s">
        <v>6716</v>
      </c>
      <c r="AA327" t="s">
        <v>6717</v>
      </c>
      <c r="AB327" t="s">
        <v>6718</v>
      </c>
      <c r="AC327" t="s">
        <v>6719</v>
      </c>
      <c r="AD327" t="s">
        <v>6720</v>
      </c>
      <c r="AE327" t="s">
        <v>6721</v>
      </c>
      <c r="AF327" t="s">
        <v>74</v>
      </c>
      <c r="AG327">
        <v>89</v>
      </c>
      <c r="AH327">
        <v>23</v>
      </c>
      <c r="AI327">
        <v>29</v>
      </c>
      <c r="AJ327">
        <v>3</v>
      </c>
      <c r="AK327">
        <v>19</v>
      </c>
      <c r="AL327" t="s">
        <v>1140</v>
      </c>
      <c r="AM327" t="s">
        <v>1141</v>
      </c>
      <c r="AN327" t="s">
        <v>1142</v>
      </c>
      <c r="AO327" t="s">
        <v>5827</v>
      </c>
      <c r="AP327" t="s">
        <v>5828</v>
      </c>
      <c r="AQ327" t="s">
        <v>74</v>
      </c>
      <c r="AR327" t="s">
        <v>5829</v>
      </c>
      <c r="AS327" t="s">
        <v>5830</v>
      </c>
      <c r="AT327" t="s">
        <v>6722</v>
      </c>
      <c r="AU327">
        <v>2020</v>
      </c>
      <c r="AV327">
        <v>55</v>
      </c>
      <c r="AW327">
        <v>6</v>
      </c>
      <c r="AX327" t="s">
        <v>74</v>
      </c>
      <c r="AY327" t="s">
        <v>74</v>
      </c>
      <c r="AZ327" t="s">
        <v>74</v>
      </c>
      <c r="BA327" t="s">
        <v>74</v>
      </c>
      <c r="BB327">
        <v>1404</v>
      </c>
      <c r="BC327">
        <v>1417</v>
      </c>
      <c r="BD327" t="s">
        <v>74</v>
      </c>
      <c r="BE327" t="s">
        <v>6723</v>
      </c>
      <c r="BF327" t="str">
        <f>HYPERLINK("http://dx.doi.org/10.1111/maps.13358","http://dx.doi.org/10.1111/maps.13358")</f>
        <v>http://dx.doi.org/10.1111/maps.13358</v>
      </c>
      <c r="BG327" t="s">
        <v>74</v>
      </c>
      <c r="BH327" t="s">
        <v>6119</v>
      </c>
      <c r="BI327">
        <v>14</v>
      </c>
      <c r="BJ327" t="s">
        <v>190</v>
      </c>
      <c r="BK327" t="s">
        <v>101</v>
      </c>
      <c r="BL327" t="s">
        <v>190</v>
      </c>
      <c r="BM327" t="s">
        <v>6724</v>
      </c>
      <c r="BN327" t="s">
        <v>74</v>
      </c>
      <c r="BO327" t="s">
        <v>136</v>
      </c>
      <c r="BP327" t="s">
        <v>74</v>
      </c>
      <c r="BQ327" t="s">
        <v>74</v>
      </c>
      <c r="BR327" t="s">
        <v>103</v>
      </c>
      <c r="BS327" t="s">
        <v>6725</v>
      </c>
      <c r="BT327" t="str">
        <f>HYPERLINK("https%3A%2F%2Fwww.webofscience.com%2Fwos%2Fwoscc%2Ffull-record%2FWOS:000477402700001","View Full Record in Web of Science")</f>
        <v>View Full Record in Web of Science</v>
      </c>
    </row>
    <row r="328" spans="1:72" x14ac:dyDescent="0.15">
      <c r="A328" t="s">
        <v>72</v>
      </c>
      <c r="B328" t="s">
        <v>6726</v>
      </c>
      <c r="C328" t="s">
        <v>74</v>
      </c>
      <c r="D328" t="s">
        <v>74</v>
      </c>
      <c r="E328" t="s">
        <v>74</v>
      </c>
      <c r="F328" t="s">
        <v>6727</v>
      </c>
      <c r="G328" t="s">
        <v>74</v>
      </c>
      <c r="H328" t="s">
        <v>74</v>
      </c>
      <c r="I328" t="s">
        <v>6728</v>
      </c>
      <c r="J328" t="s">
        <v>6729</v>
      </c>
      <c r="K328" t="s">
        <v>74</v>
      </c>
      <c r="L328" t="s">
        <v>74</v>
      </c>
      <c r="M328" t="s">
        <v>78</v>
      </c>
      <c r="N328" t="s">
        <v>108</v>
      </c>
      <c r="O328" t="s">
        <v>74</v>
      </c>
      <c r="P328" t="s">
        <v>74</v>
      </c>
      <c r="Q328" t="s">
        <v>74</v>
      </c>
      <c r="R328" t="s">
        <v>74</v>
      </c>
      <c r="S328" t="s">
        <v>74</v>
      </c>
      <c r="T328" t="s">
        <v>74</v>
      </c>
      <c r="U328" t="s">
        <v>6730</v>
      </c>
      <c r="V328" t="s">
        <v>6731</v>
      </c>
      <c r="W328" t="s">
        <v>6732</v>
      </c>
      <c r="X328" t="s">
        <v>6733</v>
      </c>
      <c r="Y328" t="s">
        <v>6734</v>
      </c>
      <c r="Z328" t="s">
        <v>6735</v>
      </c>
      <c r="AA328" t="s">
        <v>6736</v>
      </c>
      <c r="AB328" t="s">
        <v>6737</v>
      </c>
      <c r="AC328" t="s">
        <v>6738</v>
      </c>
      <c r="AD328" t="s">
        <v>6739</v>
      </c>
      <c r="AE328" t="s">
        <v>6740</v>
      </c>
      <c r="AF328" t="s">
        <v>74</v>
      </c>
      <c r="AG328">
        <v>48</v>
      </c>
      <c r="AH328">
        <v>7</v>
      </c>
      <c r="AI328">
        <v>7</v>
      </c>
      <c r="AJ328">
        <v>0</v>
      </c>
      <c r="AK328">
        <v>11</v>
      </c>
      <c r="AL328" t="s">
        <v>438</v>
      </c>
      <c r="AM328" t="s">
        <v>439</v>
      </c>
      <c r="AN328" t="s">
        <v>440</v>
      </c>
      <c r="AO328" t="s">
        <v>6741</v>
      </c>
      <c r="AP328" t="s">
        <v>6742</v>
      </c>
      <c r="AQ328" t="s">
        <v>74</v>
      </c>
      <c r="AR328" t="s">
        <v>6743</v>
      </c>
      <c r="AS328" t="s">
        <v>6744</v>
      </c>
      <c r="AT328" t="s">
        <v>6745</v>
      </c>
      <c r="AU328">
        <v>2019</v>
      </c>
      <c r="AV328">
        <v>213</v>
      </c>
      <c r="AW328" t="s">
        <v>74</v>
      </c>
      <c r="AX328" t="s">
        <v>74</v>
      </c>
      <c r="AY328" t="s">
        <v>74</v>
      </c>
      <c r="AZ328" t="s">
        <v>74</v>
      </c>
      <c r="BA328" t="s">
        <v>74</v>
      </c>
      <c r="BB328">
        <v>1</v>
      </c>
      <c r="BC328">
        <v>12</v>
      </c>
      <c r="BD328" t="s">
        <v>74</v>
      </c>
      <c r="BE328" t="s">
        <v>6746</v>
      </c>
      <c r="BF328" t="str">
        <f>HYPERLINK("http://dx.doi.org/10.1016/j.marchem.2019.04.008","http://dx.doi.org/10.1016/j.marchem.2019.04.008")</f>
        <v>http://dx.doi.org/10.1016/j.marchem.2019.04.008</v>
      </c>
      <c r="BG328" t="s">
        <v>74</v>
      </c>
      <c r="BH328" t="s">
        <v>74</v>
      </c>
      <c r="BI328">
        <v>12</v>
      </c>
      <c r="BJ328" t="s">
        <v>6747</v>
      </c>
      <c r="BK328" t="s">
        <v>101</v>
      </c>
      <c r="BL328" t="s">
        <v>6748</v>
      </c>
      <c r="BM328" t="s">
        <v>6749</v>
      </c>
      <c r="BN328" t="s">
        <v>74</v>
      </c>
      <c r="BO328" t="s">
        <v>1648</v>
      </c>
      <c r="BP328" t="s">
        <v>74</v>
      </c>
      <c r="BQ328" t="s">
        <v>74</v>
      </c>
      <c r="BR328" t="s">
        <v>103</v>
      </c>
      <c r="BS328" t="s">
        <v>6750</v>
      </c>
      <c r="BT328" t="str">
        <f>HYPERLINK("https%3A%2F%2Fwww.webofscience.com%2Fwos%2Fwoscc%2Ffull-record%2FWOS:000472691100001","View Full Record in Web of Science")</f>
        <v>View Full Record in Web of Science</v>
      </c>
    </row>
    <row r="329" spans="1:72" x14ac:dyDescent="0.15">
      <c r="A329" t="s">
        <v>72</v>
      </c>
      <c r="B329" t="s">
        <v>6751</v>
      </c>
      <c r="C329" t="s">
        <v>74</v>
      </c>
      <c r="D329" t="s">
        <v>74</v>
      </c>
      <c r="E329" t="s">
        <v>74</v>
      </c>
      <c r="F329" t="s">
        <v>6752</v>
      </c>
      <c r="G329" t="s">
        <v>74</v>
      </c>
      <c r="H329" t="s">
        <v>74</v>
      </c>
      <c r="I329" t="s">
        <v>6753</v>
      </c>
      <c r="J329" t="s">
        <v>6729</v>
      </c>
      <c r="K329" t="s">
        <v>74</v>
      </c>
      <c r="L329" t="s">
        <v>74</v>
      </c>
      <c r="M329" t="s">
        <v>78</v>
      </c>
      <c r="N329" t="s">
        <v>108</v>
      </c>
      <c r="O329" t="s">
        <v>74</v>
      </c>
      <c r="P329" t="s">
        <v>74</v>
      </c>
      <c r="Q329" t="s">
        <v>74</v>
      </c>
      <c r="R329" t="s">
        <v>74</v>
      </c>
      <c r="S329" t="s">
        <v>74</v>
      </c>
      <c r="T329" t="s">
        <v>6754</v>
      </c>
      <c r="U329" t="s">
        <v>6755</v>
      </c>
      <c r="V329" t="s">
        <v>6756</v>
      </c>
      <c r="W329" t="s">
        <v>6757</v>
      </c>
      <c r="X329" t="s">
        <v>6758</v>
      </c>
      <c r="Y329" t="s">
        <v>6759</v>
      </c>
      <c r="Z329" t="s">
        <v>6760</v>
      </c>
      <c r="AA329" t="s">
        <v>6761</v>
      </c>
      <c r="AB329" t="s">
        <v>6762</v>
      </c>
      <c r="AC329" t="s">
        <v>6763</v>
      </c>
      <c r="AD329" t="s">
        <v>6764</v>
      </c>
      <c r="AE329" t="s">
        <v>6765</v>
      </c>
      <c r="AF329" t="s">
        <v>74</v>
      </c>
      <c r="AG329">
        <v>59</v>
      </c>
      <c r="AH329">
        <v>15</v>
      </c>
      <c r="AI329">
        <v>17</v>
      </c>
      <c r="AJ329">
        <v>5</v>
      </c>
      <c r="AK329">
        <v>62</v>
      </c>
      <c r="AL329" t="s">
        <v>638</v>
      </c>
      <c r="AM329" t="s">
        <v>439</v>
      </c>
      <c r="AN329" t="s">
        <v>639</v>
      </c>
      <c r="AO329" t="s">
        <v>6741</v>
      </c>
      <c r="AP329" t="s">
        <v>6742</v>
      </c>
      <c r="AQ329" t="s">
        <v>74</v>
      </c>
      <c r="AR329" t="s">
        <v>6743</v>
      </c>
      <c r="AS329" t="s">
        <v>6744</v>
      </c>
      <c r="AT329" t="s">
        <v>6745</v>
      </c>
      <c r="AU329">
        <v>2019</v>
      </c>
      <c r="AV329">
        <v>213</v>
      </c>
      <c r="AW329" t="s">
        <v>74</v>
      </c>
      <c r="AX329" t="s">
        <v>74</v>
      </c>
      <c r="AY329" t="s">
        <v>74</v>
      </c>
      <c r="AZ329" t="s">
        <v>74</v>
      </c>
      <c r="BA329" t="s">
        <v>74</v>
      </c>
      <c r="BB329">
        <v>40</v>
      </c>
      <c r="BC329">
        <v>48</v>
      </c>
      <c r="BD329" t="s">
        <v>74</v>
      </c>
      <c r="BE329" t="s">
        <v>6766</v>
      </c>
      <c r="BF329" t="str">
        <f>HYPERLINK("http://dx.doi.org/10.1016/j.marchem.2019.04.009","http://dx.doi.org/10.1016/j.marchem.2019.04.009")</f>
        <v>http://dx.doi.org/10.1016/j.marchem.2019.04.009</v>
      </c>
      <c r="BG329" t="s">
        <v>74</v>
      </c>
      <c r="BH329" t="s">
        <v>74</v>
      </c>
      <c r="BI329">
        <v>9</v>
      </c>
      <c r="BJ329" t="s">
        <v>6747</v>
      </c>
      <c r="BK329" t="s">
        <v>101</v>
      </c>
      <c r="BL329" t="s">
        <v>6748</v>
      </c>
      <c r="BM329" t="s">
        <v>6749</v>
      </c>
      <c r="BN329" t="s">
        <v>74</v>
      </c>
      <c r="BO329" t="s">
        <v>74</v>
      </c>
      <c r="BP329" t="s">
        <v>74</v>
      </c>
      <c r="BQ329" t="s">
        <v>74</v>
      </c>
      <c r="BR329" t="s">
        <v>103</v>
      </c>
      <c r="BS329" t="s">
        <v>6767</v>
      </c>
      <c r="BT329" t="str">
        <f>HYPERLINK("https%3A%2F%2Fwww.webofscience.com%2Fwos%2Fwoscc%2Ffull-record%2FWOS:000472691100005","View Full Record in Web of Science")</f>
        <v>View Full Record in Web of Science</v>
      </c>
    </row>
    <row r="330" spans="1:72" x14ac:dyDescent="0.15">
      <c r="A330" t="s">
        <v>72</v>
      </c>
      <c r="B330" t="s">
        <v>6768</v>
      </c>
      <c r="C330" t="s">
        <v>74</v>
      </c>
      <c r="D330" t="s">
        <v>74</v>
      </c>
      <c r="E330" t="s">
        <v>74</v>
      </c>
      <c r="F330" t="s">
        <v>6769</v>
      </c>
      <c r="G330" t="s">
        <v>74</v>
      </c>
      <c r="H330" t="s">
        <v>74</v>
      </c>
      <c r="I330" t="s">
        <v>6770</v>
      </c>
      <c r="J330" t="s">
        <v>6771</v>
      </c>
      <c r="K330" t="s">
        <v>74</v>
      </c>
      <c r="L330" t="s">
        <v>74</v>
      </c>
      <c r="M330" t="s">
        <v>78</v>
      </c>
      <c r="N330" t="s">
        <v>108</v>
      </c>
      <c r="O330" t="s">
        <v>74</v>
      </c>
      <c r="P330" t="s">
        <v>74</v>
      </c>
      <c r="Q330" t="s">
        <v>74</v>
      </c>
      <c r="R330" t="s">
        <v>74</v>
      </c>
      <c r="S330" t="s">
        <v>74</v>
      </c>
      <c r="T330" t="s">
        <v>6772</v>
      </c>
      <c r="U330" t="s">
        <v>6773</v>
      </c>
      <c r="V330" t="s">
        <v>6774</v>
      </c>
      <c r="W330" t="s">
        <v>6775</v>
      </c>
      <c r="X330" t="s">
        <v>6776</v>
      </c>
      <c r="Y330" t="s">
        <v>6777</v>
      </c>
      <c r="Z330" t="s">
        <v>6778</v>
      </c>
      <c r="AA330" t="s">
        <v>6779</v>
      </c>
      <c r="AB330" t="s">
        <v>6780</v>
      </c>
      <c r="AC330" t="s">
        <v>6781</v>
      </c>
      <c r="AD330" t="s">
        <v>3082</v>
      </c>
      <c r="AE330" t="s">
        <v>6782</v>
      </c>
      <c r="AF330" t="s">
        <v>74</v>
      </c>
      <c r="AG330">
        <v>82</v>
      </c>
      <c r="AH330">
        <v>14</v>
      </c>
      <c r="AI330">
        <v>17</v>
      </c>
      <c r="AJ330">
        <v>1</v>
      </c>
      <c r="AK330">
        <v>24</v>
      </c>
      <c r="AL330" t="s">
        <v>638</v>
      </c>
      <c r="AM330" t="s">
        <v>439</v>
      </c>
      <c r="AN330" t="s">
        <v>639</v>
      </c>
      <c r="AO330" t="s">
        <v>6783</v>
      </c>
      <c r="AP330" t="s">
        <v>6784</v>
      </c>
      <c r="AQ330" t="s">
        <v>74</v>
      </c>
      <c r="AR330" t="s">
        <v>6785</v>
      </c>
      <c r="AS330" t="s">
        <v>6786</v>
      </c>
      <c r="AT330" t="s">
        <v>6745</v>
      </c>
      <c r="AU330">
        <v>2019</v>
      </c>
      <c r="AV330">
        <v>518</v>
      </c>
      <c r="AW330" t="s">
        <v>74</v>
      </c>
      <c r="AX330" t="s">
        <v>74</v>
      </c>
      <c r="AY330" t="s">
        <v>74</v>
      </c>
      <c r="AZ330" t="s">
        <v>74</v>
      </c>
      <c r="BA330" t="s">
        <v>74</v>
      </c>
      <c r="BB330">
        <v>45</v>
      </c>
      <c r="BC330">
        <v>54</v>
      </c>
      <c r="BD330" t="s">
        <v>74</v>
      </c>
      <c r="BE330" t="s">
        <v>6787</v>
      </c>
      <c r="BF330" t="str">
        <f>HYPERLINK("http://dx.doi.org/10.1016/j.chemgeo.2019.04.012","http://dx.doi.org/10.1016/j.chemgeo.2019.04.012")</f>
        <v>http://dx.doi.org/10.1016/j.chemgeo.2019.04.012</v>
      </c>
      <c r="BG330" t="s">
        <v>74</v>
      </c>
      <c r="BH330" t="s">
        <v>74</v>
      </c>
      <c r="BI330">
        <v>10</v>
      </c>
      <c r="BJ330" t="s">
        <v>190</v>
      </c>
      <c r="BK330" t="s">
        <v>101</v>
      </c>
      <c r="BL330" t="s">
        <v>190</v>
      </c>
      <c r="BM330" t="s">
        <v>6788</v>
      </c>
      <c r="BN330" t="s">
        <v>74</v>
      </c>
      <c r="BO330" t="s">
        <v>537</v>
      </c>
      <c r="BP330" t="s">
        <v>74</v>
      </c>
      <c r="BQ330" t="s">
        <v>74</v>
      </c>
      <c r="BR330" t="s">
        <v>103</v>
      </c>
      <c r="BS330" t="s">
        <v>6789</v>
      </c>
      <c r="BT330" t="str">
        <f>HYPERLINK("https%3A%2F%2Fwww.webofscience.com%2Fwos%2Fwoscc%2Ffull-record%2FWOS:000468423200005","View Full Record in Web of Science")</f>
        <v>View Full Record in Web of Science</v>
      </c>
    </row>
    <row r="331" spans="1:72" x14ac:dyDescent="0.15">
      <c r="A331" t="s">
        <v>72</v>
      </c>
      <c r="B331" t="s">
        <v>6790</v>
      </c>
      <c r="C331" t="s">
        <v>74</v>
      </c>
      <c r="D331" t="s">
        <v>74</v>
      </c>
      <c r="E331" t="s">
        <v>74</v>
      </c>
      <c r="F331" t="s">
        <v>6791</v>
      </c>
      <c r="G331" t="s">
        <v>74</v>
      </c>
      <c r="H331" t="s">
        <v>74</v>
      </c>
      <c r="I331" t="s">
        <v>6792</v>
      </c>
      <c r="J331" t="s">
        <v>805</v>
      </c>
      <c r="K331" t="s">
        <v>74</v>
      </c>
      <c r="L331" t="s">
        <v>74</v>
      </c>
      <c r="M331" t="s">
        <v>78</v>
      </c>
      <c r="N331" t="s">
        <v>108</v>
      </c>
      <c r="O331" t="s">
        <v>74</v>
      </c>
      <c r="P331" t="s">
        <v>74</v>
      </c>
      <c r="Q331" t="s">
        <v>74</v>
      </c>
      <c r="R331" t="s">
        <v>74</v>
      </c>
      <c r="S331" t="s">
        <v>74</v>
      </c>
      <c r="T331" t="s">
        <v>6793</v>
      </c>
      <c r="U331" t="s">
        <v>6794</v>
      </c>
      <c r="V331" t="s">
        <v>6795</v>
      </c>
      <c r="W331" t="s">
        <v>6796</v>
      </c>
      <c r="X331" t="s">
        <v>6797</v>
      </c>
      <c r="Y331" t="s">
        <v>6798</v>
      </c>
      <c r="Z331" t="s">
        <v>6799</v>
      </c>
      <c r="AA331" t="s">
        <v>6800</v>
      </c>
      <c r="AB331" t="s">
        <v>74</v>
      </c>
      <c r="AC331" t="s">
        <v>6801</v>
      </c>
      <c r="AD331" t="s">
        <v>6802</v>
      </c>
      <c r="AE331" t="s">
        <v>6803</v>
      </c>
      <c r="AF331" t="s">
        <v>74</v>
      </c>
      <c r="AG331">
        <v>50</v>
      </c>
      <c r="AH331">
        <v>6</v>
      </c>
      <c r="AI331">
        <v>6</v>
      </c>
      <c r="AJ331">
        <v>4</v>
      </c>
      <c r="AK331">
        <v>39</v>
      </c>
      <c r="AL331" t="s">
        <v>438</v>
      </c>
      <c r="AM331" t="s">
        <v>439</v>
      </c>
      <c r="AN331" t="s">
        <v>440</v>
      </c>
      <c r="AO331" t="s">
        <v>818</v>
      </c>
      <c r="AP331" t="s">
        <v>819</v>
      </c>
      <c r="AQ331" t="s">
        <v>74</v>
      </c>
      <c r="AR331" t="s">
        <v>820</v>
      </c>
      <c r="AS331" t="s">
        <v>821</v>
      </c>
      <c r="AT331" t="s">
        <v>6745</v>
      </c>
      <c r="AU331">
        <v>2019</v>
      </c>
      <c r="AV331">
        <v>675</v>
      </c>
      <c r="AW331" t="s">
        <v>74</v>
      </c>
      <c r="AX331" t="s">
        <v>74</v>
      </c>
      <c r="AY331" t="s">
        <v>74</v>
      </c>
      <c r="AZ331" t="s">
        <v>74</v>
      </c>
      <c r="BA331" t="s">
        <v>74</v>
      </c>
      <c r="BB331">
        <v>380</v>
      </c>
      <c r="BC331">
        <v>389</v>
      </c>
      <c r="BD331" t="s">
        <v>74</v>
      </c>
      <c r="BE331" t="s">
        <v>6804</v>
      </c>
      <c r="BF331" t="str">
        <f>HYPERLINK("http://dx.doi.org/10.1016/j.scitotenv.2019.04.139","http://dx.doi.org/10.1016/j.scitotenv.2019.04.139")</f>
        <v>http://dx.doi.org/10.1016/j.scitotenv.2019.04.139</v>
      </c>
      <c r="BG331" t="s">
        <v>74</v>
      </c>
      <c r="BH331" t="s">
        <v>74</v>
      </c>
      <c r="BI331">
        <v>10</v>
      </c>
      <c r="BJ331" t="s">
        <v>797</v>
      </c>
      <c r="BK331" t="s">
        <v>101</v>
      </c>
      <c r="BL331" t="s">
        <v>799</v>
      </c>
      <c r="BM331" t="s">
        <v>6805</v>
      </c>
      <c r="BN331">
        <v>31030144</v>
      </c>
      <c r="BO331" t="s">
        <v>74</v>
      </c>
      <c r="BP331" t="s">
        <v>74</v>
      </c>
      <c r="BQ331" t="s">
        <v>74</v>
      </c>
      <c r="BR331" t="s">
        <v>103</v>
      </c>
      <c r="BS331" t="s">
        <v>6806</v>
      </c>
      <c r="BT331" t="str">
        <f>HYPERLINK("https%3A%2F%2Fwww.webofscience.com%2Fwos%2Fwoscc%2Ffull-record%2FWOS:000467391900035","View Full Record in Web of Science")</f>
        <v>View Full Record in Web of Science</v>
      </c>
    </row>
    <row r="332" spans="1:72" x14ac:dyDescent="0.15">
      <c r="A332" t="s">
        <v>72</v>
      </c>
      <c r="B332" t="s">
        <v>6807</v>
      </c>
      <c r="C332" t="s">
        <v>74</v>
      </c>
      <c r="D332" t="s">
        <v>74</v>
      </c>
      <c r="E332" t="s">
        <v>74</v>
      </c>
      <c r="F332" t="s">
        <v>6808</v>
      </c>
      <c r="G332" t="s">
        <v>74</v>
      </c>
      <c r="H332" t="s">
        <v>74</v>
      </c>
      <c r="I332" t="s">
        <v>6809</v>
      </c>
      <c r="J332" t="s">
        <v>805</v>
      </c>
      <c r="K332" t="s">
        <v>74</v>
      </c>
      <c r="L332" t="s">
        <v>74</v>
      </c>
      <c r="M332" t="s">
        <v>78</v>
      </c>
      <c r="N332" t="s">
        <v>108</v>
      </c>
      <c r="O332" t="s">
        <v>74</v>
      </c>
      <c r="P332" t="s">
        <v>74</v>
      </c>
      <c r="Q332" t="s">
        <v>74</v>
      </c>
      <c r="R332" t="s">
        <v>74</v>
      </c>
      <c r="S332" t="s">
        <v>74</v>
      </c>
      <c r="T332" t="s">
        <v>6810</v>
      </c>
      <c r="U332" t="s">
        <v>6811</v>
      </c>
      <c r="V332" t="s">
        <v>6812</v>
      </c>
      <c r="W332" t="s">
        <v>6813</v>
      </c>
      <c r="X332" t="s">
        <v>6814</v>
      </c>
      <c r="Y332" t="s">
        <v>6815</v>
      </c>
      <c r="Z332" t="s">
        <v>6816</v>
      </c>
      <c r="AA332" t="s">
        <v>6817</v>
      </c>
      <c r="AB332" t="s">
        <v>6818</v>
      </c>
      <c r="AC332" t="s">
        <v>6819</v>
      </c>
      <c r="AD332" t="s">
        <v>6820</v>
      </c>
      <c r="AE332" t="s">
        <v>6821</v>
      </c>
      <c r="AF332" t="s">
        <v>74</v>
      </c>
      <c r="AG332">
        <v>62</v>
      </c>
      <c r="AH332">
        <v>107</v>
      </c>
      <c r="AI332">
        <v>110</v>
      </c>
      <c r="AJ332">
        <v>11</v>
      </c>
      <c r="AK332">
        <v>174</v>
      </c>
      <c r="AL332" t="s">
        <v>438</v>
      </c>
      <c r="AM332" t="s">
        <v>439</v>
      </c>
      <c r="AN332" t="s">
        <v>440</v>
      </c>
      <c r="AO332" t="s">
        <v>818</v>
      </c>
      <c r="AP332" t="s">
        <v>819</v>
      </c>
      <c r="AQ332" t="s">
        <v>74</v>
      </c>
      <c r="AR332" t="s">
        <v>820</v>
      </c>
      <c r="AS332" t="s">
        <v>821</v>
      </c>
      <c r="AT332" t="s">
        <v>6745</v>
      </c>
      <c r="AU332">
        <v>2019</v>
      </c>
      <c r="AV332">
        <v>675</v>
      </c>
      <c r="AW332" t="s">
        <v>74</v>
      </c>
      <c r="AX332" t="s">
        <v>74</v>
      </c>
      <c r="AY332" t="s">
        <v>74</v>
      </c>
      <c r="AZ332" t="s">
        <v>74</v>
      </c>
      <c r="BA332" t="s">
        <v>74</v>
      </c>
      <c r="BB332">
        <v>570</v>
      </c>
      <c r="BC332">
        <v>580</v>
      </c>
      <c r="BD332" t="s">
        <v>74</v>
      </c>
      <c r="BE332" t="s">
        <v>6822</v>
      </c>
      <c r="BF332" t="str">
        <f>HYPERLINK("http://dx.doi.org/10.1016/j.scitotenv.2019.04.157","http://dx.doi.org/10.1016/j.scitotenv.2019.04.157")</f>
        <v>http://dx.doi.org/10.1016/j.scitotenv.2019.04.157</v>
      </c>
      <c r="BG332" t="s">
        <v>74</v>
      </c>
      <c r="BH332" t="s">
        <v>74</v>
      </c>
      <c r="BI332">
        <v>11</v>
      </c>
      <c r="BJ332" t="s">
        <v>797</v>
      </c>
      <c r="BK332" t="s">
        <v>101</v>
      </c>
      <c r="BL332" t="s">
        <v>799</v>
      </c>
      <c r="BM332" t="s">
        <v>6805</v>
      </c>
      <c r="BN332">
        <v>31030162</v>
      </c>
      <c r="BO332" t="s">
        <v>1648</v>
      </c>
      <c r="BP332" t="s">
        <v>74</v>
      </c>
      <c r="BQ332" t="s">
        <v>74</v>
      </c>
      <c r="BR332" t="s">
        <v>103</v>
      </c>
      <c r="BS332" t="s">
        <v>6823</v>
      </c>
      <c r="BT332" t="str">
        <f>HYPERLINK("https%3A%2F%2Fwww.webofscience.com%2Fwos%2Fwoscc%2Ffull-record%2FWOS:000467391900053","View Full Record in Web of Science")</f>
        <v>View Full Record in Web of Science</v>
      </c>
    </row>
    <row r="333" spans="1:72" x14ac:dyDescent="0.15">
      <c r="A333" t="s">
        <v>72</v>
      </c>
      <c r="B333" t="s">
        <v>6824</v>
      </c>
      <c r="C333" t="s">
        <v>74</v>
      </c>
      <c r="D333" t="s">
        <v>74</v>
      </c>
      <c r="E333" t="s">
        <v>74</v>
      </c>
      <c r="F333" t="s">
        <v>6825</v>
      </c>
      <c r="G333" t="s">
        <v>74</v>
      </c>
      <c r="H333" t="s">
        <v>74</v>
      </c>
      <c r="I333" t="s">
        <v>6826</v>
      </c>
      <c r="J333" t="s">
        <v>6827</v>
      </c>
      <c r="K333" t="s">
        <v>74</v>
      </c>
      <c r="L333" t="s">
        <v>74</v>
      </c>
      <c r="M333" t="s">
        <v>78</v>
      </c>
      <c r="N333" t="s">
        <v>108</v>
      </c>
      <c r="O333" t="s">
        <v>74</v>
      </c>
      <c r="P333" t="s">
        <v>74</v>
      </c>
      <c r="Q333" t="s">
        <v>74</v>
      </c>
      <c r="R333" t="s">
        <v>74</v>
      </c>
      <c r="S333" t="s">
        <v>74</v>
      </c>
      <c r="T333" t="s">
        <v>6828</v>
      </c>
      <c r="U333" t="s">
        <v>6829</v>
      </c>
      <c r="V333" t="s">
        <v>6830</v>
      </c>
      <c r="W333" t="s">
        <v>6831</v>
      </c>
      <c r="X333" t="s">
        <v>6832</v>
      </c>
      <c r="Y333" t="s">
        <v>6833</v>
      </c>
      <c r="Z333" t="s">
        <v>6834</v>
      </c>
      <c r="AA333" t="s">
        <v>74</v>
      </c>
      <c r="AB333" t="s">
        <v>6835</v>
      </c>
      <c r="AC333" t="s">
        <v>6836</v>
      </c>
      <c r="AD333" t="s">
        <v>6836</v>
      </c>
      <c r="AE333" t="s">
        <v>6837</v>
      </c>
      <c r="AF333" t="s">
        <v>74</v>
      </c>
      <c r="AG333">
        <v>66</v>
      </c>
      <c r="AH333">
        <v>1</v>
      </c>
      <c r="AI333">
        <v>1</v>
      </c>
      <c r="AJ333">
        <v>2</v>
      </c>
      <c r="AK333">
        <v>8</v>
      </c>
      <c r="AL333" t="s">
        <v>1274</v>
      </c>
      <c r="AM333" t="s">
        <v>1275</v>
      </c>
      <c r="AN333" t="s">
        <v>1276</v>
      </c>
      <c r="AO333" t="s">
        <v>6838</v>
      </c>
      <c r="AP333" t="s">
        <v>6839</v>
      </c>
      <c r="AQ333" t="s">
        <v>74</v>
      </c>
      <c r="AR333" t="s">
        <v>6840</v>
      </c>
      <c r="AS333" t="s">
        <v>6841</v>
      </c>
      <c r="AT333" t="s">
        <v>6842</v>
      </c>
      <c r="AU333">
        <v>2019</v>
      </c>
      <c r="AV333">
        <v>66</v>
      </c>
      <c r="AW333">
        <v>7</v>
      </c>
      <c r="AX333" t="s">
        <v>74</v>
      </c>
      <c r="AY333" t="s">
        <v>74</v>
      </c>
      <c r="AZ333" t="s">
        <v>74</v>
      </c>
      <c r="BA333" t="s">
        <v>74</v>
      </c>
      <c r="BB333">
        <v>1007</v>
      </c>
      <c r="BC333">
        <v>1025</v>
      </c>
      <c r="BD333" t="s">
        <v>74</v>
      </c>
      <c r="BE333" t="s">
        <v>6843</v>
      </c>
      <c r="BF333" t="str">
        <f>HYPERLINK("http://dx.doi.org/10.1080/08120099.2019.1586770","http://dx.doi.org/10.1080/08120099.2019.1586770")</f>
        <v>http://dx.doi.org/10.1080/08120099.2019.1586770</v>
      </c>
      <c r="BG333" t="s">
        <v>74</v>
      </c>
      <c r="BH333" t="s">
        <v>6119</v>
      </c>
      <c r="BI333">
        <v>19</v>
      </c>
      <c r="BJ333" t="s">
        <v>471</v>
      </c>
      <c r="BK333" t="s">
        <v>101</v>
      </c>
      <c r="BL333" t="s">
        <v>472</v>
      </c>
      <c r="BM333" t="s">
        <v>6844</v>
      </c>
      <c r="BN333" t="s">
        <v>74</v>
      </c>
      <c r="BO333" t="s">
        <v>74</v>
      </c>
      <c r="BP333" t="s">
        <v>74</v>
      </c>
      <c r="BQ333" t="s">
        <v>74</v>
      </c>
      <c r="BR333" t="s">
        <v>103</v>
      </c>
      <c r="BS333" t="s">
        <v>6845</v>
      </c>
      <c r="BT333" t="str">
        <f>HYPERLINK("https%3A%2F%2Fwww.webofscience.com%2Fwos%2Fwoscc%2Ffull-record%2FWOS:000477319000001","View Full Record in Web of Science")</f>
        <v>View Full Record in Web of Science</v>
      </c>
    </row>
    <row r="334" spans="1:72" x14ac:dyDescent="0.15">
      <c r="A334" t="s">
        <v>72</v>
      </c>
      <c r="B334" t="s">
        <v>6846</v>
      </c>
      <c r="C334" t="s">
        <v>74</v>
      </c>
      <c r="D334" t="s">
        <v>74</v>
      </c>
      <c r="E334" t="s">
        <v>74</v>
      </c>
      <c r="F334" t="s">
        <v>6847</v>
      </c>
      <c r="G334" t="s">
        <v>74</v>
      </c>
      <c r="H334" t="s">
        <v>74</v>
      </c>
      <c r="I334" t="s">
        <v>6848</v>
      </c>
      <c r="J334" t="s">
        <v>6568</v>
      </c>
      <c r="K334" t="s">
        <v>74</v>
      </c>
      <c r="L334" t="s">
        <v>74</v>
      </c>
      <c r="M334" t="s">
        <v>78</v>
      </c>
      <c r="N334" t="s">
        <v>108</v>
      </c>
      <c r="O334" t="s">
        <v>74</v>
      </c>
      <c r="P334" t="s">
        <v>74</v>
      </c>
      <c r="Q334" t="s">
        <v>74</v>
      </c>
      <c r="R334" t="s">
        <v>74</v>
      </c>
      <c r="S334" t="s">
        <v>74</v>
      </c>
      <c r="T334" t="s">
        <v>6849</v>
      </c>
      <c r="U334" t="s">
        <v>6850</v>
      </c>
      <c r="V334" t="s">
        <v>6851</v>
      </c>
      <c r="W334" t="s">
        <v>6852</v>
      </c>
      <c r="X334" t="s">
        <v>6853</v>
      </c>
      <c r="Y334" t="s">
        <v>6854</v>
      </c>
      <c r="Z334" t="s">
        <v>6855</v>
      </c>
      <c r="AA334" t="s">
        <v>6856</v>
      </c>
      <c r="AB334" t="s">
        <v>6857</v>
      </c>
      <c r="AC334" t="s">
        <v>6858</v>
      </c>
      <c r="AD334" t="s">
        <v>6859</v>
      </c>
      <c r="AE334" t="s">
        <v>6860</v>
      </c>
      <c r="AF334" t="s">
        <v>74</v>
      </c>
      <c r="AG334">
        <v>137</v>
      </c>
      <c r="AH334">
        <v>9</v>
      </c>
      <c r="AI334">
        <v>9</v>
      </c>
      <c r="AJ334">
        <v>0</v>
      </c>
      <c r="AK334">
        <v>15</v>
      </c>
      <c r="AL334" t="s">
        <v>1140</v>
      </c>
      <c r="AM334" t="s">
        <v>1141</v>
      </c>
      <c r="AN334" t="s">
        <v>1142</v>
      </c>
      <c r="AO334" t="s">
        <v>6577</v>
      </c>
      <c r="AP334" t="s">
        <v>6578</v>
      </c>
      <c r="AQ334" t="s">
        <v>74</v>
      </c>
      <c r="AR334" t="s">
        <v>6579</v>
      </c>
      <c r="AS334" t="s">
        <v>6580</v>
      </c>
      <c r="AT334" t="s">
        <v>98</v>
      </c>
      <c r="AU334">
        <v>2019</v>
      </c>
      <c r="AV334">
        <v>54</v>
      </c>
      <c r="AW334">
        <v>5</v>
      </c>
      <c r="AX334" t="s">
        <v>74</v>
      </c>
      <c r="AY334" t="s">
        <v>74</v>
      </c>
      <c r="AZ334" t="s">
        <v>730</v>
      </c>
      <c r="BA334" t="s">
        <v>74</v>
      </c>
      <c r="BB334">
        <v>3112</v>
      </c>
      <c r="BC334">
        <v>3147</v>
      </c>
      <c r="BD334" t="s">
        <v>74</v>
      </c>
      <c r="BE334" t="s">
        <v>6861</v>
      </c>
      <c r="BF334" t="str">
        <f>HYPERLINK("http://dx.doi.org/10.1002/gj.3555","http://dx.doi.org/10.1002/gj.3555")</f>
        <v>http://dx.doi.org/10.1002/gj.3555</v>
      </c>
      <c r="BG334" t="s">
        <v>74</v>
      </c>
      <c r="BH334" t="s">
        <v>6119</v>
      </c>
      <c r="BI334">
        <v>36</v>
      </c>
      <c r="BJ334" t="s">
        <v>471</v>
      </c>
      <c r="BK334" t="s">
        <v>101</v>
      </c>
      <c r="BL334" t="s">
        <v>472</v>
      </c>
      <c r="BM334" t="s">
        <v>6862</v>
      </c>
      <c r="BN334" t="s">
        <v>74</v>
      </c>
      <c r="BO334" t="s">
        <v>74</v>
      </c>
      <c r="BP334" t="s">
        <v>74</v>
      </c>
      <c r="BQ334" t="s">
        <v>74</v>
      </c>
      <c r="BR334" t="s">
        <v>103</v>
      </c>
      <c r="BS334" t="s">
        <v>6863</v>
      </c>
      <c r="BT334" t="str">
        <f>HYPERLINK("https%3A%2F%2Fwww.webofscience.com%2Fwos%2Fwoscc%2Ffull-record%2FWOS:000477207700001","View Full Record in Web of Science")</f>
        <v>View Full Record in Web of Science</v>
      </c>
    </row>
    <row r="335" spans="1:72" x14ac:dyDescent="0.15">
      <c r="A335" t="s">
        <v>72</v>
      </c>
      <c r="B335" t="s">
        <v>6864</v>
      </c>
      <c r="C335" t="s">
        <v>74</v>
      </c>
      <c r="D335" t="s">
        <v>74</v>
      </c>
      <c r="E335" t="s">
        <v>74</v>
      </c>
      <c r="F335" t="s">
        <v>6865</v>
      </c>
      <c r="G335" t="s">
        <v>74</v>
      </c>
      <c r="H335" t="s">
        <v>74</v>
      </c>
      <c r="I335" t="s">
        <v>6866</v>
      </c>
      <c r="J335" t="s">
        <v>6867</v>
      </c>
      <c r="K335" t="s">
        <v>74</v>
      </c>
      <c r="L335" t="s">
        <v>74</v>
      </c>
      <c r="M335" t="s">
        <v>78</v>
      </c>
      <c r="N335" t="s">
        <v>108</v>
      </c>
      <c r="O335" t="s">
        <v>74</v>
      </c>
      <c r="P335" t="s">
        <v>74</v>
      </c>
      <c r="Q335" t="s">
        <v>74</v>
      </c>
      <c r="R335" t="s">
        <v>74</v>
      </c>
      <c r="S335" t="s">
        <v>74</v>
      </c>
      <c r="T335" t="s">
        <v>6868</v>
      </c>
      <c r="U335" t="s">
        <v>6869</v>
      </c>
      <c r="V335" t="s">
        <v>6870</v>
      </c>
      <c r="W335" t="s">
        <v>6871</v>
      </c>
      <c r="X335" t="s">
        <v>6872</v>
      </c>
      <c r="Y335" t="s">
        <v>6873</v>
      </c>
      <c r="Z335" t="s">
        <v>6874</v>
      </c>
      <c r="AA335" t="s">
        <v>6875</v>
      </c>
      <c r="AB335" t="s">
        <v>6876</v>
      </c>
      <c r="AC335" t="s">
        <v>6877</v>
      </c>
      <c r="AD335" t="s">
        <v>6878</v>
      </c>
      <c r="AE335" t="s">
        <v>6879</v>
      </c>
      <c r="AF335" t="s">
        <v>74</v>
      </c>
      <c r="AG335">
        <v>62</v>
      </c>
      <c r="AH335">
        <v>64</v>
      </c>
      <c r="AI335">
        <v>68</v>
      </c>
      <c r="AJ335">
        <v>24</v>
      </c>
      <c r="AK335">
        <v>169</v>
      </c>
      <c r="AL335" t="s">
        <v>1140</v>
      </c>
      <c r="AM335" t="s">
        <v>1141</v>
      </c>
      <c r="AN335" t="s">
        <v>1142</v>
      </c>
      <c r="AO335" t="s">
        <v>6880</v>
      </c>
      <c r="AP335" t="s">
        <v>6881</v>
      </c>
      <c r="AQ335" t="s">
        <v>74</v>
      </c>
      <c r="AR335" t="s">
        <v>6882</v>
      </c>
      <c r="AS335" t="s">
        <v>6883</v>
      </c>
      <c r="AT335" t="s">
        <v>98</v>
      </c>
      <c r="AU335">
        <v>2019</v>
      </c>
      <c r="AV335">
        <v>30</v>
      </c>
      <c r="AW335">
        <v>5</v>
      </c>
      <c r="AX335" t="s">
        <v>74</v>
      </c>
      <c r="AY335" t="s">
        <v>74</v>
      </c>
      <c r="AZ335" t="s">
        <v>74</v>
      </c>
      <c r="BA335" t="s">
        <v>74</v>
      </c>
      <c r="BB335">
        <v>994</v>
      </c>
      <c r="BC335">
        <v>1006</v>
      </c>
      <c r="BD335" t="s">
        <v>74</v>
      </c>
      <c r="BE335" t="s">
        <v>6884</v>
      </c>
      <c r="BF335" t="str">
        <f>HYPERLINK("http://dx.doi.org/10.1111/jvs.12772","http://dx.doi.org/10.1111/jvs.12772")</f>
        <v>http://dx.doi.org/10.1111/jvs.12772</v>
      </c>
      <c r="BG335" t="s">
        <v>74</v>
      </c>
      <c r="BH335" t="s">
        <v>6119</v>
      </c>
      <c r="BI335">
        <v>13</v>
      </c>
      <c r="BJ335" t="s">
        <v>6885</v>
      </c>
      <c r="BK335" t="s">
        <v>101</v>
      </c>
      <c r="BL335" t="s">
        <v>6886</v>
      </c>
      <c r="BM335" t="s">
        <v>6887</v>
      </c>
      <c r="BN335" t="s">
        <v>74</v>
      </c>
      <c r="BO335" t="s">
        <v>1648</v>
      </c>
      <c r="BP335" t="s">
        <v>74</v>
      </c>
      <c r="BQ335" t="s">
        <v>74</v>
      </c>
      <c r="BR335" t="s">
        <v>103</v>
      </c>
      <c r="BS335" t="s">
        <v>6888</v>
      </c>
      <c r="BT335" t="str">
        <f>HYPERLINK("https%3A%2F%2Fwww.webofscience.com%2Fwos%2Fwoscc%2Ffull-record%2FWOS:000477359700001","View Full Record in Web of Science")</f>
        <v>View Full Record in Web of Science</v>
      </c>
    </row>
    <row r="336" spans="1:72" x14ac:dyDescent="0.15">
      <c r="A336" t="s">
        <v>72</v>
      </c>
      <c r="B336" t="s">
        <v>6889</v>
      </c>
      <c r="C336" t="s">
        <v>74</v>
      </c>
      <c r="D336" t="s">
        <v>74</v>
      </c>
      <c r="E336" t="s">
        <v>74</v>
      </c>
      <c r="F336" t="s">
        <v>6890</v>
      </c>
      <c r="G336" t="s">
        <v>74</v>
      </c>
      <c r="H336" t="s">
        <v>74</v>
      </c>
      <c r="I336" t="s">
        <v>6891</v>
      </c>
      <c r="J336" t="s">
        <v>1832</v>
      </c>
      <c r="K336" t="s">
        <v>74</v>
      </c>
      <c r="L336" t="s">
        <v>74</v>
      </c>
      <c r="M336" t="s">
        <v>78</v>
      </c>
      <c r="N336" t="s">
        <v>108</v>
      </c>
      <c r="O336" t="s">
        <v>74</v>
      </c>
      <c r="P336" t="s">
        <v>74</v>
      </c>
      <c r="Q336" t="s">
        <v>74</v>
      </c>
      <c r="R336" t="s">
        <v>74</v>
      </c>
      <c r="S336" t="s">
        <v>74</v>
      </c>
      <c r="T336" t="s">
        <v>74</v>
      </c>
      <c r="U336" t="s">
        <v>6892</v>
      </c>
      <c r="V336" t="s">
        <v>6893</v>
      </c>
      <c r="W336" t="s">
        <v>6894</v>
      </c>
      <c r="X336" t="s">
        <v>6895</v>
      </c>
      <c r="Y336" t="s">
        <v>6896</v>
      </c>
      <c r="Z336" t="s">
        <v>6897</v>
      </c>
      <c r="AA336" t="s">
        <v>6898</v>
      </c>
      <c r="AB336" t="s">
        <v>6899</v>
      </c>
      <c r="AC336" t="s">
        <v>6900</v>
      </c>
      <c r="AD336" t="s">
        <v>6901</v>
      </c>
      <c r="AE336" t="s">
        <v>6902</v>
      </c>
      <c r="AF336" t="s">
        <v>74</v>
      </c>
      <c r="AG336">
        <v>62</v>
      </c>
      <c r="AH336">
        <v>36</v>
      </c>
      <c r="AI336">
        <v>38</v>
      </c>
      <c r="AJ336">
        <v>3</v>
      </c>
      <c r="AK336">
        <v>14</v>
      </c>
      <c r="AL336" t="s">
        <v>839</v>
      </c>
      <c r="AM336" t="s">
        <v>840</v>
      </c>
      <c r="AN336" t="s">
        <v>841</v>
      </c>
      <c r="AO336" t="s">
        <v>1844</v>
      </c>
      <c r="AP336" t="s">
        <v>1845</v>
      </c>
      <c r="AQ336" t="s">
        <v>74</v>
      </c>
      <c r="AR336" t="s">
        <v>1832</v>
      </c>
      <c r="AS336" t="s">
        <v>1846</v>
      </c>
      <c r="AT336" t="s">
        <v>6903</v>
      </c>
      <c r="AU336">
        <v>2019</v>
      </c>
      <c r="AV336">
        <v>13</v>
      </c>
      <c r="AW336">
        <v>7</v>
      </c>
      <c r="AX336" t="s">
        <v>74</v>
      </c>
      <c r="AY336" t="s">
        <v>74</v>
      </c>
      <c r="AZ336" t="s">
        <v>74</v>
      </c>
      <c r="BA336" t="s">
        <v>74</v>
      </c>
      <c r="BB336">
        <v>2023</v>
      </c>
      <c r="BC336">
        <v>2041</v>
      </c>
      <c r="BD336" t="s">
        <v>74</v>
      </c>
      <c r="BE336" t="s">
        <v>6904</v>
      </c>
      <c r="BF336" t="str">
        <f>HYPERLINK("http://dx.doi.org/10.5194/tc-13-2023-2019","http://dx.doi.org/10.5194/tc-13-2023-2019")</f>
        <v>http://dx.doi.org/10.5194/tc-13-2023-2019</v>
      </c>
      <c r="BG336" t="s">
        <v>74</v>
      </c>
      <c r="BH336" t="s">
        <v>74</v>
      </c>
      <c r="BI336">
        <v>19</v>
      </c>
      <c r="BJ336" t="s">
        <v>310</v>
      </c>
      <c r="BK336" t="s">
        <v>101</v>
      </c>
      <c r="BL336" t="s">
        <v>311</v>
      </c>
      <c r="BM336" t="s">
        <v>6905</v>
      </c>
      <c r="BN336" t="s">
        <v>74</v>
      </c>
      <c r="BO336" t="s">
        <v>1197</v>
      </c>
      <c r="BP336" t="s">
        <v>74</v>
      </c>
      <c r="BQ336" t="s">
        <v>74</v>
      </c>
      <c r="BR336" t="s">
        <v>103</v>
      </c>
      <c r="BS336" t="s">
        <v>6906</v>
      </c>
      <c r="BT336" t="str">
        <f>HYPERLINK("https%3A%2F%2Fwww.webofscience.com%2Fwos%2Fwoscc%2Ffull-record%2FWOS:000476504900002","View Full Record in Web of Science")</f>
        <v>View Full Record in Web of Science</v>
      </c>
    </row>
    <row r="337" spans="1:72" x14ac:dyDescent="0.15">
      <c r="A337" t="s">
        <v>72</v>
      </c>
      <c r="B337" t="s">
        <v>6907</v>
      </c>
      <c r="C337" t="s">
        <v>74</v>
      </c>
      <c r="D337" t="s">
        <v>74</v>
      </c>
      <c r="E337" t="s">
        <v>74</v>
      </c>
      <c r="F337" t="s">
        <v>6908</v>
      </c>
      <c r="G337" t="s">
        <v>74</v>
      </c>
      <c r="H337" t="s">
        <v>74</v>
      </c>
      <c r="I337" t="s">
        <v>6909</v>
      </c>
      <c r="J337" t="s">
        <v>1373</v>
      </c>
      <c r="K337" t="s">
        <v>74</v>
      </c>
      <c r="L337" t="s">
        <v>74</v>
      </c>
      <c r="M337" t="s">
        <v>78</v>
      </c>
      <c r="N337" t="s">
        <v>108</v>
      </c>
      <c r="O337" t="s">
        <v>74</v>
      </c>
      <c r="P337" t="s">
        <v>74</v>
      </c>
      <c r="Q337" t="s">
        <v>74</v>
      </c>
      <c r="R337" t="s">
        <v>74</v>
      </c>
      <c r="S337" t="s">
        <v>74</v>
      </c>
      <c r="T337" t="s">
        <v>74</v>
      </c>
      <c r="U337" t="s">
        <v>6910</v>
      </c>
      <c r="V337" t="s">
        <v>6911</v>
      </c>
      <c r="W337" t="s">
        <v>6912</v>
      </c>
      <c r="X337" t="s">
        <v>6913</v>
      </c>
      <c r="Y337" t="s">
        <v>6914</v>
      </c>
      <c r="Z337" t="s">
        <v>6915</v>
      </c>
      <c r="AA337" t="s">
        <v>6916</v>
      </c>
      <c r="AB337" t="s">
        <v>6917</v>
      </c>
      <c r="AC337" t="s">
        <v>6918</v>
      </c>
      <c r="AD337" t="s">
        <v>6919</v>
      </c>
      <c r="AE337" t="s">
        <v>6920</v>
      </c>
      <c r="AF337" t="s">
        <v>74</v>
      </c>
      <c r="AG337">
        <v>55</v>
      </c>
      <c r="AH337">
        <v>17</v>
      </c>
      <c r="AI337">
        <v>17</v>
      </c>
      <c r="AJ337">
        <v>0</v>
      </c>
      <c r="AK337">
        <v>20</v>
      </c>
      <c r="AL337" t="s">
        <v>998</v>
      </c>
      <c r="AM337" t="s">
        <v>657</v>
      </c>
      <c r="AN337" t="s">
        <v>999</v>
      </c>
      <c r="AO337" t="s">
        <v>1385</v>
      </c>
      <c r="AP337" t="s">
        <v>74</v>
      </c>
      <c r="AQ337" t="s">
        <v>74</v>
      </c>
      <c r="AR337" t="s">
        <v>1386</v>
      </c>
      <c r="AS337" t="s">
        <v>1387</v>
      </c>
      <c r="AT337" t="s">
        <v>6903</v>
      </c>
      <c r="AU337">
        <v>2019</v>
      </c>
      <c r="AV337">
        <v>10</v>
      </c>
      <c r="AW337" t="s">
        <v>74</v>
      </c>
      <c r="AX337" t="s">
        <v>74</v>
      </c>
      <c r="AY337" t="s">
        <v>74</v>
      </c>
      <c r="AZ337" t="s">
        <v>74</v>
      </c>
      <c r="BA337" t="s">
        <v>74</v>
      </c>
      <c r="BB337" t="s">
        <v>74</v>
      </c>
      <c r="BC337" t="s">
        <v>74</v>
      </c>
      <c r="BD337">
        <v>3247</v>
      </c>
      <c r="BE337" t="s">
        <v>6921</v>
      </c>
      <c r="BF337" t="str">
        <f>HYPERLINK("http://dx.doi.org/10.1038/s41467-019-11128-6","http://dx.doi.org/10.1038/s41467-019-11128-6")</f>
        <v>http://dx.doi.org/10.1038/s41467-019-11128-6</v>
      </c>
      <c r="BG337" t="s">
        <v>74</v>
      </c>
      <c r="BH337" t="s">
        <v>74</v>
      </c>
      <c r="BI337">
        <v>7</v>
      </c>
      <c r="BJ337" t="s">
        <v>1004</v>
      </c>
      <c r="BK337" t="s">
        <v>101</v>
      </c>
      <c r="BL337" t="s">
        <v>1005</v>
      </c>
      <c r="BM337" t="s">
        <v>6922</v>
      </c>
      <c r="BN337">
        <v>31324761</v>
      </c>
      <c r="BO337" t="s">
        <v>313</v>
      </c>
      <c r="BP337" t="s">
        <v>74</v>
      </c>
      <c r="BQ337" t="s">
        <v>74</v>
      </c>
      <c r="BR337" t="s">
        <v>103</v>
      </c>
      <c r="BS337" t="s">
        <v>6923</v>
      </c>
      <c r="BT337" t="str">
        <f>HYPERLINK("https%3A%2F%2Fwww.webofscience.com%2Fwos%2Fwoscc%2Ffull-record%2FWOS:000476471300055","View Full Record in Web of Science")</f>
        <v>View Full Record in Web of Science</v>
      </c>
    </row>
    <row r="338" spans="1:72" x14ac:dyDescent="0.15">
      <c r="A338" t="s">
        <v>72</v>
      </c>
      <c r="B338" t="s">
        <v>6924</v>
      </c>
      <c r="C338" t="s">
        <v>74</v>
      </c>
      <c r="D338" t="s">
        <v>74</v>
      </c>
      <c r="E338" t="s">
        <v>74</v>
      </c>
      <c r="F338" t="s">
        <v>6925</v>
      </c>
      <c r="G338" t="s">
        <v>74</v>
      </c>
      <c r="H338" t="s">
        <v>74</v>
      </c>
      <c r="I338" t="s">
        <v>6926</v>
      </c>
      <c r="J338" t="s">
        <v>1373</v>
      </c>
      <c r="K338" t="s">
        <v>74</v>
      </c>
      <c r="L338" t="s">
        <v>74</v>
      </c>
      <c r="M338" t="s">
        <v>78</v>
      </c>
      <c r="N338" t="s">
        <v>108</v>
      </c>
      <c r="O338" t="s">
        <v>74</v>
      </c>
      <c r="P338" t="s">
        <v>74</v>
      </c>
      <c r="Q338" t="s">
        <v>74</v>
      </c>
      <c r="R338" t="s">
        <v>74</v>
      </c>
      <c r="S338" t="s">
        <v>74</v>
      </c>
      <c r="T338" t="s">
        <v>74</v>
      </c>
      <c r="U338" t="s">
        <v>6927</v>
      </c>
      <c r="V338" t="s">
        <v>6928</v>
      </c>
      <c r="W338" t="s">
        <v>6929</v>
      </c>
      <c r="X338" t="s">
        <v>6930</v>
      </c>
      <c r="Y338" t="s">
        <v>6931</v>
      </c>
      <c r="Z338" t="s">
        <v>6932</v>
      </c>
      <c r="AA338" t="s">
        <v>74</v>
      </c>
      <c r="AB338" t="s">
        <v>6933</v>
      </c>
      <c r="AC338" t="s">
        <v>6934</v>
      </c>
      <c r="AD338" t="s">
        <v>6935</v>
      </c>
      <c r="AE338" t="s">
        <v>6936</v>
      </c>
      <c r="AF338" t="s">
        <v>74</v>
      </c>
      <c r="AG338">
        <v>41</v>
      </c>
      <c r="AH338">
        <v>26</v>
      </c>
      <c r="AI338">
        <v>27</v>
      </c>
      <c r="AJ338">
        <v>3</v>
      </c>
      <c r="AK338">
        <v>9</v>
      </c>
      <c r="AL338" t="s">
        <v>998</v>
      </c>
      <c r="AM338" t="s">
        <v>657</v>
      </c>
      <c r="AN338" t="s">
        <v>999</v>
      </c>
      <c r="AO338" t="s">
        <v>1385</v>
      </c>
      <c r="AP338" t="s">
        <v>74</v>
      </c>
      <c r="AQ338" t="s">
        <v>74</v>
      </c>
      <c r="AR338" t="s">
        <v>1386</v>
      </c>
      <c r="AS338" t="s">
        <v>1387</v>
      </c>
      <c r="AT338" t="s">
        <v>6903</v>
      </c>
      <c r="AU338">
        <v>2019</v>
      </c>
      <c r="AV338">
        <v>10</v>
      </c>
      <c r="AW338" t="s">
        <v>74</v>
      </c>
      <c r="AX338" t="s">
        <v>74</v>
      </c>
      <c r="AY338" t="s">
        <v>74</v>
      </c>
      <c r="AZ338" t="s">
        <v>74</v>
      </c>
      <c r="BA338" t="s">
        <v>74</v>
      </c>
      <c r="BB338" t="s">
        <v>74</v>
      </c>
      <c r="BC338" t="s">
        <v>74</v>
      </c>
      <c r="BD338">
        <v>3250</v>
      </c>
      <c r="BE338" t="s">
        <v>6937</v>
      </c>
      <c r="BF338" t="str">
        <f>HYPERLINK("http://dx.doi.org/10.1038/s41467-019-10908-4","http://dx.doi.org/10.1038/s41467-019-10908-4")</f>
        <v>http://dx.doi.org/10.1038/s41467-019-10908-4</v>
      </c>
      <c r="BG338" t="s">
        <v>74</v>
      </c>
      <c r="BH338" t="s">
        <v>74</v>
      </c>
      <c r="BI338">
        <v>15</v>
      </c>
      <c r="BJ338" t="s">
        <v>1004</v>
      </c>
      <c r="BK338" t="s">
        <v>101</v>
      </c>
      <c r="BL338" t="s">
        <v>1005</v>
      </c>
      <c r="BM338" t="s">
        <v>6922</v>
      </c>
      <c r="BN338">
        <v>31324756</v>
      </c>
      <c r="BO338" t="s">
        <v>6545</v>
      </c>
      <c r="BP338" t="s">
        <v>74</v>
      </c>
      <c r="BQ338" t="s">
        <v>74</v>
      </c>
      <c r="BR338" t="s">
        <v>103</v>
      </c>
      <c r="BS338" t="s">
        <v>6938</v>
      </c>
      <c r="BT338" t="str">
        <f>HYPERLINK("https%3A%2F%2Fwww.webofscience.com%2Fwos%2Fwoscc%2Ffull-record%2FWOS:000476471300058","View Full Record in Web of Science")</f>
        <v>View Full Record in Web of Science</v>
      </c>
    </row>
    <row r="339" spans="1:72" x14ac:dyDescent="0.15">
      <c r="A339" t="s">
        <v>72</v>
      </c>
      <c r="B339" t="s">
        <v>6939</v>
      </c>
      <c r="C339" t="s">
        <v>74</v>
      </c>
      <c r="D339" t="s">
        <v>74</v>
      </c>
      <c r="E339" t="s">
        <v>74</v>
      </c>
      <c r="F339" t="s">
        <v>6940</v>
      </c>
      <c r="G339" t="s">
        <v>74</v>
      </c>
      <c r="H339" t="s">
        <v>74</v>
      </c>
      <c r="I339" t="s">
        <v>6941</v>
      </c>
      <c r="J339" t="s">
        <v>6942</v>
      </c>
      <c r="K339" t="s">
        <v>74</v>
      </c>
      <c r="L339" t="s">
        <v>74</v>
      </c>
      <c r="M339" t="s">
        <v>78</v>
      </c>
      <c r="N339" t="s">
        <v>108</v>
      </c>
      <c r="O339" t="s">
        <v>74</v>
      </c>
      <c r="P339" t="s">
        <v>74</v>
      </c>
      <c r="Q339" t="s">
        <v>74</v>
      </c>
      <c r="R339" t="s">
        <v>74</v>
      </c>
      <c r="S339" t="s">
        <v>74</v>
      </c>
      <c r="T339" t="s">
        <v>6943</v>
      </c>
      <c r="U339" t="s">
        <v>6944</v>
      </c>
      <c r="V339" t="s">
        <v>6945</v>
      </c>
      <c r="W339" t="s">
        <v>6946</v>
      </c>
      <c r="X339" t="s">
        <v>6947</v>
      </c>
      <c r="Y339" t="s">
        <v>6948</v>
      </c>
      <c r="Z339" t="s">
        <v>6949</v>
      </c>
      <c r="AA339" t="s">
        <v>6950</v>
      </c>
      <c r="AB339" t="s">
        <v>6951</v>
      </c>
      <c r="AC339" t="s">
        <v>6952</v>
      </c>
      <c r="AD339" t="s">
        <v>6953</v>
      </c>
      <c r="AE339" t="s">
        <v>6954</v>
      </c>
      <c r="AF339" t="s">
        <v>74</v>
      </c>
      <c r="AG339">
        <v>74</v>
      </c>
      <c r="AH339">
        <v>7</v>
      </c>
      <c r="AI339">
        <v>8</v>
      </c>
      <c r="AJ339">
        <v>0</v>
      </c>
      <c r="AK339">
        <v>7</v>
      </c>
      <c r="AL339" t="s">
        <v>1274</v>
      </c>
      <c r="AM339" t="s">
        <v>1275</v>
      </c>
      <c r="AN339" t="s">
        <v>1276</v>
      </c>
      <c r="AO339" t="s">
        <v>6955</v>
      </c>
      <c r="AP339" t="s">
        <v>6956</v>
      </c>
      <c r="AQ339" t="s">
        <v>74</v>
      </c>
      <c r="AR339" t="s">
        <v>6957</v>
      </c>
      <c r="AS339" t="s">
        <v>6958</v>
      </c>
      <c r="AT339" t="s">
        <v>6959</v>
      </c>
      <c r="AU339">
        <v>2019</v>
      </c>
      <c r="AV339">
        <v>34</v>
      </c>
      <c r="AW339">
        <v>3</v>
      </c>
      <c r="AX339" t="s">
        <v>74</v>
      </c>
      <c r="AY339" t="s">
        <v>74</v>
      </c>
      <c r="AZ339" t="s">
        <v>74</v>
      </c>
      <c r="BA339" t="s">
        <v>74</v>
      </c>
      <c r="BB339">
        <v>133</v>
      </c>
      <c r="BC339">
        <v>147</v>
      </c>
      <c r="BD339" t="s">
        <v>74</v>
      </c>
      <c r="BE339" t="s">
        <v>6960</v>
      </c>
      <c r="BF339" t="str">
        <f>HYPERLINK("http://dx.doi.org/10.1080/0269249X.2019.1626770","http://dx.doi.org/10.1080/0269249X.2019.1626770")</f>
        <v>http://dx.doi.org/10.1080/0269249X.2019.1626770</v>
      </c>
      <c r="BG339" t="s">
        <v>74</v>
      </c>
      <c r="BH339" t="s">
        <v>6119</v>
      </c>
      <c r="BI339">
        <v>15</v>
      </c>
      <c r="BJ339" t="s">
        <v>6961</v>
      </c>
      <c r="BK339" t="s">
        <v>101</v>
      </c>
      <c r="BL339" t="s">
        <v>6961</v>
      </c>
      <c r="BM339" t="s">
        <v>6962</v>
      </c>
      <c r="BN339" t="s">
        <v>74</v>
      </c>
      <c r="BO339" t="s">
        <v>6963</v>
      </c>
      <c r="BP339" t="s">
        <v>74</v>
      </c>
      <c r="BQ339" t="s">
        <v>74</v>
      </c>
      <c r="BR339" t="s">
        <v>103</v>
      </c>
      <c r="BS339" t="s">
        <v>6964</v>
      </c>
      <c r="BT339" t="str">
        <f>HYPERLINK("https%3A%2F%2Fwww.webofscience.com%2Fwos%2Fwoscc%2Ffull-record%2FWOS:000481750900001","View Full Record in Web of Science")</f>
        <v>View Full Record in Web of Science</v>
      </c>
    </row>
    <row r="340" spans="1:72" x14ac:dyDescent="0.15">
      <c r="A340" t="s">
        <v>72</v>
      </c>
      <c r="B340" t="s">
        <v>6965</v>
      </c>
      <c r="C340" t="s">
        <v>74</v>
      </c>
      <c r="D340" t="s">
        <v>74</v>
      </c>
      <c r="E340" t="s">
        <v>74</v>
      </c>
      <c r="F340" t="s">
        <v>6966</v>
      </c>
      <c r="G340" t="s">
        <v>74</v>
      </c>
      <c r="H340" t="s">
        <v>74</v>
      </c>
      <c r="I340" t="s">
        <v>6967</v>
      </c>
      <c r="J340" t="s">
        <v>1960</v>
      </c>
      <c r="K340" t="s">
        <v>74</v>
      </c>
      <c r="L340" t="s">
        <v>74</v>
      </c>
      <c r="M340" t="s">
        <v>78</v>
      </c>
      <c r="N340" t="s">
        <v>108</v>
      </c>
      <c r="O340" t="s">
        <v>74</v>
      </c>
      <c r="P340" t="s">
        <v>74</v>
      </c>
      <c r="Q340" t="s">
        <v>74</v>
      </c>
      <c r="R340" t="s">
        <v>74</v>
      </c>
      <c r="S340" t="s">
        <v>74</v>
      </c>
      <c r="T340" t="s">
        <v>6968</v>
      </c>
      <c r="U340" t="s">
        <v>6969</v>
      </c>
      <c r="V340" t="s">
        <v>6970</v>
      </c>
      <c r="W340" t="s">
        <v>6971</v>
      </c>
      <c r="X340" t="s">
        <v>6972</v>
      </c>
      <c r="Y340" t="s">
        <v>6973</v>
      </c>
      <c r="Z340" t="s">
        <v>6974</v>
      </c>
      <c r="AA340" t="s">
        <v>6975</v>
      </c>
      <c r="AB340" t="s">
        <v>6976</v>
      </c>
      <c r="AC340" t="s">
        <v>6977</v>
      </c>
      <c r="AD340" t="s">
        <v>6978</v>
      </c>
      <c r="AE340" t="s">
        <v>6979</v>
      </c>
      <c r="AF340" t="s">
        <v>74</v>
      </c>
      <c r="AG340">
        <v>79</v>
      </c>
      <c r="AH340">
        <v>4</v>
      </c>
      <c r="AI340">
        <v>5</v>
      </c>
      <c r="AJ340">
        <v>0</v>
      </c>
      <c r="AK340">
        <v>27</v>
      </c>
      <c r="AL340" t="s">
        <v>1973</v>
      </c>
      <c r="AM340" t="s">
        <v>1974</v>
      </c>
      <c r="AN340" t="s">
        <v>1975</v>
      </c>
      <c r="AO340" t="s">
        <v>1976</v>
      </c>
      <c r="AP340" t="s">
        <v>1977</v>
      </c>
      <c r="AQ340" t="s">
        <v>74</v>
      </c>
      <c r="AR340" t="s">
        <v>1978</v>
      </c>
      <c r="AS340" t="s">
        <v>1979</v>
      </c>
      <c r="AT340" t="s">
        <v>6980</v>
      </c>
      <c r="AU340">
        <v>2019</v>
      </c>
      <c r="AV340">
        <v>622</v>
      </c>
      <c r="AW340" t="s">
        <v>74</v>
      </c>
      <c r="AX340" t="s">
        <v>74</v>
      </c>
      <c r="AY340" t="s">
        <v>74</v>
      </c>
      <c r="AZ340" t="s">
        <v>74</v>
      </c>
      <c r="BA340" t="s">
        <v>74</v>
      </c>
      <c r="BB340">
        <v>67</v>
      </c>
      <c r="BC340">
        <v>82</v>
      </c>
      <c r="BD340" t="s">
        <v>74</v>
      </c>
      <c r="BE340" t="s">
        <v>6981</v>
      </c>
      <c r="BF340" t="str">
        <f>HYPERLINK("http://dx.doi.org/10.3354/meps13001","http://dx.doi.org/10.3354/meps13001")</f>
        <v>http://dx.doi.org/10.3354/meps13001</v>
      </c>
      <c r="BG340" t="s">
        <v>74</v>
      </c>
      <c r="BH340" t="s">
        <v>74</v>
      </c>
      <c r="BI340">
        <v>16</v>
      </c>
      <c r="BJ340" t="s">
        <v>1982</v>
      </c>
      <c r="BK340" t="s">
        <v>101</v>
      </c>
      <c r="BL340" t="s">
        <v>1983</v>
      </c>
      <c r="BM340" t="s">
        <v>6982</v>
      </c>
      <c r="BN340" t="s">
        <v>74</v>
      </c>
      <c r="BO340" t="s">
        <v>74</v>
      </c>
      <c r="BP340" t="s">
        <v>74</v>
      </c>
      <c r="BQ340" t="s">
        <v>74</v>
      </c>
      <c r="BR340" t="s">
        <v>103</v>
      </c>
      <c r="BS340" t="s">
        <v>6983</v>
      </c>
      <c r="BT340" t="str">
        <f>HYPERLINK("https%3A%2F%2Fwww.webofscience.com%2Fwos%2Fwoscc%2Ffull-record%2FWOS:000485735400005","View Full Record in Web of Science")</f>
        <v>View Full Record in Web of Science</v>
      </c>
    </row>
    <row r="341" spans="1:72" x14ac:dyDescent="0.15">
      <c r="A341" t="s">
        <v>72</v>
      </c>
      <c r="B341" t="s">
        <v>6984</v>
      </c>
      <c r="C341" t="s">
        <v>74</v>
      </c>
      <c r="D341" t="s">
        <v>74</v>
      </c>
      <c r="E341" t="s">
        <v>74</v>
      </c>
      <c r="F341" t="s">
        <v>6985</v>
      </c>
      <c r="G341" t="s">
        <v>74</v>
      </c>
      <c r="H341" t="s">
        <v>74</v>
      </c>
      <c r="I341" t="s">
        <v>6986</v>
      </c>
      <c r="J341" t="s">
        <v>1960</v>
      </c>
      <c r="K341" t="s">
        <v>74</v>
      </c>
      <c r="L341" t="s">
        <v>74</v>
      </c>
      <c r="M341" t="s">
        <v>78</v>
      </c>
      <c r="N341" t="s">
        <v>108</v>
      </c>
      <c r="O341" t="s">
        <v>74</v>
      </c>
      <c r="P341" t="s">
        <v>74</v>
      </c>
      <c r="Q341" t="s">
        <v>74</v>
      </c>
      <c r="R341" t="s">
        <v>74</v>
      </c>
      <c r="S341" t="s">
        <v>74</v>
      </c>
      <c r="T341" t="s">
        <v>6987</v>
      </c>
      <c r="U341" t="s">
        <v>6988</v>
      </c>
      <c r="V341" t="s">
        <v>6989</v>
      </c>
      <c r="W341" t="s">
        <v>6990</v>
      </c>
      <c r="X341" t="s">
        <v>6991</v>
      </c>
      <c r="Y341" t="s">
        <v>6992</v>
      </c>
      <c r="Z341" t="s">
        <v>6993</v>
      </c>
      <c r="AA341" t="s">
        <v>6994</v>
      </c>
      <c r="AB341" t="s">
        <v>6995</v>
      </c>
      <c r="AC341" t="s">
        <v>6996</v>
      </c>
      <c r="AD341" t="s">
        <v>981</v>
      </c>
      <c r="AE341" t="s">
        <v>6997</v>
      </c>
      <c r="AF341" t="s">
        <v>74</v>
      </c>
      <c r="AG341">
        <v>72</v>
      </c>
      <c r="AH341">
        <v>22</v>
      </c>
      <c r="AI341">
        <v>23</v>
      </c>
      <c r="AJ341">
        <v>3</v>
      </c>
      <c r="AK341">
        <v>15</v>
      </c>
      <c r="AL341" t="s">
        <v>1973</v>
      </c>
      <c r="AM341" t="s">
        <v>1974</v>
      </c>
      <c r="AN341" t="s">
        <v>1975</v>
      </c>
      <c r="AO341" t="s">
        <v>1976</v>
      </c>
      <c r="AP341" t="s">
        <v>1977</v>
      </c>
      <c r="AQ341" t="s">
        <v>74</v>
      </c>
      <c r="AR341" t="s">
        <v>1978</v>
      </c>
      <c r="AS341" t="s">
        <v>1979</v>
      </c>
      <c r="AT341" t="s">
        <v>6980</v>
      </c>
      <c r="AU341">
        <v>2019</v>
      </c>
      <c r="AV341">
        <v>622</v>
      </c>
      <c r="AW341" t="s">
        <v>74</v>
      </c>
      <c r="AX341" t="s">
        <v>74</v>
      </c>
      <c r="AY341" t="s">
        <v>74</v>
      </c>
      <c r="AZ341" t="s">
        <v>74</v>
      </c>
      <c r="BA341" t="s">
        <v>74</v>
      </c>
      <c r="BB341">
        <v>191</v>
      </c>
      <c r="BC341">
        <v>201</v>
      </c>
      <c r="BD341" t="s">
        <v>74</v>
      </c>
      <c r="BE341" t="s">
        <v>6998</v>
      </c>
      <c r="BF341" t="str">
        <f>HYPERLINK("http://dx.doi.org/10.3354/meps12986","http://dx.doi.org/10.3354/meps12986")</f>
        <v>http://dx.doi.org/10.3354/meps12986</v>
      </c>
      <c r="BG341" t="s">
        <v>74</v>
      </c>
      <c r="BH341" t="s">
        <v>74</v>
      </c>
      <c r="BI341">
        <v>11</v>
      </c>
      <c r="BJ341" t="s">
        <v>1982</v>
      </c>
      <c r="BK341" t="s">
        <v>101</v>
      </c>
      <c r="BL341" t="s">
        <v>1983</v>
      </c>
      <c r="BM341" t="s">
        <v>6982</v>
      </c>
      <c r="BN341" t="s">
        <v>74</v>
      </c>
      <c r="BO341" t="s">
        <v>6999</v>
      </c>
      <c r="BP341" t="s">
        <v>74</v>
      </c>
      <c r="BQ341" t="s">
        <v>74</v>
      </c>
      <c r="BR341" t="s">
        <v>103</v>
      </c>
      <c r="BS341" t="s">
        <v>7000</v>
      </c>
      <c r="BT341" t="str">
        <f>HYPERLINK("https%3A%2F%2Fwww.webofscience.com%2Fwos%2Fwoscc%2Ffull-record%2FWOS:000485735400013","View Full Record in Web of Science")</f>
        <v>View Full Record in Web of Science</v>
      </c>
    </row>
    <row r="342" spans="1:72" x14ac:dyDescent="0.15">
      <c r="A342" t="s">
        <v>72</v>
      </c>
      <c r="B342" t="s">
        <v>7001</v>
      </c>
      <c r="C342" t="s">
        <v>74</v>
      </c>
      <c r="D342" t="s">
        <v>74</v>
      </c>
      <c r="E342" t="s">
        <v>74</v>
      </c>
      <c r="F342" t="s">
        <v>7002</v>
      </c>
      <c r="G342" t="s">
        <v>74</v>
      </c>
      <c r="H342" t="s">
        <v>74</v>
      </c>
      <c r="I342" t="s">
        <v>7003</v>
      </c>
      <c r="J342" t="s">
        <v>7004</v>
      </c>
      <c r="K342" t="s">
        <v>74</v>
      </c>
      <c r="L342" t="s">
        <v>74</v>
      </c>
      <c r="M342" t="s">
        <v>78</v>
      </c>
      <c r="N342" t="s">
        <v>108</v>
      </c>
      <c r="O342" t="s">
        <v>74</v>
      </c>
      <c r="P342" t="s">
        <v>74</v>
      </c>
      <c r="Q342" t="s">
        <v>74</v>
      </c>
      <c r="R342" t="s">
        <v>74</v>
      </c>
      <c r="S342" t="s">
        <v>74</v>
      </c>
      <c r="T342" t="s">
        <v>74</v>
      </c>
      <c r="U342" t="s">
        <v>7005</v>
      </c>
      <c r="V342" t="s">
        <v>7006</v>
      </c>
      <c r="W342" t="s">
        <v>7007</v>
      </c>
      <c r="X342" t="s">
        <v>7008</v>
      </c>
      <c r="Y342" t="s">
        <v>7009</v>
      </c>
      <c r="Z342" t="s">
        <v>7010</v>
      </c>
      <c r="AA342" t="s">
        <v>74</v>
      </c>
      <c r="AB342" t="s">
        <v>7011</v>
      </c>
      <c r="AC342" t="s">
        <v>7012</v>
      </c>
      <c r="AD342" t="s">
        <v>7013</v>
      </c>
      <c r="AE342" t="s">
        <v>7014</v>
      </c>
      <c r="AF342" t="s">
        <v>74</v>
      </c>
      <c r="AG342">
        <v>88</v>
      </c>
      <c r="AH342">
        <v>12</v>
      </c>
      <c r="AI342">
        <v>15</v>
      </c>
      <c r="AJ342">
        <v>7</v>
      </c>
      <c r="AK342">
        <v>73</v>
      </c>
      <c r="AL342" t="s">
        <v>1140</v>
      </c>
      <c r="AM342" t="s">
        <v>1141</v>
      </c>
      <c r="AN342" t="s">
        <v>1142</v>
      </c>
      <c r="AO342" t="s">
        <v>7015</v>
      </c>
      <c r="AP342" t="s">
        <v>7016</v>
      </c>
      <c r="AQ342" t="s">
        <v>74</v>
      </c>
      <c r="AR342" t="s">
        <v>7017</v>
      </c>
      <c r="AS342" t="s">
        <v>7018</v>
      </c>
      <c r="AT342" t="s">
        <v>1439</v>
      </c>
      <c r="AU342">
        <v>2020</v>
      </c>
      <c r="AV342">
        <v>65</v>
      </c>
      <c r="AW342">
        <v>1</v>
      </c>
      <c r="AX342" t="s">
        <v>74</v>
      </c>
      <c r="AY342" t="s">
        <v>74</v>
      </c>
      <c r="AZ342" t="s">
        <v>74</v>
      </c>
      <c r="BA342" t="s">
        <v>74</v>
      </c>
      <c r="BB342">
        <v>143</v>
      </c>
      <c r="BC342">
        <v>156</v>
      </c>
      <c r="BD342" t="s">
        <v>74</v>
      </c>
      <c r="BE342" t="s">
        <v>7019</v>
      </c>
      <c r="BF342" t="str">
        <f>HYPERLINK("http://dx.doi.org/10.1002/lno.11257","http://dx.doi.org/10.1002/lno.11257")</f>
        <v>http://dx.doi.org/10.1002/lno.11257</v>
      </c>
      <c r="BG342" t="s">
        <v>74</v>
      </c>
      <c r="BH342" t="s">
        <v>6119</v>
      </c>
      <c r="BI342">
        <v>14</v>
      </c>
      <c r="BJ342" t="s">
        <v>5442</v>
      </c>
      <c r="BK342" t="s">
        <v>101</v>
      </c>
      <c r="BL342" t="s">
        <v>3596</v>
      </c>
      <c r="BM342" t="s">
        <v>7020</v>
      </c>
      <c r="BN342" t="s">
        <v>74</v>
      </c>
      <c r="BO342" t="s">
        <v>1308</v>
      </c>
      <c r="BP342" t="s">
        <v>74</v>
      </c>
      <c r="BQ342" t="s">
        <v>74</v>
      </c>
      <c r="BR342" t="s">
        <v>103</v>
      </c>
      <c r="BS342" t="s">
        <v>7021</v>
      </c>
      <c r="BT342" t="str">
        <f>HYPERLINK("https%3A%2F%2Fwww.webofscience.com%2Fwos%2Fwoscc%2Ffull-record%2FWOS:000476977600001","View Full Record in Web of Science")</f>
        <v>View Full Record in Web of Science</v>
      </c>
    </row>
    <row r="343" spans="1:72" x14ac:dyDescent="0.15">
      <c r="A343" t="s">
        <v>72</v>
      </c>
      <c r="B343" t="s">
        <v>7022</v>
      </c>
      <c r="C343" t="s">
        <v>74</v>
      </c>
      <c r="D343" t="s">
        <v>74</v>
      </c>
      <c r="E343" t="s">
        <v>74</v>
      </c>
      <c r="F343" t="s">
        <v>7023</v>
      </c>
      <c r="G343" t="s">
        <v>74</v>
      </c>
      <c r="H343" t="s">
        <v>74</v>
      </c>
      <c r="I343" t="s">
        <v>7024</v>
      </c>
      <c r="J343" t="s">
        <v>7025</v>
      </c>
      <c r="K343" t="s">
        <v>74</v>
      </c>
      <c r="L343" t="s">
        <v>74</v>
      </c>
      <c r="M343" t="s">
        <v>78</v>
      </c>
      <c r="N343" t="s">
        <v>108</v>
      </c>
      <c r="O343" t="s">
        <v>74</v>
      </c>
      <c r="P343" t="s">
        <v>74</v>
      </c>
      <c r="Q343" t="s">
        <v>74</v>
      </c>
      <c r="R343" t="s">
        <v>74</v>
      </c>
      <c r="S343" t="s">
        <v>74</v>
      </c>
      <c r="T343" t="s">
        <v>7026</v>
      </c>
      <c r="U343" t="s">
        <v>7027</v>
      </c>
      <c r="V343" t="s">
        <v>7028</v>
      </c>
      <c r="W343" t="s">
        <v>7029</v>
      </c>
      <c r="X343" t="s">
        <v>7030</v>
      </c>
      <c r="Y343" t="s">
        <v>7031</v>
      </c>
      <c r="Z343" t="s">
        <v>7032</v>
      </c>
      <c r="AA343" t="s">
        <v>7033</v>
      </c>
      <c r="AB343" t="s">
        <v>7034</v>
      </c>
      <c r="AC343" t="s">
        <v>7035</v>
      </c>
      <c r="AD343" t="s">
        <v>7036</v>
      </c>
      <c r="AE343" t="s">
        <v>7037</v>
      </c>
      <c r="AF343" t="s">
        <v>74</v>
      </c>
      <c r="AG343">
        <v>92</v>
      </c>
      <c r="AH343">
        <v>10</v>
      </c>
      <c r="AI343">
        <v>10</v>
      </c>
      <c r="AJ343">
        <v>1</v>
      </c>
      <c r="AK343">
        <v>32</v>
      </c>
      <c r="AL343" t="s">
        <v>1140</v>
      </c>
      <c r="AM343" t="s">
        <v>1141</v>
      </c>
      <c r="AN343" t="s">
        <v>1142</v>
      </c>
      <c r="AO343" t="s">
        <v>7038</v>
      </c>
      <c r="AP343" t="s">
        <v>7039</v>
      </c>
      <c r="AQ343" t="s">
        <v>74</v>
      </c>
      <c r="AR343" t="s">
        <v>7040</v>
      </c>
      <c r="AS343" t="s">
        <v>7041</v>
      </c>
      <c r="AT343" t="s">
        <v>1305</v>
      </c>
      <c r="AU343">
        <v>2019</v>
      </c>
      <c r="AV343">
        <v>39</v>
      </c>
      <c r="AW343">
        <v>12</v>
      </c>
      <c r="AX343" t="s">
        <v>74</v>
      </c>
      <c r="AY343" t="s">
        <v>74</v>
      </c>
      <c r="AZ343" t="s">
        <v>74</v>
      </c>
      <c r="BA343" t="s">
        <v>74</v>
      </c>
      <c r="BB343">
        <v>2744</v>
      </c>
      <c r="BC343">
        <v>2765</v>
      </c>
      <c r="BD343" t="s">
        <v>74</v>
      </c>
      <c r="BE343" t="s">
        <v>7042</v>
      </c>
      <c r="BF343" t="str">
        <f>HYPERLINK("http://dx.doi.org/10.1111/risa.13376","http://dx.doi.org/10.1111/risa.13376")</f>
        <v>http://dx.doi.org/10.1111/risa.13376</v>
      </c>
      <c r="BG343" t="s">
        <v>74</v>
      </c>
      <c r="BH343" t="s">
        <v>6119</v>
      </c>
      <c r="BI343">
        <v>22</v>
      </c>
      <c r="BJ343" t="s">
        <v>7043</v>
      </c>
      <c r="BK343" t="s">
        <v>3718</v>
      </c>
      <c r="BL343" t="s">
        <v>7044</v>
      </c>
      <c r="BM343" t="s">
        <v>7045</v>
      </c>
      <c r="BN343">
        <v>31318487</v>
      </c>
      <c r="BO343" t="s">
        <v>136</v>
      </c>
      <c r="BP343" t="s">
        <v>74</v>
      </c>
      <c r="BQ343" t="s">
        <v>74</v>
      </c>
      <c r="BR343" t="s">
        <v>103</v>
      </c>
      <c r="BS343" t="s">
        <v>7046</v>
      </c>
      <c r="BT343" t="str">
        <f>HYPERLINK("https%3A%2F%2Fwww.webofscience.com%2Fwos%2Fwoscc%2Ffull-record%2FWOS:000476972400001","View Full Record in Web of Science")</f>
        <v>View Full Record in Web of Science</v>
      </c>
    </row>
    <row r="344" spans="1:72" x14ac:dyDescent="0.15">
      <c r="A344" t="s">
        <v>72</v>
      </c>
      <c r="B344" t="s">
        <v>7047</v>
      </c>
      <c r="C344" t="s">
        <v>74</v>
      </c>
      <c r="D344" t="s">
        <v>74</v>
      </c>
      <c r="E344" t="s">
        <v>74</v>
      </c>
      <c r="F344" t="s">
        <v>7048</v>
      </c>
      <c r="G344" t="s">
        <v>74</v>
      </c>
      <c r="H344" t="s">
        <v>74</v>
      </c>
      <c r="I344" t="s">
        <v>7049</v>
      </c>
      <c r="J344" t="s">
        <v>7050</v>
      </c>
      <c r="K344" t="s">
        <v>74</v>
      </c>
      <c r="L344" t="s">
        <v>74</v>
      </c>
      <c r="M344" t="s">
        <v>78</v>
      </c>
      <c r="N344" t="s">
        <v>2961</v>
      </c>
      <c r="O344" t="s">
        <v>74</v>
      </c>
      <c r="P344" t="s">
        <v>74</v>
      </c>
      <c r="Q344" t="s">
        <v>74</v>
      </c>
      <c r="R344" t="s">
        <v>74</v>
      </c>
      <c r="S344" t="s">
        <v>74</v>
      </c>
      <c r="T344" t="s">
        <v>74</v>
      </c>
      <c r="U344" t="s">
        <v>7051</v>
      </c>
      <c r="V344" t="s">
        <v>7052</v>
      </c>
      <c r="W344" t="s">
        <v>7053</v>
      </c>
      <c r="X344" t="s">
        <v>7054</v>
      </c>
      <c r="Y344" t="s">
        <v>7055</v>
      </c>
      <c r="Z344" t="s">
        <v>413</v>
      </c>
      <c r="AA344" t="s">
        <v>7056</v>
      </c>
      <c r="AB344" t="s">
        <v>7057</v>
      </c>
      <c r="AC344" t="s">
        <v>7058</v>
      </c>
      <c r="AD344" t="s">
        <v>7059</v>
      </c>
      <c r="AE344" t="s">
        <v>7060</v>
      </c>
      <c r="AF344" t="s">
        <v>74</v>
      </c>
      <c r="AG344">
        <v>84</v>
      </c>
      <c r="AH344">
        <v>24</v>
      </c>
      <c r="AI344">
        <v>25</v>
      </c>
      <c r="AJ344">
        <v>0</v>
      </c>
      <c r="AK344">
        <v>12</v>
      </c>
      <c r="AL344" t="s">
        <v>839</v>
      </c>
      <c r="AM344" t="s">
        <v>840</v>
      </c>
      <c r="AN344" t="s">
        <v>841</v>
      </c>
      <c r="AO344" t="s">
        <v>7061</v>
      </c>
      <c r="AP344" t="s">
        <v>7062</v>
      </c>
      <c r="AQ344" t="s">
        <v>74</v>
      </c>
      <c r="AR344" t="s">
        <v>7063</v>
      </c>
      <c r="AS344" t="s">
        <v>7064</v>
      </c>
      <c r="AT344" t="s">
        <v>6980</v>
      </c>
      <c r="AU344">
        <v>2019</v>
      </c>
      <c r="AV344">
        <v>11</v>
      </c>
      <c r="AW344">
        <v>3</v>
      </c>
      <c r="AX344" t="s">
        <v>74</v>
      </c>
      <c r="AY344" t="s">
        <v>74</v>
      </c>
      <c r="AZ344" t="s">
        <v>74</v>
      </c>
      <c r="BA344" t="s">
        <v>74</v>
      </c>
      <c r="BB344">
        <v>1069</v>
      </c>
      <c r="BC344">
        <v>1081</v>
      </c>
      <c r="BD344" t="s">
        <v>74</v>
      </c>
      <c r="BE344" t="s">
        <v>7065</v>
      </c>
      <c r="BF344" t="str">
        <f>HYPERLINK("http://dx.doi.org/10.5194/essd-11-1069-2019","http://dx.doi.org/10.5194/essd-11-1069-2019")</f>
        <v>http://dx.doi.org/10.5194/essd-11-1069-2019</v>
      </c>
      <c r="BG344" t="s">
        <v>74</v>
      </c>
      <c r="BH344" t="s">
        <v>74</v>
      </c>
      <c r="BI344">
        <v>13</v>
      </c>
      <c r="BJ344" t="s">
        <v>2473</v>
      </c>
      <c r="BK344" t="s">
        <v>101</v>
      </c>
      <c r="BL344" t="s">
        <v>2474</v>
      </c>
      <c r="BM344" t="s">
        <v>7066</v>
      </c>
      <c r="BN344" t="s">
        <v>74</v>
      </c>
      <c r="BO344" t="s">
        <v>2270</v>
      </c>
      <c r="BP344" t="s">
        <v>74</v>
      </c>
      <c r="BQ344" t="s">
        <v>74</v>
      </c>
      <c r="BR344" t="s">
        <v>103</v>
      </c>
      <c r="BS344" t="s">
        <v>7067</v>
      </c>
      <c r="BT344" t="str">
        <f>HYPERLINK("https%3A%2F%2Fwww.webofscience.com%2Fwos%2Fwoscc%2Ffull-record%2FWOS:000475869100001","View Full Record in Web of Science")</f>
        <v>View Full Record in Web of Science</v>
      </c>
    </row>
    <row r="345" spans="1:72" x14ac:dyDescent="0.15">
      <c r="A345" t="s">
        <v>72</v>
      </c>
      <c r="B345" t="s">
        <v>7068</v>
      </c>
      <c r="C345" t="s">
        <v>74</v>
      </c>
      <c r="D345" t="s">
        <v>74</v>
      </c>
      <c r="E345" t="s">
        <v>74</v>
      </c>
      <c r="F345" t="s">
        <v>7069</v>
      </c>
      <c r="G345" t="s">
        <v>74</v>
      </c>
      <c r="H345" t="s">
        <v>74</v>
      </c>
      <c r="I345" t="s">
        <v>7070</v>
      </c>
      <c r="J345" t="s">
        <v>2024</v>
      </c>
      <c r="K345" t="s">
        <v>74</v>
      </c>
      <c r="L345" t="s">
        <v>74</v>
      </c>
      <c r="M345" t="s">
        <v>78</v>
      </c>
      <c r="N345" t="s">
        <v>108</v>
      </c>
      <c r="O345" t="s">
        <v>74</v>
      </c>
      <c r="P345" t="s">
        <v>74</v>
      </c>
      <c r="Q345" t="s">
        <v>74</v>
      </c>
      <c r="R345" t="s">
        <v>74</v>
      </c>
      <c r="S345" t="s">
        <v>74</v>
      </c>
      <c r="T345" t="s">
        <v>74</v>
      </c>
      <c r="U345" t="s">
        <v>7071</v>
      </c>
      <c r="V345" t="s">
        <v>7072</v>
      </c>
      <c r="W345" t="s">
        <v>7073</v>
      </c>
      <c r="X345" t="s">
        <v>7074</v>
      </c>
      <c r="Y345" t="s">
        <v>7075</v>
      </c>
      <c r="Z345" t="s">
        <v>7076</v>
      </c>
      <c r="AA345" t="s">
        <v>7077</v>
      </c>
      <c r="AB345" t="s">
        <v>7078</v>
      </c>
      <c r="AC345" t="s">
        <v>7079</v>
      </c>
      <c r="AD345" t="s">
        <v>7080</v>
      </c>
      <c r="AE345" t="s">
        <v>7081</v>
      </c>
      <c r="AF345" t="s">
        <v>74</v>
      </c>
      <c r="AG345">
        <v>99</v>
      </c>
      <c r="AH345">
        <v>32</v>
      </c>
      <c r="AI345">
        <v>34</v>
      </c>
      <c r="AJ345">
        <v>1</v>
      </c>
      <c r="AK345">
        <v>10</v>
      </c>
      <c r="AL345" t="s">
        <v>2032</v>
      </c>
      <c r="AM345" t="s">
        <v>2033</v>
      </c>
      <c r="AN345" t="s">
        <v>2034</v>
      </c>
      <c r="AO345" t="s">
        <v>2035</v>
      </c>
      <c r="AP345" t="s">
        <v>74</v>
      </c>
      <c r="AQ345" t="s">
        <v>74</v>
      </c>
      <c r="AR345" t="s">
        <v>2024</v>
      </c>
      <c r="AS345" t="s">
        <v>2036</v>
      </c>
      <c r="AT345" t="s">
        <v>7082</v>
      </c>
      <c r="AU345">
        <v>2019</v>
      </c>
      <c r="AV345">
        <v>14</v>
      </c>
      <c r="AW345">
        <v>7</v>
      </c>
      <c r="AX345" t="s">
        <v>74</v>
      </c>
      <c r="AY345" t="s">
        <v>74</v>
      </c>
      <c r="AZ345" t="s">
        <v>74</v>
      </c>
      <c r="BA345" t="s">
        <v>74</v>
      </c>
      <c r="BB345" t="s">
        <v>74</v>
      </c>
      <c r="BC345" t="s">
        <v>74</v>
      </c>
      <c r="BD345" t="s">
        <v>7083</v>
      </c>
      <c r="BE345" t="s">
        <v>7084</v>
      </c>
      <c r="BF345" t="str">
        <f>HYPERLINK("http://dx.doi.org/10.1371/journal.pone.0218430","http://dx.doi.org/10.1371/journal.pone.0218430")</f>
        <v>http://dx.doi.org/10.1371/journal.pone.0218430</v>
      </c>
      <c r="BG345" t="s">
        <v>74</v>
      </c>
      <c r="BH345" t="s">
        <v>74</v>
      </c>
      <c r="BI345">
        <v>19</v>
      </c>
      <c r="BJ345" t="s">
        <v>1004</v>
      </c>
      <c r="BK345" t="s">
        <v>101</v>
      </c>
      <c r="BL345" t="s">
        <v>1005</v>
      </c>
      <c r="BM345" t="s">
        <v>7085</v>
      </c>
      <c r="BN345">
        <v>31314758</v>
      </c>
      <c r="BO345" t="s">
        <v>2659</v>
      </c>
      <c r="BP345" t="s">
        <v>74</v>
      </c>
      <c r="BQ345" t="s">
        <v>74</v>
      </c>
      <c r="BR345" t="s">
        <v>103</v>
      </c>
      <c r="BS345" t="s">
        <v>7086</v>
      </c>
      <c r="BT345" t="str">
        <f>HYPERLINK("https%3A%2F%2Fwww.webofscience.com%2Fwos%2Fwoscc%2Ffull-record%2FWOS:000482331900009","View Full Record in Web of Science")</f>
        <v>View Full Record in Web of Science</v>
      </c>
    </row>
    <row r="346" spans="1:72" x14ac:dyDescent="0.15">
      <c r="A346" t="s">
        <v>72</v>
      </c>
      <c r="B346" t="s">
        <v>7087</v>
      </c>
      <c r="C346" t="s">
        <v>74</v>
      </c>
      <c r="D346" t="s">
        <v>74</v>
      </c>
      <c r="E346" t="s">
        <v>74</v>
      </c>
      <c r="F346" t="s">
        <v>7088</v>
      </c>
      <c r="G346" t="s">
        <v>74</v>
      </c>
      <c r="H346" t="s">
        <v>74</v>
      </c>
      <c r="I346" t="s">
        <v>7089</v>
      </c>
      <c r="J346" t="s">
        <v>1832</v>
      </c>
      <c r="K346" t="s">
        <v>74</v>
      </c>
      <c r="L346" t="s">
        <v>74</v>
      </c>
      <c r="M346" t="s">
        <v>78</v>
      </c>
      <c r="N346" t="s">
        <v>108</v>
      </c>
      <c r="O346" t="s">
        <v>74</v>
      </c>
      <c r="P346" t="s">
        <v>74</v>
      </c>
      <c r="Q346" t="s">
        <v>74</v>
      </c>
      <c r="R346" t="s">
        <v>74</v>
      </c>
      <c r="S346" t="s">
        <v>74</v>
      </c>
      <c r="T346" t="s">
        <v>74</v>
      </c>
      <c r="U346" t="s">
        <v>7090</v>
      </c>
      <c r="V346" t="s">
        <v>7091</v>
      </c>
      <c r="W346" t="s">
        <v>7092</v>
      </c>
      <c r="X346" t="s">
        <v>7093</v>
      </c>
      <c r="Y346" t="s">
        <v>7094</v>
      </c>
      <c r="Z346" t="s">
        <v>7095</v>
      </c>
      <c r="AA346" t="s">
        <v>7096</v>
      </c>
      <c r="AB346" t="s">
        <v>7097</v>
      </c>
      <c r="AC346" t="s">
        <v>7098</v>
      </c>
      <c r="AD346" t="s">
        <v>7099</v>
      </c>
      <c r="AE346" t="s">
        <v>7100</v>
      </c>
      <c r="AF346" t="s">
        <v>74</v>
      </c>
      <c r="AG346">
        <v>52</v>
      </c>
      <c r="AH346">
        <v>6</v>
      </c>
      <c r="AI346">
        <v>7</v>
      </c>
      <c r="AJ346">
        <v>1</v>
      </c>
      <c r="AK346">
        <v>6</v>
      </c>
      <c r="AL346" t="s">
        <v>839</v>
      </c>
      <c r="AM346" t="s">
        <v>840</v>
      </c>
      <c r="AN346" t="s">
        <v>841</v>
      </c>
      <c r="AO346" t="s">
        <v>1844</v>
      </c>
      <c r="AP346" t="s">
        <v>1845</v>
      </c>
      <c r="AQ346" t="s">
        <v>74</v>
      </c>
      <c r="AR346" t="s">
        <v>1832</v>
      </c>
      <c r="AS346" t="s">
        <v>1846</v>
      </c>
      <c r="AT346" t="s">
        <v>7082</v>
      </c>
      <c r="AU346">
        <v>2019</v>
      </c>
      <c r="AV346">
        <v>13</v>
      </c>
      <c r="AW346">
        <v>7</v>
      </c>
      <c r="AX346" t="s">
        <v>74</v>
      </c>
      <c r="AY346" t="s">
        <v>74</v>
      </c>
      <c r="AZ346" t="s">
        <v>74</v>
      </c>
      <c r="BA346" t="s">
        <v>74</v>
      </c>
      <c r="BB346">
        <v>1943</v>
      </c>
      <c r="BC346">
        <v>1958</v>
      </c>
      <c r="BD346" t="s">
        <v>74</v>
      </c>
      <c r="BE346" t="s">
        <v>7101</v>
      </c>
      <c r="BF346" t="str">
        <f>HYPERLINK("http://dx.doi.org/10.5194/tc-13-1943-2019","http://dx.doi.org/10.5194/tc-13-1943-2019")</f>
        <v>http://dx.doi.org/10.5194/tc-13-1943-2019</v>
      </c>
      <c r="BG346" t="s">
        <v>74</v>
      </c>
      <c r="BH346" t="s">
        <v>74</v>
      </c>
      <c r="BI346">
        <v>16</v>
      </c>
      <c r="BJ346" t="s">
        <v>310</v>
      </c>
      <c r="BK346" t="s">
        <v>101</v>
      </c>
      <c r="BL346" t="s">
        <v>311</v>
      </c>
      <c r="BM346" t="s">
        <v>7102</v>
      </c>
      <c r="BN346" t="s">
        <v>74</v>
      </c>
      <c r="BO346" t="s">
        <v>2270</v>
      </c>
      <c r="BP346" t="s">
        <v>74</v>
      </c>
      <c r="BQ346" t="s">
        <v>74</v>
      </c>
      <c r="BR346" t="s">
        <v>103</v>
      </c>
      <c r="BS346" t="s">
        <v>7103</v>
      </c>
      <c r="BT346" t="str">
        <f>HYPERLINK("https%3A%2F%2Fwww.webofscience.com%2Fwos%2Fwoscc%2Ffull-record%2FWOS:000475766000001","View Full Record in Web of Science")</f>
        <v>View Full Record in Web of Science</v>
      </c>
    </row>
    <row r="347" spans="1:72" x14ac:dyDescent="0.15">
      <c r="A347" t="s">
        <v>72</v>
      </c>
      <c r="B347" t="s">
        <v>7104</v>
      </c>
      <c r="C347" t="s">
        <v>74</v>
      </c>
      <c r="D347" t="s">
        <v>74</v>
      </c>
      <c r="E347" t="s">
        <v>74</v>
      </c>
      <c r="F347" t="s">
        <v>7105</v>
      </c>
      <c r="G347" t="s">
        <v>74</v>
      </c>
      <c r="H347" t="s">
        <v>74</v>
      </c>
      <c r="I347" t="s">
        <v>7106</v>
      </c>
      <c r="J347" t="s">
        <v>1832</v>
      </c>
      <c r="K347" t="s">
        <v>74</v>
      </c>
      <c r="L347" t="s">
        <v>74</v>
      </c>
      <c r="M347" t="s">
        <v>78</v>
      </c>
      <c r="N347" t="s">
        <v>108</v>
      </c>
      <c r="O347" t="s">
        <v>74</v>
      </c>
      <c r="P347" t="s">
        <v>74</v>
      </c>
      <c r="Q347" t="s">
        <v>74</v>
      </c>
      <c r="R347" t="s">
        <v>74</v>
      </c>
      <c r="S347" t="s">
        <v>74</v>
      </c>
      <c r="T347" t="s">
        <v>74</v>
      </c>
      <c r="U347" t="s">
        <v>7107</v>
      </c>
      <c r="V347" t="s">
        <v>7108</v>
      </c>
      <c r="W347" t="s">
        <v>7109</v>
      </c>
      <c r="X347" t="s">
        <v>7110</v>
      </c>
      <c r="Y347" t="s">
        <v>7111</v>
      </c>
      <c r="Z347" t="s">
        <v>7112</v>
      </c>
      <c r="AA347" t="s">
        <v>7113</v>
      </c>
      <c r="AB347" t="s">
        <v>7114</v>
      </c>
      <c r="AC347" t="s">
        <v>7115</v>
      </c>
      <c r="AD347" t="s">
        <v>7116</v>
      </c>
      <c r="AE347" t="s">
        <v>7117</v>
      </c>
      <c r="AF347" t="s">
        <v>74</v>
      </c>
      <c r="AG347">
        <v>176</v>
      </c>
      <c r="AH347">
        <v>23</v>
      </c>
      <c r="AI347">
        <v>25</v>
      </c>
      <c r="AJ347">
        <v>1</v>
      </c>
      <c r="AK347">
        <v>11</v>
      </c>
      <c r="AL347" t="s">
        <v>839</v>
      </c>
      <c r="AM347" t="s">
        <v>840</v>
      </c>
      <c r="AN347" t="s">
        <v>841</v>
      </c>
      <c r="AO347" t="s">
        <v>1844</v>
      </c>
      <c r="AP347" t="s">
        <v>1845</v>
      </c>
      <c r="AQ347" t="s">
        <v>74</v>
      </c>
      <c r="AR347" t="s">
        <v>1832</v>
      </c>
      <c r="AS347" t="s">
        <v>1846</v>
      </c>
      <c r="AT347" t="s">
        <v>7082</v>
      </c>
      <c r="AU347">
        <v>2019</v>
      </c>
      <c r="AV347">
        <v>13</v>
      </c>
      <c r="AW347">
        <v>7</v>
      </c>
      <c r="AX347" t="s">
        <v>74</v>
      </c>
      <c r="AY347" t="s">
        <v>74</v>
      </c>
      <c r="AZ347" t="s">
        <v>74</v>
      </c>
      <c r="BA347" t="s">
        <v>74</v>
      </c>
      <c r="BB347">
        <v>1959</v>
      </c>
      <c r="BC347">
        <v>1981</v>
      </c>
      <c r="BD347" t="s">
        <v>74</v>
      </c>
      <c r="BE347" t="s">
        <v>7118</v>
      </c>
      <c r="BF347" t="str">
        <f>HYPERLINK("http://dx.doi.org/10.5194/tc-13-1959-2019","http://dx.doi.org/10.5194/tc-13-1959-2019")</f>
        <v>http://dx.doi.org/10.5194/tc-13-1959-2019</v>
      </c>
      <c r="BG347" t="s">
        <v>74</v>
      </c>
      <c r="BH347" t="s">
        <v>74</v>
      </c>
      <c r="BI347">
        <v>23</v>
      </c>
      <c r="BJ347" t="s">
        <v>310</v>
      </c>
      <c r="BK347" t="s">
        <v>101</v>
      </c>
      <c r="BL347" t="s">
        <v>311</v>
      </c>
      <c r="BM347" t="s">
        <v>7102</v>
      </c>
      <c r="BN347" t="s">
        <v>74</v>
      </c>
      <c r="BO347" t="s">
        <v>7119</v>
      </c>
      <c r="BP347" t="s">
        <v>74</v>
      </c>
      <c r="BQ347" t="s">
        <v>74</v>
      </c>
      <c r="BR347" t="s">
        <v>103</v>
      </c>
      <c r="BS347" t="s">
        <v>7120</v>
      </c>
      <c r="BT347" t="str">
        <f>HYPERLINK("https%3A%2F%2Fwww.webofscience.com%2Fwos%2Fwoscc%2Ffull-record%2FWOS:000475766000002","View Full Record in Web of Science")</f>
        <v>View Full Record in Web of Science</v>
      </c>
    </row>
    <row r="348" spans="1:72" x14ac:dyDescent="0.15">
      <c r="A348" t="s">
        <v>72</v>
      </c>
      <c r="B348" t="s">
        <v>7121</v>
      </c>
      <c r="C348" t="s">
        <v>74</v>
      </c>
      <c r="D348" t="s">
        <v>74</v>
      </c>
      <c r="E348" t="s">
        <v>74</v>
      </c>
      <c r="F348" t="s">
        <v>7122</v>
      </c>
      <c r="G348" t="s">
        <v>74</v>
      </c>
      <c r="H348" t="s">
        <v>74</v>
      </c>
      <c r="I348" t="s">
        <v>7123</v>
      </c>
      <c r="J348" t="s">
        <v>1832</v>
      </c>
      <c r="K348" t="s">
        <v>74</v>
      </c>
      <c r="L348" t="s">
        <v>74</v>
      </c>
      <c r="M348" t="s">
        <v>78</v>
      </c>
      <c r="N348" t="s">
        <v>108</v>
      </c>
      <c r="O348" t="s">
        <v>74</v>
      </c>
      <c r="P348" t="s">
        <v>74</v>
      </c>
      <c r="Q348" t="s">
        <v>74</v>
      </c>
      <c r="R348" t="s">
        <v>74</v>
      </c>
      <c r="S348" t="s">
        <v>74</v>
      </c>
      <c r="T348" t="s">
        <v>74</v>
      </c>
      <c r="U348" t="s">
        <v>7124</v>
      </c>
      <c r="V348" t="s">
        <v>7125</v>
      </c>
      <c r="W348" t="s">
        <v>7126</v>
      </c>
      <c r="X348" t="s">
        <v>7127</v>
      </c>
      <c r="Y348" t="s">
        <v>7128</v>
      </c>
      <c r="Z348" t="s">
        <v>7129</v>
      </c>
      <c r="AA348" t="s">
        <v>7130</v>
      </c>
      <c r="AB348" t="s">
        <v>7131</v>
      </c>
      <c r="AC348" t="s">
        <v>7132</v>
      </c>
      <c r="AD348" t="s">
        <v>7133</v>
      </c>
      <c r="AE348" t="s">
        <v>7134</v>
      </c>
      <c r="AF348" t="s">
        <v>74</v>
      </c>
      <c r="AG348">
        <v>44</v>
      </c>
      <c r="AH348">
        <v>26</v>
      </c>
      <c r="AI348">
        <v>28</v>
      </c>
      <c r="AJ348">
        <v>0</v>
      </c>
      <c r="AK348">
        <v>2</v>
      </c>
      <c r="AL348" t="s">
        <v>839</v>
      </c>
      <c r="AM348" t="s">
        <v>840</v>
      </c>
      <c r="AN348" t="s">
        <v>841</v>
      </c>
      <c r="AO348" t="s">
        <v>1844</v>
      </c>
      <c r="AP348" t="s">
        <v>1845</v>
      </c>
      <c r="AQ348" t="s">
        <v>74</v>
      </c>
      <c r="AR348" t="s">
        <v>1832</v>
      </c>
      <c r="AS348" t="s">
        <v>1846</v>
      </c>
      <c r="AT348" t="s">
        <v>7082</v>
      </c>
      <c r="AU348">
        <v>2019</v>
      </c>
      <c r="AV348">
        <v>13</v>
      </c>
      <c r="AW348">
        <v>7</v>
      </c>
      <c r="AX348" t="s">
        <v>74</v>
      </c>
      <c r="AY348" t="s">
        <v>74</v>
      </c>
      <c r="AZ348" t="s">
        <v>74</v>
      </c>
      <c r="BA348" t="s">
        <v>74</v>
      </c>
      <c r="BB348">
        <v>1983</v>
      </c>
      <c r="BC348">
        <v>1999</v>
      </c>
      <c r="BD348" t="s">
        <v>74</v>
      </c>
      <c r="BE348" t="s">
        <v>7135</v>
      </c>
      <c r="BF348" t="str">
        <f>HYPERLINK("http://dx.doi.org/10.5194/tc-13-1983-2019","http://dx.doi.org/10.5194/tc-13-1983-2019")</f>
        <v>http://dx.doi.org/10.5194/tc-13-1983-2019</v>
      </c>
      <c r="BG348" t="s">
        <v>74</v>
      </c>
      <c r="BH348" t="s">
        <v>74</v>
      </c>
      <c r="BI348">
        <v>17</v>
      </c>
      <c r="BJ348" t="s">
        <v>310</v>
      </c>
      <c r="BK348" t="s">
        <v>101</v>
      </c>
      <c r="BL348" t="s">
        <v>311</v>
      </c>
      <c r="BM348" t="s">
        <v>7102</v>
      </c>
      <c r="BN348" t="s">
        <v>74</v>
      </c>
      <c r="BO348" t="s">
        <v>2565</v>
      </c>
      <c r="BP348" t="s">
        <v>74</v>
      </c>
      <c r="BQ348" t="s">
        <v>74</v>
      </c>
      <c r="BR348" t="s">
        <v>103</v>
      </c>
      <c r="BS348" t="s">
        <v>7136</v>
      </c>
      <c r="BT348" t="str">
        <f>HYPERLINK("https%3A%2F%2Fwww.webofscience.com%2Fwos%2Fwoscc%2Ffull-record%2FWOS:000475766000003","View Full Record in Web of Science")</f>
        <v>View Full Record in Web of Science</v>
      </c>
    </row>
    <row r="349" spans="1:72" x14ac:dyDescent="0.15">
      <c r="A349" t="s">
        <v>72</v>
      </c>
      <c r="B349" t="s">
        <v>7137</v>
      </c>
      <c r="C349" t="s">
        <v>74</v>
      </c>
      <c r="D349" t="s">
        <v>74</v>
      </c>
      <c r="E349" t="s">
        <v>74</v>
      </c>
      <c r="F349" t="s">
        <v>7138</v>
      </c>
      <c r="G349" t="s">
        <v>74</v>
      </c>
      <c r="H349" t="s">
        <v>74</v>
      </c>
      <c r="I349" t="s">
        <v>7139</v>
      </c>
      <c r="J349" t="s">
        <v>855</v>
      </c>
      <c r="K349" t="s">
        <v>74</v>
      </c>
      <c r="L349" t="s">
        <v>74</v>
      </c>
      <c r="M349" t="s">
        <v>78</v>
      </c>
      <c r="N349" t="s">
        <v>108</v>
      </c>
      <c r="O349" t="s">
        <v>74</v>
      </c>
      <c r="P349" t="s">
        <v>74</v>
      </c>
      <c r="Q349" t="s">
        <v>74</v>
      </c>
      <c r="R349" t="s">
        <v>74</v>
      </c>
      <c r="S349" t="s">
        <v>74</v>
      </c>
      <c r="T349" t="s">
        <v>7140</v>
      </c>
      <c r="U349" t="s">
        <v>7141</v>
      </c>
      <c r="V349" t="s">
        <v>7142</v>
      </c>
      <c r="W349" t="s">
        <v>7143</v>
      </c>
      <c r="X349" t="s">
        <v>7144</v>
      </c>
      <c r="Y349" t="s">
        <v>7145</v>
      </c>
      <c r="Z349" t="s">
        <v>7146</v>
      </c>
      <c r="AA349" t="s">
        <v>7147</v>
      </c>
      <c r="AB349" t="s">
        <v>7148</v>
      </c>
      <c r="AC349" t="s">
        <v>7149</v>
      </c>
      <c r="AD349" t="s">
        <v>7150</v>
      </c>
      <c r="AE349" t="s">
        <v>7151</v>
      </c>
      <c r="AF349" t="s">
        <v>74</v>
      </c>
      <c r="AG349">
        <v>156</v>
      </c>
      <c r="AH349">
        <v>31</v>
      </c>
      <c r="AI349">
        <v>32</v>
      </c>
      <c r="AJ349">
        <v>0</v>
      </c>
      <c r="AK349">
        <v>31</v>
      </c>
      <c r="AL349" t="s">
        <v>868</v>
      </c>
      <c r="AM349" t="s">
        <v>869</v>
      </c>
      <c r="AN349" t="s">
        <v>870</v>
      </c>
      <c r="AO349" t="s">
        <v>74</v>
      </c>
      <c r="AP349" t="s">
        <v>871</v>
      </c>
      <c r="AQ349" t="s">
        <v>74</v>
      </c>
      <c r="AR349" t="s">
        <v>872</v>
      </c>
      <c r="AS349" t="s">
        <v>873</v>
      </c>
      <c r="AT349" t="s">
        <v>7082</v>
      </c>
      <c r="AU349">
        <v>2019</v>
      </c>
      <c r="AV349">
        <v>6</v>
      </c>
      <c r="AW349" t="s">
        <v>74</v>
      </c>
      <c r="AX349" t="s">
        <v>74</v>
      </c>
      <c r="AY349" t="s">
        <v>74</v>
      </c>
      <c r="AZ349" t="s">
        <v>74</v>
      </c>
      <c r="BA349" t="s">
        <v>74</v>
      </c>
      <c r="BB349" t="s">
        <v>74</v>
      </c>
      <c r="BC349" t="s">
        <v>74</v>
      </c>
      <c r="BD349">
        <v>395</v>
      </c>
      <c r="BE349" t="s">
        <v>7152</v>
      </c>
      <c r="BF349" t="str">
        <f>HYPERLINK("http://dx.doi.org/10.3389/fmars.2019.00395","http://dx.doi.org/10.3389/fmars.2019.00395")</f>
        <v>http://dx.doi.org/10.3389/fmars.2019.00395</v>
      </c>
      <c r="BG349" t="s">
        <v>74</v>
      </c>
      <c r="BH349" t="s">
        <v>74</v>
      </c>
      <c r="BI349">
        <v>22</v>
      </c>
      <c r="BJ349" t="s">
        <v>876</v>
      </c>
      <c r="BK349" t="s">
        <v>3718</v>
      </c>
      <c r="BL349" t="s">
        <v>877</v>
      </c>
      <c r="BM349" t="s">
        <v>7153</v>
      </c>
      <c r="BN349" t="s">
        <v>74</v>
      </c>
      <c r="BO349" t="s">
        <v>2313</v>
      </c>
      <c r="BP349" t="s">
        <v>74</v>
      </c>
      <c r="BQ349" t="s">
        <v>74</v>
      </c>
      <c r="BR349" t="s">
        <v>103</v>
      </c>
      <c r="BS349" t="s">
        <v>7154</v>
      </c>
      <c r="BT349" t="str">
        <f>HYPERLINK("https%3A%2F%2Fwww.webofscience.com%2Fwos%2Fwoscc%2Ffull-record%2FWOS:000475989900001","View Full Record in Web of Science")</f>
        <v>View Full Record in Web of Science</v>
      </c>
    </row>
    <row r="350" spans="1:72" x14ac:dyDescent="0.15">
      <c r="A350" t="s">
        <v>72</v>
      </c>
      <c r="B350" t="s">
        <v>7155</v>
      </c>
      <c r="C350" t="s">
        <v>74</v>
      </c>
      <c r="D350" t="s">
        <v>74</v>
      </c>
      <c r="E350" t="s">
        <v>74</v>
      </c>
      <c r="F350" t="s">
        <v>7156</v>
      </c>
      <c r="G350" t="s">
        <v>74</v>
      </c>
      <c r="H350" t="s">
        <v>74</v>
      </c>
      <c r="I350" t="s">
        <v>7157</v>
      </c>
      <c r="J350" t="s">
        <v>7158</v>
      </c>
      <c r="K350" t="s">
        <v>74</v>
      </c>
      <c r="L350" t="s">
        <v>74</v>
      </c>
      <c r="M350" t="s">
        <v>78</v>
      </c>
      <c r="N350" t="s">
        <v>108</v>
      </c>
      <c r="O350" t="s">
        <v>74</v>
      </c>
      <c r="P350" t="s">
        <v>74</v>
      </c>
      <c r="Q350" t="s">
        <v>74</v>
      </c>
      <c r="R350" t="s">
        <v>74</v>
      </c>
      <c r="S350" t="s">
        <v>74</v>
      </c>
      <c r="T350" t="s">
        <v>7159</v>
      </c>
      <c r="U350" t="s">
        <v>7160</v>
      </c>
      <c r="V350" t="s">
        <v>7161</v>
      </c>
      <c r="W350" t="s">
        <v>7162</v>
      </c>
      <c r="X350" t="s">
        <v>7163</v>
      </c>
      <c r="Y350" t="s">
        <v>7164</v>
      </c>
      <c r="Z350" t="s">
        <v>7165</v>
      </c>
      <c r="AA350" t="s">
        <v>74</v>
      </c>
      <c r="AB350" t="s">
        <v>7166</v>
      </c>
      <c r="AC350" t="s">
        <v>7167</v>
      </c>
      <c r="AD350" t="s">
        <v>7168</v>
      </c>
      <c r="AE350" t="s">
        <v>7169</v>
      </c>
      <c r="AF350" t="s">
        <v>74</v>
      </c>
      <c r="AG350">
        <v>89</v>
      </c>
      <c r="AH350">
        <v>8</v>
      </c>
      <c r="AI350">
        <v>12</v>
      </c>
      <c r="AJ350">
        <v>1</v>
      </c>
      <c r="AK350">
        <v>13</v>
      </c>
      <c r="AL350" t="s">
        <v>1140</v>
      </c>
      <c r="AM350" t="s">
        <v>1141</v>
      </c>
      <c r="AN350" t="s">
        <v>1142</v>
      </c>
      <c r="AO350" t="s">
        <v>7170</v>
      </c>
      <c r="AP350" t="s">
        <v>7171</v>
      </c>
      <c r="AQ350" t="s">
        <v>74</v>
      </c>
      <c r="AR350" t="s">
        <v>7158</v>
      </c>
      <c r="AS350" t="s">
        <v>7172</v>
      </c>
      <c r="AT350" t="s">
        <v>1251</v>
      </c>
      <c r="AU350">
        <v>2019</v>
      </c>
      <c r="AV350">
        <v>66</v>
      </c>
      <c r="AW350">
        <v>6</v>
      </c>
      <c r="AX350" t="s">
        <v>74</v>
      </c>
      <c r="AY350" t="s">
        <v>74</v>
      </c>
      <c r="AZ350" t="s">
        <v>74</v>
      </c>
      <c r="BA350" t="s">
        <v>74</v>
      </c>
      <c r="BB350">
        <v>2072</v>
      </c>
      <c r="BC350">
        <v>2097</v>
      </c>
      <c r="BD350" t="s">
        <v>74</v>
      </c>
      <c r="BE350" t="s">
        <v>7173</v>
      </c>
      <c r="BF350" t="str">
        <f>HYPERLINK("http://dx.doi.org/10.1111/sed.12592","http://dx.doi.org/10.1111/sed.12592")</f>
        <v>http://dx.doi.org/10.1111/sed.12592</v>
      </c>
      <c r="BG350" t="s">
        <v>74</v>
      </c>
      <c r="BH350" t="s">
        <v>6119</v>
      </c>
      <c r="BI350">
        <v>26</v>
      </c>
      <c r="BJ350" t="s">
        <v>472</v>
      </c>
      <c r="BK350" t="s">
        <v>101</v>
      </c>
      <c r="BL350" t="s">
        <v>472</v>
      </c>
      <c r="BM350" t="s">
        <v>7174</v>
      </c>
      <c r="BN350" t="s">
        <v>74</v>
      </c>
      <c r="BO350" t="s">
        <v>74</v>
      </c>
      <c r="BP350" t="s">
        <v>74</v>
      </c>
      <c r="BQ350" t="s">
        <v>74</v>
      </c>
      <c r="BR350" t="s">
        <v>103</v>
      </c>
      <c r="BS350" t="s">
        <v>7175</v>
      </c>
      <c r="BT350" t="str">
        <f>HYPERLINK("https%3A%2F%2Fwww.webofscience.com%2Fwos%2Fwoscc%2Ffull-record%2FWOS:000476118300001","View Full Record in Web of Science")</f>
        <v>View Full Record in Web of Science</v>
      </c>
    </row>
    <row r="351" spans="1:72" x14ac:dyDescent="0.15">
      <c r="A351" t="s">
        <v>72</v>
      </c>
      <c r="B351" t="s">
        <v>7176</v>
      </c>
      <c r="C351" t="s">
        <v>74</v>
      </c>
      <c r="D351" t="s">
        <v>74</v>
      </c>
      <c r="E351" t="s">
        <v>74</v>
      </c>
      <c r="F351" t="s">
        <v>7177</v>
      </c>
      <c r="G351" t="s">
        <v>74</v>
      </c>
      <c r="H351" t="s">
        <v>74</v>
      </c>
      <c r="I351" t="s">
        <v>7178</v>
      </c>
      <c r="J351" t="s">
        <v>5322</v>
      </c>
      <c r="K351" t="s">
        <v>74</v>
      </c>
      <c r="L351" t="s">
        <v>74</v>
      </c>
      <c r="M351" t="s">
        <v>78</v>
      </c>
      <c r="N351" t="s">
        <v>2711</v>
      </c>
      <c r="O351" t="s">
        <v>74</v>
      </c>
      <c r="P351" t="s">
        <v>74</v>
      </c>
      <c r="Q351" t="s">
        <v>74</v>
      </c>
      <c r="R351" t="s">
        <v>74</v>
      </c>
      <c r="S351" t="s">
        <v>74</v>
      </c>
      <c r="T351" t="s">
        <v>7179</v>
      </c>
      <c r="U351" t="s">
        <v>7180</v>
      </c>
      <c r="V351" t="s">
        <v>7181</v>
      </c>
      <c r="W351" t="s">
        <v>7182</v>
      </c>
      <c r="X351" t="s">
        <v>7183</v>
      </c>
      <c r="Y351" t="s">
        <v>7184</v>
      </c>
      <c r="Z351" t="s">
        <v>7185</v>
      </c>
      <c r="AA351" t="s">
        <v>7186</v>
      </c>
      <c r="AB351" t="s">
        <v>7187</v>
      </c>
      <c r="AC351" t="s">
        <v>74</v>
      </c>
      <c r="AD351" t="s">
        <v>74</v>
      </c>
      <c r="AE351" t="s">
        <v>74</v>
      </c>
      <c r="AF351" t="s">
        <v>74</v>
      </c>
      <c r="AG351">
        <v>29</v>
      </c>
      <c r="AH351">
        <v>9</v>
      </c>
      <c r="AI351">
        <v>9</v>
      </c>
      <c r="AJ351">
        <v>0</v>
      </c>
      <c r="AK351">
        <v>32</v>
      </c>
      <c r="AL351" t="s">
        <v>1140</v>
      </c>
      <c r="AM351" t="s">
        <v>1141</v>
      </c>
      <c r="AN351" t="s">
        <v>1142</v>
      </c>
      <c r="AO351" t="s">
        <v>5333</v>
      </c>
      <c r="AP351" t="s">
        <v>5334</v>
      </c>
      <c r="AQ351" t="s">
        <v>74</v>
      </c>
      <c r="AR351" t="s">
        <v>5335</v>
      </c>
      <c r="AS351" t="s">
        <v>5336</v>
      </c>
      <c r="AT351" t="s">
        <v>1251</v>
      </c>
      <c r="AU351">
        <v>2019</v>
      </c>
      <c r="AV351">
        <v>56</v>
      </c>
      <c r="AW351">
        <v>10</v>
      </c>
      <c r="AX351" t="s">
        <v>74</v>
      </c>
      <c r="AY351" t="s">
        <v>74</v>
      </c>
      <c r="AZ351" t="s">
        <v>74</v>
      </c>
      <c r="BA351" t="s">
        <v>74</v>
      </c>
      <c r="BB351">
        <v>2298</v>
      </c>
      <c r="BC351">
        <v>2304</v>
      </c>
      <c r="BD351" t="s">
        <v>74</v>
      </c>
      <c r="BE351" t="s">
        <v>7188</v>
      </c>
      <c r="BF351" t="str">
        <f>HYPERLINK("http://dx.doi.org/10.1111/1365-2664.13465","http://dx.doi.org/10.1111/1365-2664.13465")</f>
        <v>http://dx.doi.org/10.1111/1365-2664.13465</v>
      </c>
      <c r="BG351" t="s">
        <v>74</v>
      </c>
      <c r="BH351" t="s">
        <v>6119</v>
      </c>
      <c r="BI351">
        <v>7</v>
      </c>
      <c r="BJ351" t="s">
        <v>3802</v>
      </c>
      <c r="BK351" t="s">
        <v>101</v>
      </c>
      <c r="BL351" t="s">
        <v>1646</v>
      </c>
      <c r="BM351" t="s">
        <v>7189</v>
      </c>
      <c r="BN351" t="s">
        <v>74</v>
      </c>
      <c r="BO351" t="s">
        <v>164</v>
      </c>
      <c r="BP351" t="s">
        <v>74</v>
      </c>
      <c r="BQ351" t="s">
        <v>74</v>
      </c>
      <c r="BR351" t="s">
        <v>103</v>
      </c>
      <c r="BS351" t="s">
        <v>7190</v>
      </c>
      <c r="BT351" t="str">
        <f>HYPERLINK("https%3A%2F%2Fwww.webofscience.com%2Fwos%2Fwoscc%2Ffull-record%2FWOS:000476242100001","View Full Record in Web of Science")</f>
        <v>View Full Record in Web of Science</v>
      </c>
    </row>
    <row r="352" spans="1:72" x14ac:dyDescent="0.15">
      <c r="A352" t="s">
        <v>72</v>
      </c>
      <c r="B352" t="s">
        <v>7191</v>
      </c>
      <c r="C352" t="s">
        <v>74</v>
      </c>
      <c r="D352" t="s">
        <v>74</v>
      </c>
      <c r="E352" t="s">
        <v>74</v>
      </c>
      <c r="F352" t="s">
        <v>7192</v>
      </c>
      <c r="G352" t="s">
        <v>74</v>
      </c>
      <c r="H352" t="s">
        <v>74</v>
      </c>
      <c r="I352" t="s">
        <v>7193</v>
      </c>
      <c r="J352" t="s">
        <v>884</v>
      </c>
      <c r="K352" t="s">
        <v>74</v>
      </c>
      <c r="L352" t="s">
        <v>74</v>
      </c>
      <c r="M352" t="s">
        <v>78</v>
      </c>
      <c r="N352" t="s">
        <v>108</v>
      </c>
      <c r="O352" t="s">
        <v>74</v>
      </c>
      <c r="P352" t="s">
        <v>74</v>
      </c>
      <c r="Q352" t="s">
        <v>74</v>
      </c>
      <c r="R352" t="s">
        <v>74</v>
      </c>
      <c r="S352" t="s">
        <v>74</v>
      </c>
      <c r="T352" t="s">
        <v>74</v>
      </c>
      <c r="U352" t="s">
        <v>7194</v>
      </c>
      <c r="V352" t="s">
        <v>7195</v>
      </c>
      <c r="W352" t="s">
        <v>7196</v>
      </c>
      <c r="X352" t="s">
        <v>7197</v>
      </c>
      <c r="Y352" t="s">
        <v>7198</v>
      </c>
      <c r="Z352" t="s">
        <v>7199</v>
      </c>
      <c r="AA352" t="s">
        <v>7200</v>
      </c>
      <c r="AB352" t="s">
        <v>7201</v>
      </c>
      <c r="AC352" t="s">
        <v>7202</v>
      </c>
      <c r="AD352" t="s">
        <v>7203</v>
      </c>
      <c r="AE352" t="s">
        <v>7204</v>
      </c>
      <c r="AF352" t="s">
        <v>74</v>
      </c>
      <c r="AG352">
        <v>38</v>
      </c>
      <c r="AH352">
        <v>13</v>
      </c>
      <c r="AI352">
        <v>13</v>
      </c>
      <c r="AJ352">
        <v>0</v>
      </c>
      <c r="AK352">
        <v>3</v>
      </c>
      <c r="AL352" t="s">
        <v>182</v>
      </c>
      <c r="AM352" t="s">
        <v>183</v>
      </c>
      <c r="AN352" t="s">
        <v>184</v>
      </c>
      <c r="AO352" t="s">
        <v>896</v>
      </c>
      <c r="AP352" t="s">
        <v>897</v>
      </c>
      <c r="AQ352" t="s">
        <v>74</v>
      </c>
      <c r="AR352" t="s">
        <v>898</v>
      </c>
      <c r="AS352" t="s">
        <v>899</v>
      </c>
      <c r="AT352" t="s">
        <v>7205</v>
      </c>
      <c r="AU352">
        <v>2019</v>
      </c>
      <c r="AV352">
        <v>46</v>
      </c>
      <c r="AW352">
        <v>13</v>
      </c>
      <c r="AX352" t="s">
        <v>74</v>
      </c>
      <c r="AY352" t="s">
        <v>74</v>
      </c>
      <c r="AZ352" t="s">
        <v>74</v>
      </c>
      <c r="BA352" t="s">
        <v>74</v>
      </c>
      <c r="BB352">
        <v>7147</v>
      </c>
      <c r="BC352">
        <v>7156</v>
      </c>
      <c r="BD352" t="s">
        <v>74</v>
      </c>
      <c r="BE352" t="s">
        <v>7206</v>
      </c>
      <c r="BF352" t="str">
        <f>HYPERLINK("http://dx.doi.org/10.1029/2019GL083275","http://dx.doi.org/10.1029/2019GL083275")</f>
        <v>http://dx.doi.org/10.1029/2019GL083275</v>
      </c>
      <c r="BG352" t="s">
        <v>74</v>
      </c>
      <c r="BH352" t="s">
        <v>74</v>
      </c>
      <c r="BI352">
        <v>10</v>
      </c>
      <c r="BJ352" t="s">
        <v>471</v>
      </c>
      <c r="BK352" t="s">
        <v>101</v>
      </c>
      <c r="BL352" t="s">
        <v>472</v>
      </c>
      <c r="BM352" t="s">
        <v>7207</v>
      </c>
      <c r="BN352" t="s">
        <v>74</v>
      </c>
      <c r="BO352" t="s">
        <v>1256</v>
      </c>
      <c r="BP352" t="s">
        <v>74</v>
      </c>
      <c r="BQ352" t="s">
        <v>74</v>
      </c>
      <c r="BR352" t="s">
        <v>103</v>
      </c>
      <c r="BS352" t="s">
        <v>7208</v>
      </c>
      <c r="BT352" t="str">
        <f>HYPERLINK("https%3A%2F%2Fwww.webofscience.com%2Fwos%2Fwoscc%2Ffull-record%2FWOS:000476960100010","View Full Record in Web of Science")</f>
        <v>View Full Record in Web of Science</v>
      </c>
    </row>
    <row r="353" spans="1:72" x14ac:dyDescent="0.15">
      <c r="A353" t="s">
        <v>72</v>
      </c>
      <c r="B353" t="s">
        <v>7209</v>
      </c>
      <c r="C353" t="s">
        <v>74</v>
      </c>
      <c r="D353" t="s">
        <v>74</v>
      </c>
      <c r="E353" t="s">
        <v>74</v>
      </c>
      <c r="F353" t="s">
        <v>7210</v>
      </c>
      <c r="G353" t="s">
        <v>74</v>
      </c>
      <c r="H353" t="s">
        <v>74</v>
      </c>
      <c r="I353" t="s">
        <v>7211</v>
      </c>
      <c r="J353" t="s">
        <v>884</v>
      </c>
      <c r="K353" t="s">
        <v>74</v>
      </c>
      <c r="L353" t="s">
        <v>74</v>
      </c>
      <c r="M353" t="s">
        <v>78</v>
      </c>
      <c r="N353" t="s">
        <v>108</v>
      </c>
      <c r="O353" t="s">
        <v>74</v>
      </c>
      <c r="P353" t="s">
        <v>74</v>
      </c>
      <c r="Q353" t="s">
        <v>74</v>
      </c>
      <c r="R353" t="s">
        <v>74</v>
      </c>
      <c r="S353" t="s">
        <v>74</v>
      </c>
      <c r="T353" t="s">
        <v>74</v>
      </c>
      <c r="U353" t="s">
        <v>7212</v>
      </c>
      <c r="V353" t="s">
        <v>7213</v>
      </c>
      <c r="W353" t="s">
        <v>7214</v>
      </c>
      <c r="X353" t="s">
        <v>7215</v>
      </c>
      <c r="Y353" t="s">
        <v>7216</v>
      </c>
      <c r="Z353" t="s">
        <v>7217</v>
      </c>
      <c r="AA353" t="s">
        <v>7218</v>
      </c>
      <c r="AB353" t="s">
        <v>7219</v>
      </c>
      <c r="AC353" t="s">
        <v>7220</v>
      </c>
      <c r="AD353" t="s">
        <v>7221</v>
      </c>
      <c r="AE353" t="s">
        <v>7222</v>
      </c>
      <c r="AF353" t="s">
        <v>74</v>
      </c>
      <c r="AG353">
        <v>49</v>
      </c>
      <c r="AH353">
        <v>14</v>
      </c>
      <c r="AI353">
        <v>16</v>
      </c>
      <c r="AJ353">
        <v>0</v>
      </c>
      <c r="AK353">
        <v>2</v>
      </c>
      <c r="AL353" t="s">
        <v>182</v>
      </c>
      <c r="AM353" t="s">
        <v>183</v>
      </c>
      <c r="AN353" t="s">
        <v>184</v>
      </c>
      <c r="AO353" t="s">
        <v>896</v>
      </c>
      <c r="AP353" t="s">
        <v>897</v>
      </c>
      <c r="AQ353" t="s">
        <v>74</v>
      </c>
      <c r="AR353" t="s">
        <v>898</v>
      </c>
      <c r="AS353" t="s">
        <v>899</v>
      </c>
      <c r="AT353" t="s">
        <v>7205</v>
      </c>
      <c r="AU353">
        <v>2019</v>
      </c>
      <c r="AV353">
        <v>46</v>
      </c>
      <c r="AW353">
        <v>13</v>
      </c>
      <c r="AX353" t="s">
        <v>74</v>
      </c>
      <c r="AY353" t="s">
        <v>74</v>
      </c>
      <c r="AZ353" t="s">
        <v>74</v>
      </c>
      <c r="BA353" t="s">
        <v>74</v>
      </c>
      <c r="BB353">
        <v>7819</v>
      </c>
      <c r="BC353">
        <v>7827</v>
      </c>
      <c r="BD353" t="s">
        <v>74</v>
      </c>
      <c r="BE353" t="s">
        <v>7223</v>
      </c>
      <c r="BF353" t="str">
        <f>HYPERLINK("http://dx.doi.org/10.1029/2019GL082965","http://dx.doi.org/10.1029/2019GL082965")</f>
        <v>http://dx.doi.org/10.1029/2019GL082965</v>
      </c>
      <c r="BG353" t="s">
        <v>74</v>
      </c>
      <c r="BH353" t="s">
        <v>74</v>
      </c>
      <c r="BI353">
        <v>9</v>
      </c>
      <c r="BJ353" t="s">
        <v>471</v>
      </c>
      <c r="BK353" t="s">
        <v>101</v>
      </c>
      <c r="BL353" t="s">
        <v>472</v>
      </c>
      <c r="BM353" t="s">
        <v>7207</v>
      </c>
      <c r="BN353" t="s">
        <v>74</v>
      </c>
      <c r="BO353" t="s">
        <v>579</v>
      </c>
      <c r="BP353" t="s">
        <v>74</v>
      </c>
      <c r="BQ353" t="s">
        <v>74</v>
      </c>
      <c r="BR353" t="s">
        <v>103</v>
      </c>
      <c r="BS353" t="s">
        <v>7224</v>
      </c>
      <c r="BT353" t="str">
        <f>HYPERLINK("https%3A%2F%2Fwww.webofscience.com%2Fwos%2Fwoscc%2Ffull-record%2FWOS:000476960100084","View Full Record in Web of Science")</f>
        <v>View Full Record in Web of Science</v>
      </c>
    </row>
    <row r="354" spans="1:72" x14ac:dyDescent="0.15">
      <c r="A354" t="s">
        <v>72</v>
      </c>
      <c r="B354" t="s">
        <v>7225</v>
      </c>
      <c r="C354" t="s">
        <v>74</v>
      </c>
      <c r="D354" t="s">
        <v>74</v>
      </c>
      <c r="E354" t="s">
        <v>74</v>
      </c>
      <c r="F354" t="s">
        <v>7226</v>
      </c>
      <c r="G354" t="s">
        <v>74</v>
      </c>
      <c r="H354" t="s">
        <v>74</v>
      </c>
      <c r="I354" t="s">
        <v>7227</v>
      </c>
      <c r="J354" t="s">
        <v>884</v>
      </c>
      <c r="K354" t="s">
        <v>74</v>
      </c>
      <c r="L354" t="s">
        <v>74</v>
      </c>
      <c r="M354" t="s">
        <v>78</v>
      </c>
      <c r="N354" t="s">
        <v>108</v>
      </c>
      <c r="O354" t="s">
        <v>74</v>
      </c>
      <c r="P354" t="s">
        <v>74</v>
      </c>
      <c r="Q354" t="s">
        <v>74</v>
      </c>
      <c r="R354" t="s">
        <v>74</v>
      </c>
      <c r="S354" t="s">
        <v>74</v>
      </c>
      <c r="T354" t="s">
        <v>74</v>
      </c>
      <c r="U354" t="s">
        <v>7228</v>
      </c>
      <c r="V354" t="s">
        <v>7229</v>
      </c>
      <c r="W354" t="s">
        <v>7230</v>
      </c>
      <c r="X354" t="s">
        <v>7231</v>
      </c>
      <c r="Y354" t="s">
        <v>7232</v>
      </c>
      <c r="Z354" t="s">
        <v>7233</v>
      </c>
      <c r="AA354" t="s">
        <v>7234</v>
      </c>
      <c r="AB354" t="s">
        <v>7235</v>
      </c>
      <c r="AC354" t="s">
        <v>7236</v>
      </c>
      <c r="AD354" t="s">
        <v>4459</v>
      </c>
      <c r="AE354" t="s">
        <v>7237</v>
      </c>
      <c r="AF354" t="s">
        <v>74</v>
      </c>
      <c r="AG354">
        <v>28</v>
      </c>
      <c r="AH354">
        <v>3</v>
      </c>
      <c r="AI354">
        <v>3</v>
      </c>
      <c r="AJ354">
        <v>2</v>
      </c>
      <c r="AK354">
        <v>9</v>
      </c>
      <c r="AL354" t="s">
        <v>182</v>
      </c>
      <c r="AM354" t="s">
        <v>183</v>
      </c>
      <c r="AN354" t="s">
        <v>184</v>
      </c>
      <c r="AO354" t="s">
        <v>896</v>
      </c>
      <c r="AP354" t="s">
        <v>897</v>
      </c>
      <c r="AQ354" t="s">
        <v>74</v>
      </c>
      <c r="AR354" t="s">
        <v>898</v>
      </c>
      <c r="AS354" t="s">
        <v>899</v>
      </c>
      <c r="AT354" t="s">
        <v>7205</v>
      </c>
      <c r="AU354">
        <v>2019</v>
      </c>
      <c r="AV354">
        <v>46</v>
      </c>
      <c r="AW354">
        <v>13</v>
      </c>
      <c r="AX354" t="s">
        <v>74</v>
      </c>
      <c r="AY354" t="s">
        <v>74</v>
      </c>
      <c r="AZ354" t="s">
        <v>74</v>
      </c>
      <c r="BA354" t="s">
        <v>74</v>
      </c>
      <c r="BB354">
        <v>7491</v>
      </c>
      <c r="BC354">
        <v>7499</v>
      </c>
      <c r="BD354" t="s">
        <v>74</v>
      </c>
      <c r="BE354" t="s">
        <v>7238</v>
      </c>
      <c r="BF354" t="str">
        <f>HYPERLINK("http://dx.doi.org/10.1029/2019GL082663","http://dx.doi.org/10.1029/2019GL082663")</f>
        <v>http://dx.doi.org/10.1029/2019GL082663</v>
      </c>
      <c r="BG354" t="s">
        <v>74</v>
      </c>
      <c r="BH354" t="s">
        <v>74</v>
      </c>
      <c r="BI354">
        <v>9</v>
      </c>
      <c r="BJ354" t="s">
        <v>471</v>
      </c>
      <c r="BK354" t="s">
        <v>101</v>
      </c>
      <c r="BL354" t="s">
        <v>472</v>
      </c>
      <c r="BM354" t="s">
        <v>7207</v>
      </c>
      <c r="BN354" t="s">
        <v>74</v>
      </c>
      <c r="BO354" t="s">
        <v>1308</v>
      </c>
      <c r="BP354" t="s">
        <v>74</v>
      </c>
      <c r="BQ354" t="s">
        <v>74</v>
      </c>
      <c r="BR354" t="s">
        <v>103</v>
      </c>
      <c r="BS354" t="s">
        <v>7239</v>
      </c>
      <c r="BT354" t="str">
        <f>HYPERLINK("https%3A%2F%2Fwww.webofscience.com%2Fwos%2Fwoscc%2Ffull-record%2FWOS:000476960100049","View Full Record in Web of Science")</f>
        <v>View Full Record in Web of Science</v>
      </c>
    </row>
    <row r="355" spans="1:72" x14ac:dyDescent="0.15">
      <c r="A355" t="s">
        <v>72</v>
      </c>
      <c r="B355" t="s">
        <v>7240</v>
      </c>
      <c r="C355" t="s">
        <v>74</v>
      </c>
      <c r="D355" t="s">
        <v>74</v>
      </c>
      <c r="E355" t="s">
        <v>74</v>
      </c>
      <c r="F355" t="s">
        <v>7241</v>
      </c>
      <c r="G355" t="s">
        <v>74</v>
      </c>
      <c r="H355" t="s">
        <v>74</v>
      </c>
      <c r="I355" t="s">
        <v>7242</v>
      </c>
      <c r="J355" t="s">
        <v>1887</v>
      </c>
      <c r="K355" t="s">
        <v>74</v>
      </c>
      <c r="L355" t="s">
        <v>74</v>
      </c>
      <c r="M355" t="s">
        <v>78</v>
      </c>
      <c r="N355" t="s">
        <v>108</v>
      </c>
      <c r="O355" t="s">
        <v>74</v>
      </c>
      <c r="P355" t="s">
        <v>74</v>
      </c>
      <c r="Q355" t="s">
        <v>74</v>
      </c>
      <c r="R355" t="s">
        <v>74</v>
      </c>
      <c r="S355" t="s">
        <v>74</v>
      </c>
      <c r="T355" t="s">
        <v>7243</v>
      </c>
      <c r="U355" t="s">
        <v>7244</v>
      </c>
      <c r="V355" t="s">
        <v>7245</v>
      </c>
      <c r="W355" t="s">
        <v>7246</v>
      </c>
      <c r="X355" t="s">
        <v>7247</v>
      </c>
      <c r="Y355" t="s">
        <v>7248</v>
      </c>
      <c r="Z355" t="s">
        <v>7249</v>
      </c>
      <c r="AA355" t="s">
        <v>7250</v>
      </c>
      <c r="AB355" t="s">
        <v>7251</v>
      </c>
      <c r="AC355" t="s">
        <v>7252</v>
      </c>
      <c r="AD355" t="s">
        <v>7253</v>
      </c>
      <c r="AE355" t="s">
        <v>7254</v>
      </c>
      <c r="AF355" t="s">
        <v>74</v>
      </c>
      <c r="AG355">
        <v>77</v>
      </c>
      <c r="AH355">
        <v>15</v>
      </c>
      <c r="AI355">
        <v>16</v>
      </c>
      <c r="AJ355">
        <v>1</v>
      </c>
      <c r="AK355">
        <v>5</v>
      </c>
      <c r="AL355" t="s">
        <v>182</v>
      </c>
      <c r="AM355" t="s">
        <v>183</v>
      </c>
      <c r="AN355" t="s">
        <v>184</v>
      </c>
      <c r="AO355" t="s">
        <v>6300</v>
      </c>
      <c r="AP355" t="s">
        <v>1899</v>
      </c>
      <c r="AQ355" t="s">
        <v>74</v>
      </c>
      <c r="AR355" t="s">
        <v>1900</v>
      </c>
      <c r="AS355" t="s">
        <v>1901</v>
      </c>
      <c r="AT355" t="s">
        <v>7205</v>
      </c>
      <c r="AU355">
        <v>2019</v>
      </c>
      <c r="AV355">
        <v>124</v>
      </c>
      <c r="AW355">
        <v>13</v>
      </c>
      <c r="AX355" t="s">
        <v>74</v>
      </c>
      <c r="AY355" t="s">
        <v>74</v>
      </c>
      <c r="AZ355" t="s">
        <v>74</v>
      </c>
      <c r="BA355" t="s">
        <v>74</v>
      </c>
      <c r="BB355">
        <v>7069</v>
      </c>
      <c r="BC355">
        <v>7081</v>
      </c>
      <c r="BD355" t="s">
        <v>74</v>
      </c>
      <c r="BE355" t="s">
        <v>7255</v>
      </c>
      <c r="BF355" t="str">
        <f>HYPERLINK("http://dx.doi.org/10.1029/2019JD030271","http://dx.doi.org/10.1029/2019JD030271")</f>
        <v>http://dx.doi.org/10.1029/2019JD030271</v>
      </c>
      <c r="BG355" t="s">
        <v>74</v>
      </c>
      <c r="BH355" t="s">
        <v>74</v>
      </c>
      <c r="BI355">
        <v>13</v>
      </c>
      <c r="BJ355" t="s">
        <v>259</v>
      </c>
      <c r="BK355" t="s">
        <v>101</v>
      </c>
      <c r="BL355" t="s">
        <v>259</v>
      </c>
      <c r="BM355" t="s">
        <v>7256</v>
      </c>
      <c r="BN355" t="s">
        <v>74</v>
      </c>
      <c r="BO355" t="s">
        <v>1125</v>
      </c>
      <c r="BP355" t="s">
        <v>74</v>
      </c>
      <c r="BQ355" t="s">
        <v>74</v>
      </c>
      <c r="BR355" t="s">
        <v>103</v>
      </c>
      <c r="BS355" t="s">
        <v>7257</v>
      </c>
      <c r="BT355" t="str">
        <f>HYPERLINK("https%3A%2F%2Fwww.webofscience.com%2Fwos%2Fwoscc%2Ffull-record%2FWOS:000477580200026","View Full Record in Web of Science")</f>
        <v>View Full Record in Web of Science</v>
      </c>
    </row>
    <row r="356" spans="1:72" x14ac:dyDescent="0.15">
      <c r="A356" t="s">
        <v>72</v>
      </c>
      <c r="B356" t="s">
        <v>7258</v>
      </c>
      <c r="C356" t="s">
        <v>74</v>
      </c>
      <c r="D356" t="s">
        <v>74</v>
      </c>
      <c r="E356" t="s">
        <v>74</v>
      </c>
      <c r="F356" t="s">
        <v>7259</v>
      </c>
      <c r="G356" t="s">
        <v>74</v>
      </c>
      <c r="H356" t="s">
        <v>74</v>
      </c>
      <c r="I356" t="s">
        <v>7260</v>
      </c>
      <c r="J356" t="s">
        <v>1887</v>
      </c>
      <c r="K356" t="s">
        <v>74</v>
      </c>
      <c r="L356" t="s">
        <v>74</v>
      </c>
      <c r="M356" t="s">
        <v>78</v>
      </c>
      <c r="N356" t="s">
        <v>108</v>
      </c>
      <c r="O356" t="s">
        <v>74</v>
      </c>
      <c r="P356" t="s">
        <v>74</v>
      </c>
      <c r="Q356" t="s">
        <v>74</v>
      </c>
      <c r="R356" t="s">
        <v>74</v>
      </c>
      <c r="S356" t="s">
        <v>74</v>
      </c>
      <c r="T356" t="s">
        <v>7261</v>
      </c>
      <c r="U356" t="s">
        <v>7262</v>
      </c>
      <c r="V356" t="s">
        <v>7263</v>
      </c>
      <c r="W356" t="s">
        <v>7264</v>
      </c>
      <c r="X356" t="s">
        <v>7265</v>
      </c>
      <c r="Y356" t="s">
        <v>7266</v>
      </c>
      <c r="Z356" t="s">
        <v>7267</v>
      </c>
      <c r="AA356" t="s">
        <v>7268</v>
      </c>
      <c r="AB356" t="s">
        <v>7269</v>
      </c>
      <c r="AC356" t="s">
        <v>7270</v>
      </c>
      <c r="AD356" t="s">
        <v>7271</v>
      </c>
      <c r="AE356" t="s">
        <v>7272</v>
      </c>
      <c r="AF356" t="s">
        <v>74</v>
      </c>
      <c r="AG356">
        <v>109</v>
      </c>
      <c r="AH356">
        <v>20</v>
      </c>
      <c r="AI356">
        <v>22</v>
      </c>
      <c r="AJ356">
        <v>2</v>
      </c>
      <c r="AK356">
        <v>61</v>
      </c>
      <c r="AL356" t="s">
        <v>182</v>
      </c>
      <c r="AM356" t="s">
        <v>183</v>
      </c>
      <c r="AN356" t="s">
        <v>184</v>
      </c>
      <c r="AO356" t="s">
        <v>6300</v>
      </c>
      <c r="AP356" t="s">
        <v>1899</v>
      </c>
      <c r="AQ356" t="s">
        <v>74</v>
      </c>
      <c r="AR356" t="s">
        <v>1900</v>
      </c>
      <c r="AS356" t="s">
        <v>1901</v>
      </c>
      <c r="AT356" t="s">
        <v>7205</v>
      </c>
      <c r="AU356">
        <v>2019</v>
      </c>
      <c r="AV356">
        <v>124</v>
      </c>
      <c r="AW356">
        <v>13</v>
      </c>
      <c r="AX356" t="s">
        <v>74</v>
      </c>
      <c r="AY356" t="s">
        <v>74</v>
      </c>
      <c r="AZ356" t="s">
        <v>74</v>
      </c>
      <c r="BA356" t="s">
        <v>74</v>
      </c>
      <c r="BB356">
        <v>7339</v>
      </c>
      <c r="BC356">
        <v>7358</v>
      </c>
      <c r="BD356" t="s">
        <v>74</v>
      </c>
      <c r="BE356" t="s">
        <v>7273</v>
      </c>
      <c r="BF356" t="str">
        <f>HYPERLINK("http://dx.doi.org/10.1029/2018JD030218","http://dx.doi.org/10.1029/2018JD030218")</f>
        <v>http://dx.doi.org/10.1029/2018JD030218</v>
      </c>
      <c r="BG356" t="s">
        <v>74</v>
      </c>
      <c r="BH356" t="s">
        <v>74</v>
      </c>
      <c r="BI356">
        <v>20</v>
      </c>
      <c r="BJ356" t="s">
        <v>259</v>
      </c>
      <c r="BK356" t="s">
        <v>101</v>
      </c>
      <c r="BL356" t="s">
        <v>259</v>
      </c>
      <c r="BM356" t="s">
        <v>7256</v>
      </c>
      <c r="BN356" t="s">
        <v>74</v>
      </c>
      <c r="BO356" t="s">
        <v>261</v>
      </c>
      <c r="BP356" t="s">
        <v>74</v>
      </c>
      <c r="BQ356" t="s">
        <v>74</v>
      </c>
      <c r="BR356" t="s">
        <v>103</v>
      </c>
      <c r="BS356" t="s">
        <v>7274</v>
      </c>
      <c r="BT356" t="str">
        <f>HYPERLINK("https%3A%2F%2Fwww.webofscience.com%2Fwos%2Fwoscc%2Ffull-record%2FWOS:000477580200040","View Full Record in Web of Science")</f>
        <v>View Full Record in Web of Science</v>
      </c>
    </row>
    <row r="357" spans="1:72" x14ac:dyDescent="0.15">
      <c r="A357" t="s">
        <v>72</v>
      </c>
      <c r="B357" t="s">
        <v>7275</v>
      </c>
      <c r="C357" t="s">
        <v>74</v>
      </c>
      <c r="D357" t="s">
        <v>74</v>
      </c>
      <c r="E357" t="s">
        <v>74</v>
      </c>
      <c r="F357" t="s">
        <v>7276</v>
      </c>
      <c r="G357" t="s">
        <v>74</v>
      </c>
      <c r="H357" t="s">
        <v>74</v>
      </c>
      <c r="I357" t="s">
        <v>7277</v>
      </c>
      <c r="J357" t="s">
        <v>2867</v>
      </c>
      <c r="K357" t="s">
        <v>74</v>
      </c>
      <c r="L357" t="s">
        <v>74</v>
      </c>
      <c r="M357" t="s">
        <v>78</v>
      </c>
      <c r="N357" t="s">
        <v>108</v>
      </c>
      <c r="O357" t="s">
        <v>74</v>
      </c>
      <c r="P357" t="s">
        <v>74</v>
      </c>
      <c r="Q357" t="s">
        <v>74</v>
      </c>
      <c r="R357" t="s">
        <v>74</v>
      </c>
      <c r="S357" t="s">
        <v>74</v>
      </c>
      <c r="T357" t="s">
        <v>7278</v>
      </c>
      <c r="U357" t="s">
        <v>7279</v>
      </c>
      <c r="V357" t="s">
        <v>7280</v>
      </c>
      <c r="W357" t="s">
        <v>7281</v>
      </c>
      <c r="X357" t="s">
        <v>7282</v>
      </c>
      <c r="Y357" t="s">
        <v>7283</v>
      </c>
      <c r="Z357" t="s">
        <v>7284</v>
      </c>
      <c r="AA357" t="s">
        <v>7285</v>
      </c>
      <c r="AB357" t="s">
        <v>7286</v>
      </c>
      <c r="AC357" t="s">
        <v>7287</v>
      </c>
      <c r="AD357" t="s">
        <v>7288</v>
      </c>
      <c r="AE357" t="s">
        <v>7289</v>
      </c>
      <c r="AF357" t="s">
        <v>74</v>
      </c>
      <c r="AG357">
        <v>104</v>
      </c>
      <c r="AH357">
        <v>13</v>
      </c>
      <c r="AI357">
        <v>13</v>
      </c>
      <c r="AJ357">
        <v>1</v>
      </c>
      <c r="AK357">
        <v>12</v>
      </c>
      <c r="AL357" t="s">
        <v>1140</v>
      </c>
      <c r="AM357" t="s">
        <v>1141</v>
      </c>
      <c r="AN357" t="s">
        <v>1142</v>
      </c>
      <c r="AO357" t="s">
        <v>2879</v>
      </c>
      <c r="AP357" t="s">
        <v>74</v>
      </c>
      <c r="AQ357" t="s">
        <v>74</v>
      </c>
      <c r="AR357" t="s">
        <v>2880</v>
      </c>
      <c r="AS357" t="s">
        <v>2881</v>
      </c>
      <c r="AT357" t="s">
        <v>2930</v>
      </c>
      <c r="AU357">
        <v>2019</v>
      </c>
      <c r="AV357">
        <v>9</v>
      </c>
      <c r="AW357">
        <v>15</v>
      </c>
      <c r="AX357" t="s">
        <v>74</v>
      </c>
      <c r="AY357" t="s">
        <v>74</v>
      </c>
      <c r="AZ357" t="s">
        <v>74</v>
      </c>
      <c r="BA357" t="s">
        <v>74</v>
      </c>
      <c r="BB357">
        <v>8465</v>
      </c>
      <c r="BC357">
        <v>8478</v>
      </c>
      <c r="BD357" t="s">
        <v>74</v>
      </c>
      <c r="BE357" t="s">
        <v>7290</v>
      </c>
      <c r="BF357" t="str">
        <f>HYPERLINK("http://dx.doi.org/10.1002/ece3.5280","http://dx.doi.org/10.1002/ece3.5280")</f>
        <v>http://dx.doi.org/10.1002/ece3.5280</v>
      </c>
      <c r="BG357" t="s">
        <v>74</v>
      </c>
      <c r="BH357" t="s">
        <v>6119</v>
      </c>
      <c r="BI357">
        <v>14</v>
      </c>
      <c r="BJ357" t="s">
        <v>2883</v>
      </c>
      <c r="BK357" t="s">
        <v>101</v>
      </c>
      <c r="BL357" t="s">
        <v>2884</v>
      </c>
      <c r="BM357" t="s">
        <v>7291</v>
      </c>
      <c r="BN357">
        <v>31410254</v>
      </c>
      <c r="BO357" t="s">
        <v>402</v>
      </c>
      <c r="BP357" t="s">
        <v>74</v>
      </c>
      <c r="BQ357" t="s">
        <v>74</v>
      </c>
      <c r="BR357" t="s">
        <v>103</v>
      </c>
      <c r="BS357" t="s">
        <v>7292</v>
      </c>
      <c r="BT357" t="str">
        <f>HYPERLINK("https%3A%2F%2Fwww.webofscience.com%2Fwos%2Fwoscc%2Ffull-record%2FWOS:000476015900001","View Full Record in Web of Science")</f>
        <v>View Full Record in Web of Science</v>
      </c>
    </row>
    <row r="358" spans="1:72" x14ac:dyDescent="0.15">
      <c r="A358" t="s">
        <v>72</v>
      </c>
      <c r="B358" t="s">
        <v>7293</v>
      </c>
      <c r="C358" t="s">
        <v>74</v>
      </c>
      <c r="D358" t="s">
        <v>74</v>
      </c>
      <c r="E358" t="s">
        <v>74</v>
      </c>
      <c r="F358" t="s">
        <v>7294</v>
      </c>
      <c r="G358" t="s">
        <v>74</v>
      </c>
      <c r="H358" t="s">
        <v>74</v>
      </c>
      <c r="I358" t="s">
        <v>7295</v>
      </c>
      <c r="J358" t="s">
        <v>7296</v>
      </c>
      <c r="K358" t="s">
        <v>74</v>
      </c>
      <c r="L358" t="s">
        <v>74</v>
      </c>
      <c r="M358" t="s">
        <v>78</v>
      </c>
      <c r="N358" t="s">
        <v>108</v>
      </c>
      <c r="O358" t="s">
        <v>74</v>
      </c>
      <c r="P358" t="s">
        <v>74</v>
      </c>
      <c r="Q358" t="s">
        <v>74</v>
      </c>
      <c r="R358" t="s">
        <v>74</v>
      </c>
      <c r="S358" t="s">
        <v>74</v>
      </c>
      <c r="T358" t="s">
        <v>7297</v>
      </c>
      <c r="U358" t="s">
        <v>7298</v>
      </c>
      <c r="V358" t="s">
        <v>7299</v>
      </c>
      <c r="W358" t="s">
        <v>7300</v>
      </c>
      <c r="X358" t="s">
        <v>7301</v>
      </c>
      <c r="Y358" t="s">
        <v>7302</v>
      </c>
      <c r="Z358" t="s">
        <v>7303</v>
      </c>
      <c r="AA358" t="s">
        <v>7304</v>
      </c>
      <c r="AB358" t="s">
        <v>7305</v>
      </c>
      <c r="AC358" t="s">
        <v>7306</v>
      </c>
      <c r="AD358" t="s">
        <v>7307</v>
      </c>
      <c r="AE358" t="s">
        <v>7308</v>
      </c>
      <c r="AF358" t="s">
        <v>74</v>
      </c>
      <c r="AG358">
        <v>57</v>
      </c>
      <c r="AH358">
        <v>3</v>
      </c>
      <c r="AI358">
        <v>4</v>
      </c>
      <c r="AJ358">
        <v>2</v>
      </c>
      <c r="AK358">
        <v>28</v>
      </c>
      <c r="AL358" t="s">
        <v>1140</v>
      </c>
      <c r="AM358" t="s">
        <v>1141</v>
      </c>
      <c r="AN358" t="s">
        <v>1142</v>
      </c>
      <c r="AO358" t="s">
        <v>7309</v>
      </c>
      <c r="AP358" t="s">
        <v>74</v>
      </c>
      <c r="AQ358" t="s">
        <v>74</v>
      </c>
      <c r="AR358" t="s">
        <v>7310</v>
      </c>
      <c r="AS358" t="s">
        <v>7311</v>
      </c>
      <c r="AT358" t="s">
        <v>2930</v>
      </c>
      <c r="AU358">
        <v>2019</v>
      </c>
      <c r="AV358">
        <v>7</v>
      </c>
      <c r="AW358">
        <v>8</v>
      </c>
      <c r="AX358" t="s">
        <v>74</v>
      </c>
      <c r="AY358" t="s">
        <v>74</v>
      </c>
      <c r="AZ358" t="s">
        <v>74</v>
      </c>
      <c r="BA358" t="s">
        <v>74</v>
      </c>
      <c r="BB358">
        <v>2760</v>
      </c>
      <c r="BC358">
        <v>2768</v>
      </c>
      <c r="BD358" t="s">
        <v>74</v>
      </c>
      <c r="BE358" t="s">
        <v>7312</v>
      </c>
      <c r="BF358" t="str">
        <f>HYPERLINK("http://dx.doi.org/10.1002/fsn3.1140","http://dx.doi.org/10.1002/fsn3.1140")</f>
        <v>http://dx.doi.org/10.1002/fsn3.1140</v>
      </c>
      <c r="BG358" t="s">
        <v>74</v>
      </c>
      <c r="BH358" t="s">
        <v>6119</v>
      </c>
      <c r="BI358">
        <v>9</v>
      </c>
      <c r="BJ358" t="s">
        <v>7313</v>
      </c>
      <c r="BK358" t="s">
        <v>101</v>
      </c>
      <c r="BL358" t="s">
        <v>7313</v>
      </c>
      <c r="BM358" t="s">
        <v>7314</v>
      </c>
      <c r="BN358">
        <v>31428364</v>
      </c>
      <c r="BO358" t="s">
        <v>331</v>
      </c>
      <c r="BP358" t="s">
        <v>74</v>
      </c>
      <c r="BQ358" t="s">
        <v>74</v>
      </c>
      <c r="BR358" t="s">
        <v>103</v>
      </c>
      <c r="BS358" t="s">
        <v>7315</v>
      </c>
      <c r="BT358" t="str">
        <f>HYPERLINK("https%3A%2F%2Fwww.webofscience.com%2Fwos%2Fwoscc%2Ffull-record%2FWOS:000476008500001","View Full Record in Web of Science")</f>
        <v>View Full Record in Web of Science</v>
      </c>
    </row>
    <row r="359" spans="1:72" x14ac:dyDescent="0.15">
      <c r="A359" t="s">
        <v>72</v>
      </c>
      <c r="B359" t="s">
        <v>7316</v>
      </c>
      <c r="C359" t="s">
        <v>74</v>
      </c>
      <c r="D359" t="s">
        <v>74</v>
      </c>
      <c r="E359" t="s">
        <v>74</v>
      </c>
      <c r="F359" t="s">
        <v>7317</v>
      </c>
      <c r="G359" t="s">
        <v>74</v>
      </c>
      <c r="H359" t="s">
        <v>74</v>
      </c>
      <c r="I359" t="s">
        <v>7318</v>
      </c>
      <c r="J359" t="s">
        <v>7319</v>
      </c>
      <c r="K359" t="s">
        <v>74</v>
      </c>
      <c r="L359" t="s">
        <v>74</v>
      </c>
      <c r="M359" t="s">
        <v>78</v>
      </c>
      <c r="N359" t="s">
        <v>108</v>
      </c>
      <c r="O359" t="s">
        <v>74</v>
      </c>
      <c r="P359" t="s">
        <v>74</v>
      </c>
      <c r="Q359" t="s">
        <v>74</v>
      </c>
      <c r="R359" t="s">
        <v>74</v>
      </c>
      <c r="S359" t="s">
        <v>74</v>
      </c>
      <c r="T359" t="s">
        <v>7320</v>
      </c>
      <c r="U359" t="s">
        <v>7321</v>
      </c>
      <c r="V359" t="s">
        <v>7322</v>
      </c>
      <c r="W359" t="s">
        <v>7323</v>
      </c>
      <c r="X359" t="s">
        <v>7324</v>
      </c>
      <c r="Y359" t="s">
        <v>7325</v>
      </c>
      <c r="Z359" t="s">
        <v>7326</v>
      </c>
      <c r="AA359" t="s">
        <v>7327</v>
      </c>
      <c r="AB359" t="s">
        <v>7328</v>
      </c>
      <c r="AC359" t="s">
        <v>7329</v>
      </c>
      <c r="AD359" t="s">
        <v>7330</v>
      </c>
      <c r="AE359" t="s">
        <v>7331</v>
      </c>
      <c r="AF359" t="s">
        <v>74</v>
      </c>
      <c r="AG359">
        <v>43</v>
      </c>
      <c r="AH359">
        <v>10</v>
      </c>
      <c r="AI359">
        <v>11</v>
      </c>
      <c r="AJ359">
        <v>2</v>
      </c>
      <c r="AK359">
        <v>11</v>
      </c>
      <c r="AL359" t="s">
        <v>868</v>
      </c>
      <c r="AM359" t="s">
        <v>869</v>
      </c>
      <c r="AN359" t="s">
        <v>870</v>
      </c>
      <c r="AO359" t="s">
        <v>74</v>
      </c>
      <c r="AP359" t="s">
        <v>7332</v>
      </c>
      <c r="AQ359" t="s">
        <v>74</v>
      </c>
      <c r="AR359" t="s">
        <v>7333</v>
      </c>
      <c r="AS359" t="s">
        <v>7334</v>
      </c>
      <c r="AT359" t="s">
        <v>7205</v>
      </c>
      <c r="AU359">
        <v>2019</v>
      </c>
      <c r="AV359">
        <v>7</v>
      </c>
      <c r="AW359" t="s">
        <v>74</v>
      </c>
      <c r="AX359" t="s">
        <v>74</v>
      </c>
      <c r="AY359" t="s">
        <v>74</v>
      </c>
      <c r="AZ359" t="s">
        <v>74</v>
      </c>
      <c r="BA359" t="s">
        <v>74</v>
      </c>
      <c r="BB359" t="s">
        <v>74</v>
      </c>
      <c r="BC359" t="s">
        <v>74</v>
      </c>
      <c r="BD359">
        <v>183</v>
      </c>
      <c r="BE359" t="s">
        <v>7335</v>
      </c>
      <c r="BF359" t="str">
        <f>HYPERLINK("http://dx.doi.org/10.3389/feart.2019.00183","http://dx.doi.org/10.3389/feart.2019.00183")</f>
        <v>http://dx.doi.org/10.3389/feart.2019.00183</v>
      </c>
      <c r="BG359" t="s">
        <v>74</v>
      </c>
      <c r="BH359" t="s">
        <v>74</v>
      </c>
      <c r="BI359">
        <v>12</v>
      </c>
      <c r="BJ359" t="s">
        <v>471</v>
      </c>
      <c r="BK359" t="s">
        <v>101</v>
      </c>
      <c r="BL359" t="s">
        <v>472</v>
      </c>
      <c r="BM359" t="s">
        <v>7336</v>
      </c>
      <c r="BN359" t="s">
        <v>74</v>
      </c>
      <c r="BO359" t="s">
        <v>366</v>
      </c>
      <c r="BP359" t="s">
        <v>74</v>
      </c>
      <c r="BQ359" t="s">
        <v>74</v>
      </c>
      <c r="BR359" t="s">
        <v>103</v>
      </c>
      <c r="BS359" t="s">
        <v>7337</v>
      </c>
      <c r="BT359" t="str">
        <f>HYPERLINK("https%3A%2F%2Fwww.webofscience.com%2Fwos%2Fwoscc%2Ffull-record%2FWOS:000475975500001","View Full Record in Web of Science")</f>
        <v>View Full Record in Web of Science</v>
      </c>
    </row>
    <row r="360" spans="1:72" x14ac:dyDescent="0.15">
      <c r="A360" t="s">
        <v>72</v>
      </c>
      <c r="B360" t="s">
        <v>7338</v>
      </c>
      <c r="C360" t="s">
        <v>74</v>
      </c>
      <c r="D360" t="s">
        <v>74</v>
      </c>
      <c r="E360" t="s">
        <v>74</v>
      </c>
      <c r="F360" t="s">
        <v>7339</v>
      </c>
      <c r="G360" t="s">
        <v>74</v>
      </c>
      <c r="H360" t="s">
        <v>74</v>
      </c>
      <c r="I360" t="s">
        <v>7340</v>
      </c>
      <c r="J360" t="s">
        <v>7319</v>
      </c>
      <c r="K360" t="s">
        <v>74</v>
      </c>
      <c r="L360" t="s">
        <v>74</v>
      </c>
      <c r="M360" t="s">
        <v>78</v>
      </c>
      <c r="N360" t="s">
        <v>108</v>
      </c>
      <c r="O360" t="s">
        <v>74</v>
      </c>
      <c r="P360" t="s">
        <v>74</v>
      </c>
      <c r="Q360" t="s">
        <v>74</v>
      </c>
      <c r="R360" t="s">
        <v>74</v>
      </c>
      <c r="S360" t="s">
        <v>74</v>
      </c>
      <c r="T360" t="s">
        <v>7341</v>
      </c>
      <c r="U360" t="s">
        <v>7342</v>
      </c>
      <c r="V360" t="s">
        <v>7343</v>
      </c>
      <c r="W360" t="s">
        <v>7344</v>
      </c>
      <c r="X360" t="s">
        <v>7345</v>
      </c>
      <c r="Y360" t="s">
        <v>7346</v>
      </c>
      <c r="Z360" t="s">
        <v>7112</v>
      </c>
      <c r="AA360" t="s">
        <v>7347</v>
      </c>
      <c r="AB360" t="s">
        <v>7348</v>
      </c>
      <c r="AC360" t="s">
        <v>7349</v>
      </c>
      <c r="AD360" t="s">
        <v>7350</v>
      </c>
      <c r="AE360" t="s">
        <v>7351</v>
      </c>
      <c r="AF360" t="s">
        <v>74</v>
      </c>
      <c r="AG360">
        <v>95</v>
      </c>
      <c r="AH360">
        <v>26</v>
      </c>
      <c r="AI360">
        <v>29</v>
      </c>
      <c r="AJ360">
        <v>0</v>
      </c>
      <c r="AK360">
        <v>11</v>
      </c>
      <c r="AL360" t="s">
        <v>868</v>
      </c>
      <c r="AM360" t="s">
        <v>869</v>
      </c>
      <c r="AN360" t="s">
        <v>870</v>
      </c>
      <c r="AO360" t="s">
        <v>74</v>
      </c>
      <c r="AP360" t="s">
        <v>7332</v>
      </c>
      <c r="AQ360" t="s">
        <v>74</v>
      </c>
      <c r="AR360" t="s">
        <v>7333</v>
      </c>
      <c r="AS360" t="s">
        <v>7334</v>
      </c>
      <c r="AT360" t="s">
        <v>7205</v>
      </c>
      <c r="AU360">
        <v>2019</v>
      </c>
      <c r="AV360">
        <v>7</v>
      </c>
      <c r="AW360" t="s">
        <v>74</v>
      </c>
      <c r="AX360" t="s">
        <v>74</v>
      </c>
      <c r="AY360" t="s">
        <v>74</v>
      </c>
      <c r="AZ360" t="s">
        <v>74</v>
      </c>
      <c r="BA360" t="s">
        <v>74</v>
      </c>
      <c r="BB360" t="s">
        <v>74</v>
      </c>
      <c r="BC360" t="s">
        <v>74</v>
      </c>
      <c r="BD360">
        <v>177</v>
      </c>
      <c r="BE360" t="s">
        <v>7352</v>
      </c>
      <c r="BF360" t="str">
        <f>HYPERLINK("http://dx.doi.org/10.3389/feart.2019.00177","http://dx.doi.org/10.3389/feart.2019.00177")</f>
        <v>http://dx.doi.org/10.3389/feart.2019.00177</v>
      </c>
      <c r="BG360" t="s">
        <v>74</v>
      </c>
      <c r="BH360" t="s">
        <v>74</v>
      </c>
      <c r="BI360">
        <v>18</v>
      </c>
      <c r="BJ360" t="s">
        <v>471</v>
      </c>
      <c r="BK360" t="s">
        <v>101</v>
      </c>
      <c r="BL360" t="s">
        <v>472</v>
      </c>
      <c r="BM360" t="s">
        <v>7353</v>
      </c>
      <c r="BN360" t="s">
        <v>74</v>
      </c>
      <c r="BO360" t="s">
        <v>4818</v>
      </c>
      <c r="BP360" t="s">
        <v>74</v>
      </c>
      <c r="BQ360" t="s">
        <v>74</v>
      </c>
      <c r="BR360" t="s">
        <v>103</v>
      </c>
      <c r="BS360" t="s">
        <v>7354</v>
      </c>
      <c r="BT360" t="str">
        <f>HYPERLINK("https%3A%2F%2Fwww.webofscience.com%2Fwos%2Fwoscc%2Ffull-record%2FWOS:000475974900001","View Full Record in Web of Science")</f>
        <v>View Full Record in Web of Science</v>
      </c>
    </row>
    <row r="361" spans="1:72" x14ac:dyDescent="0.15">
      <c r="A361" t="s">
        <v>72</v>
      </c>
      <c r="B361" t="s">
        <v>7355</v>
      </c>
      <c r="C361" t="s">
        <v>74</v>
      </c>
      <c r="D361" t="s">
        <v>74</v>
      </c>
      <c r="E361" t="s">
        <v>74</v>
      </c>
      <c r="F361" t="s">
        <v>7356</v>
      </c>
      <c r="G361" t="s">
        <v>74</v>
      </c>
      <c r="H361" t="s">
        <v>74</v>
      </c>
      <c r="I361" t="s">
        <v>7357</v>
      </c>
      <c r="J361" t="s">
        <v>855</v>
      </c>
      <c r="K361" t="s">
        <v>74</v>
      </c>
      <c r="L361" t="s">
        <v>74</v>
      </c>
      <c r="M361" t="s">
        <v>78</v>
      </c>
      <c r="N361" t="s">
        <v>108</v>
      </c>
      <c r="O361" t="s">
        <v>74</v>
      </c>
      <c r="P361" t="s">
        <v>74</v>
      </c>
      <c r="Q361" t="s">
        <v>74</v>
      </c>
      <c r="R361" t="s">
        <v>74</v>
      </c>
      <c r="S361" t="s">
        <v>74</v>
      </c>
      <c r="T361" t="s">
        <v>7358</v>
      </c>
      <c r="U361" t="s">
        <v>7359</v>
      </c>
      <c r="V361" t="s">
        <v>7360</v>
      </c>
      <c r="W361" t="s">
        <v>7361</v>
      </c>
      <c r="X361" t="s">
        <v>7362</v>
      </c>
      <c r="Y361" t="s">
        <v>7363</v>
      </c>
      <c r="Z361" t="s">
        <v>7364</v>
      </c>
      <c r="AA361" t="s">
        <v>7365</v>
      </c>
      <c r="AB361" t="s">
        <v>7366</v>
      </c>
      <c r="AC361" t="s">
        <v>7367</v>
      </c>
      <c r="AD361" t="s">
        <v>7368</v>
      </c>
      <c r="AE361" t="s">
        <v>7369</v>
      </c>
      <c r="AF361" t="s">
        <v>74</v>
      </c>
      <c r="AG361">
        <v>82</v>
      </c>
      <c r="AH361">
        <v>10</v>
      </c>
      <c r="AI361">
        <v>10</v>
      </c>
      <c r="AJ361">
        <v>1</v>
      </c>
      <c r="AK361">
        <v>12</v>
      </c>
      <c r="AL361" t="s">
        <v>868</v>
      </c>
      <c r="AM361" t="s">
        <v>869</v>
      </c>
      <c r="AN361" t="s">
        <v>870</v>
      </c>
      <c r="AO361" t="s">
        <v>74</v>
      </c>
      <c r="AP361" t="s">
        <v>871</v>
      </c>
      <c r="AQ361" t="s">
        <v>74</v>
      </c>
      <c r="AR361" t="s">
        <v>872</v>
      </c>
      <c r="AS361" t="s">
        <v>873</v>
      </c>
      <c r="AT361" t="s">
        <v>7205</v>
      </c>
      <c r="AU361">
        <v>2019</v>
      </c>
      <c r="AV361">
        <v>6</v>
      </c>
      <c r="AW361" t="s">
        <v>74</v>
      </c>
      <c r="AX361" t="s">
        <v>74</v>
      </c>
      <c r="AY361" t="s">
        <v>74</v>
      </c>
      <c r="AZ361" t="s">
        <v>74</v>
      </c>
      <c r="BA361" t="s">
        <v>74</v>
      </c>
      <c r="BB361" t="s">
        <v>74</v>
      </c>
      <c r="BC361" t="s">
        <v>74</v>
      </c>
      <c r="BD361">
        <v>381</v>
      </c>
      <c r="BE361" t="s">
        <v>7370</v>
      </c>
      <c r="BF361" t="str">
        <f>HYPERLINK("http://dx.doi.org/10.3389/fmars.2019.00381","http://dx.doi.org/10.3389/fmars.2019.00381")</f>
        <v>http://dx.doi.org/10.3389/fmars.2019.00381</v>
      </c>
      <c r="BG361" t="s">
        <v>74</v>
      </c>
      <c r="BH361" t="s">
        <v>74</v>
      </c>
      <c r="BI361">
        <v>20</v>
      </c>
      <c r="BJ361" t="s">
        <v>876</v>
      </c>
      <c r="BK361" t="s">
        <v>101</v>
      </c>
      <c r="BL361" t="s">
        <v>877</v>
      </c>
      <c r="BM361" t="s">
        <v>7371</v>
      </c>
      <c r="BN361" t="s">
        <v>74</v>
      </c>
      <c r="BO361" t="s">
        <v>6545</v>
      </c>
      <c r="BP361" t="s">
        <v>74</v>
      </c>
      <c r="BQ361" t="s">
        <v>74</v>
      </c>
      <c r="BR361" t="s">
        <v>103</v>
      </c>
      <c r="BS361" t="s">
        <v>7372</v>
      </c>
      <c r="BT361" t="str">
        <f>HYPERLINK("https%3A%2F%2Fwww.webofscience.com%2Fwos%2Fwoscc%2Ffull-record%2FWOS:000475989100001","View Full Record in Web of Science")</f>
        <v>View Full Record in Web of Science</v>
      </c>
    </row>
    <row r="362" spans="1:72" x14ac:dyDescent="0.15">
      <c r="A362" t="s">
        <v>72</v>
      </c>
      <c r="B362" t="s">
        <v>7373</v>
      </c>
      <c r="C362" t="s">
        <v>74</v>
      </c>
      <c r="D362" t="s">
        <v>74</v>
      </c>
      <c r="E362" t="s">
        <v>74</v>
      </c>
      <c r="F362" t="s">
        <v>7374</v>
      </c>
      <c r="G362" t="s">
        <v>74</v>
      </c>
      <c r="H362" t="s">
        <v>74</v>
      </c>
      <c r="I362" t="s">
        <v>7375</v>
      </c>
      <c r="J362" t="s">
        <v>7376</v>
      </c>
      <c r="K362" t="s">
        <v>74</v>
      </c>
      <c r="L362" t="s">
        <v>74</v>
      </c>
      <c r="M362" t="s">
        <v>78</v>
      </c>
      <c r="N362" t="s">
        <v>108</v>
      </c>
      <c r="O362" t="s">
        <v>74</v>
      </c>
      <c r="P362" t="s">
        <v>74</v>
      </c>
      <c r="Q362" t="s">
        <v>74</v>
      </c>
      <c r="R362" t="s">
        <v>74</v>
      </c>
      <c r="S362" t="s">
        <v>74</v>
      </c>
      <c r="T362" t="s">
        <v>74</v>
      </c>
      <c r="U362" t="s">
        <v>7377</v>
      </c>
      <c r="V362" t="s">
        <v>74</v>
      </c>
      <c r="W362" t="s">
        <v>7378</v>
      </c>
      <c r="X362" t="s">
        <v>7379</v>
      </c>
      <c r="Y362" t="s">
        <v>7380</v>
      </c>
      <c r="Z362" t="s">
        <v>7381</v>
      </c>
      <c r="AA362" t="s">
        <v>7382</v>
      </c>
      <c r="AB362" t="s">
        <v>7383</v>
      </c>
      <c r="AC362" t="s">
        <v>7384</v>
      </c>
      <c r="AD362" t="s">
        <v>7385</v>
      </c>
      <c r="AE362" t="s">
        <v>7386</v>
      </c>
      <c r="AF362" t="s">
        <v>74</v>
      </c>
      <c r="AG362">
        <v>45</v>
      </c>
      <c r="AH362">
        <v>0</v>
      </c>
      <c r="AI362">
        <v>0</v>
      </c>
      <c r="AJ362">
        <v>0</v>
      </c>
      <c r="AK362">
        <v>10</v>
      </c>
      <c r="AL362" t="s">
        <v>1140</v>
      </c>
      <c r="AM362" t="s">
        <v>1141</v>
      </c>
      <c r="AN362" t="s">
        <v>1142</v>
      </c>
      <c r="AO362" t="s">
        <v>7387</v>
      </c>
      <c r="AP362" t="s">
        <v>7388</v>
      </c>
      <c r="AQ362" t="s">
        <v>74</v>
      </c>
      <c r="AR362" t="s">
        <v>7389</v>
      </c>
      <c r="AS362" t="s">
        <v>7390</v>
      </c>
      <c r="AT362" t="s">
        <v>1439</v>
      </c>
      <c r="AU362">
        <v>2020</v>
      </c>
      <c r="AV362">
        <v>36</v>
      </c>
      <c r="AW362">
        <v>1</v>
      </c>
      <c r="AX362" t="s">
        <v>74</v>
      </c>
      <c r="AY362" t="s">
        <v>74</v>
      </c>
      <c r="AZ362" t="s">
        <v>74</v>
      </c>
      <c r="BA362" t="s">
        <v>74</v>
      </c>
      <c r="BB362">
        <v>315</v>
      </c>
      <c r="BC362">
        <v>323</v>
      </c>
      <c r="BD362" t="s">
        <v>74</v>
      </c>
      <c r="BE362" t="s">
        <v>7391</v>
      </c>
      <c r="BF362" t="str">
        <f>HYPERLINK("http://dx.doi.org/10.1111/mms.12635","http://dx.doi.org/10.1111/mms.12635")</f>
        <v>http://dx.doi.org/10.1111/mms.12635</v>
      </c>
      <c r="BG362" t="s">
        <v>74</v>
      </c>
      <c r="BH362" t="s">
        <v>6119</v>
      </c>
      <c r="BI362">
        <v>9</v>
      </c>
      <c r="BJ362" t="s">
        <v>3091</v>
      </c>
      <c r="BK362" t="s">
        <v>101</v>
      </c>
      <c r="BL362" t="s">
        <v>3091</v>
      </c>
      <c r="BM362" t="s">
        <v>7392</v>
      </c>
      <c r="BN362" t="s">
        <v>74</v>
      </c>
      <c r="BO362" t="s">
        <v>1308</v>
      </c>
      <c r="BP362" t="s">
        <v>74</v>
      </c>
      <c r="BQ362" t="s">
        <v>74</v>
      </c>
      <c r="BR362" t="s">
        <v>103</v>
      </c>
      <c r="BS362" t="s">
        <v>7393</v>
      </c>
      <c r="BT362" t="str">
        <f>HYPERLINK("https%3A%2F%2Fwww.webofscience.com%2Fwos%2Fwoscc%2Ffull-record%2FWOS:000476019400001","View Full Record in Web of Science")</f>
        <v>View Full Record in Web of Science</v>
      </c>
    </row>
    <row r="363" spans="1:72" x14ac:dyDescent="0.15">
      <c r="A363" t="s">
        <v>72</v>
      </c>
      <c r="B363" t="s">
        <v>7394</v>
      </c>
      <c r="C363" t="s">
        <v>74</v>
      </c>
      <c r="D363" t="s">
        <v>74</v>
      </c>
      <c r="E363" t="s">
        <v>74</v>
      </c>
      <c r="F363" t="s">
        <v>7395</v>
      </c>
      <c r="G363" t="s">
        <v>74</v>
      </c>
      <c r="H363" t="s">
        <v>74</v>
      </c>
      <c r="I363" t="s">
        <v>7396</v>
      </c>
      <c r="J363" t="s">
        <v>1060</v>
      </c>
      <c r="K363" t="s">
        <v>74</v>
      </c>
      <c r="L363" t="s">
        <v>74</v>
      </c>
      <c r="M363" t="s">
        <v>78</v>
      </c>
      <c r="N363" t="s">
        <v>108</v>
      </c>
      <c r="O363" t="s">
        <v>74</v>
      </c>
      <c r="P363" t="s">
        <v>74</v>
      </c>
      <c r="Q363" t="s">
        <v>74</v>
      </c>
      <c r="R363" t="s">
        <v>74</v>
      </c>
      <c r="S363" t="s">
        <v>74</v>
      </c>
      <c r="T363" t="s">
        <v>74</v>
      </c>
      <c r="U363" t="s">
        <v>7397</v>
      </c>
      <c r="V363" t="s">
        <v>7398</v>
      </c>
      <c r="W363" t="s">
        <v>7399</v>
      </c>
      <c r="X363" t="s">
        <v>7400</v>
      </c>
      <c r="Y363" t="s">
        <v>7401</v>
      </c>
      <c r="Z363" t="s">
        <v>7402</v>
      </c>
      <c r="AA363" t="s">
        <v>7403</v>
      </c>
      <c r="AB363" t="s">
        <v>7404</v>
      </c>
      <c r="AC363" t="s">
        <v>7405</v>
      </c>
      <c r="AD363" t="s">
        <v>7406</v>
      </c>
      <c r="AE363" t="s">
        <v>7407</v>
      </c>
      <c r="AF363" t="s">
        <v>74</v>
      </c>
      <c r="AG363">
        <v>51</v>
      </c>
      <c r="AH363">
        <v>8</v>
      </c>
      <c r="AI363">
        <v>8</v>
      </c>
      <c r="AJ363">
        <v>0</v>
      </c>
      <c r="AK363">
        <v>12</v>
      </c>
      <c r="AL363" t="s">
        <v>839</v>
      </c>
      <c r="AM363" t="s">
        <v>840</v>
      </c>
      <c r="AN363" t="s">
        <v>841</v>
      </c>
      <c r="AO363" t="s">
        <v>1072</v>
      </c>
      <c r="AP363" t="s">
        <v>74</v>
      </c>
      <c r="AQ363" t="s">
        <v>74</v>
      </c>
      <c r="AR363" t="s">
        <v>1074</v>
      </c>
      <c r="AS363" t="s">
        <v>1075</v>
      </c>
      <c r="AT363" t="s">
        <v>7205</v>
      </c>
      <c r="AU363">
        <v>2019</v>
      </c>
      <c r="AV363">
        <v>15</v>
      </c>
      <c r="AW363">
        <v>4</v>
      </c>
      <c r="AX363" t="s">
        <v>74</v>
      </c>
      <c r="AY363" t="s">
        <v>74</v>
      </c>
      <c r="AZ363" t="s">
        <v>74</v>
      </c>
      <c r="BA363" t="s">
        <v>74</v>
      </c>
      <c r="BB363">
        <v>925</v>
      </c>
      <c r="BC363">
        <v>940</v>
      </c>
      <c r="BD363" t="s">
        <v>74</v>
      </c>
      <c r="BE363" t="s">
        <v>7408</v>
      </c>
      <c r="BF363" t="str">
        <f>HYPERLINK("http://dx.doi.org/10.5194/os-15-925-2019","http://dx.doi.org/10.5194/os-15-925-2019")</f>
        <v>http://dx.doi.org/10.5194/os-15-925-2019</v>
      </c>
      <c r="BG363" t="s">
        <v>74</v>
      </c>
      <c r="BH363" t="s">
        <v>74</v>
      </c>
      <c r="BI363">
        <v>16</v>
      </c>
      <c r="BJ363" t="s">
        <v>1077</v>
      </c>
      <c r="BK363" t="s">
        <v>101</v>
      </c>
      <c r="BL363" t="s">
        <v>1077</v>
      </c>
      <c r="BM363" t="s">
        <v>7409</v>
      </c>
      <c r="BN363" t="s">
        <v>74</v>
      </c>
      <c r="BO363" t="s">
        <v>850</v>
      </c>
      <c r="BP363" t="s">
        <v>74</v>
      </c>
      <c r="BQ363" t="s">
        <v>74</v>
      </c>
      <c r="BR363" t="s">
        <v>103</v>
      </c>
      <c r="BS363" t="s">
        <v>7410</v>
      </c>
      <c r="BT363" t="str">
        <f>HYPERLINK("https%3A%2F%2Fwww.webofscience.com%2Fwos%2Fwoscc%2Ffull-record%2FWOS:000475622800002","View Full Record in Web of Science")</f>
        <v>View Full Record in Web of Science</v>
      </c>
    </row>
    <row r="364" spans="1:72" x14ac:dyDescent="0.15">
      <c r="A364" t="s">
        <v>72</v>
      </c>
      <c r="B364" t="s">
        <v>7411</v>
      </c>
      <c r="C364" t="s">
        <v>74</v>
      </c>
      <c r="D364" t="s">
        <v>74</v>
      </c>
      <c r="E364" t="s">
        <v>74</v>
      </c>
      <c r="F364" t="s">
        <v>7412</v>
      </c>
      <c r="G364" t="s">
        <v>74</v>
      </c>
      <c r="H364" t="s">
        <v>74</v>
      </c>
      <c r="I364" t="s">
        <v>7413</v>
      </c>
      <c r="J364" t="s">
        <v>6605</v>
      </c>
      <c r="K364" t="s">
        <v>74</v>
      </c>
      <c r="L364" t="s">
        <v>74</v>
      </c>
      <c r="M364" t="s">
        <v>78</v>
      </c>
      <c r="N364" t="s">
        <v>108</v>
      </c>
      <c r="O364" t="s">
        <v>74</v>
      </c>
      <c r="P364" t="s">
        <v>74</v>
      </c>
      <c r="Q364" t="s">
        <v>74</v>
      </c>
      <c r="R364" t="s">
        <v>74</v>
      </c>
      <c r="S364" t="s">
        <v>74</v>
      </c>
      <c r="T364" t="s">
        <v>7414</v>
      </c>
      <c r="U364" t="s">
        <v>7415</v>
      </c>
      <c r="V364" t="s">
        <v>7416</v>
      </c>
      <c r="W364" t="s">
        <v>7417</v>
      </c>
      <c r="X364" t="s">
        <v>7418</v>
      </c>
      <c r="Y364" t="s">
        <v>7419</v>
      </c>
      <c r="Z364" t="s">
        <v>7420</v>
      </c>
      <c r="AA364" t="s">
        <v>7421</v>
      </c>
      <c r="AB364" t="s">
        <v>7422</v>
      </c>
      <c r="AC364" t="s">
        <v>7423</v>
      </c>
      <c r="AD364" t="s">
        <v>7424</v>
      </c>
      <c r="AE364" t="s">
        <v>7425</v>
      </c>
      <c r="AF364" t="s">
        <v>74</v>
      </c>
      <c r="AG364">
        <v>65</v>
      </c>
      <c r="AH364">
        <v>74</v>
      </c>
      <c r="AI364">
        <v>80</v>
      </c>
      <c r="AJ364">
        <v>2</v>
      </c>
      <c r="AK364">
        <v>37</v>
      </c>
      <c r="AL364" t="s">
        <v>6618</v>
      </c>
      <c r="AM364" t="s">
        <v>183</v>
      </c>
      <c r="AN364" t="s">
        <v>6619</v>
      </c>
      <c r="AO364" t="s">
        <v>6620</v>
      </c>
      <c r="AP364" t="s">
        <v>6621</v>
      </c>
      <c r="AQ364" t="s">
        <v>74</v>
      </c>
      <c r="AR364" t="s">
        <v>6622</v>
      </c>
      <c r="AS364" t="s">
        <v>6623</v>
      </c>
      <c r="AT364" t="s">
        <v>7205</v>
      </c>
      <c r="AU364">
        <v>2019</v>
      </c>
      <c r="AV364">
        <v>116</v>
      </c>
      <c r="AW364">
        <v>29</v>
      </c>
      <c r="AX364" t="s">
        <v>74</v>
      </c>
      <c r="AY364" t="s">
        <v>74</v>
      </c>
      <c r="AZ364" t="s">
        <v>74</v>
      </c>
      <c r="BA364" t="s">
        <v>74</v>
      </c>
      <c r="BB364">
        <v>14661</v>
      </c>
      <c r="BC364">
        <v>14670</v>
      </c>
      <c r="BD364" t="s">
        <v>74</v>
      </c>
      <c r="BE364" t="s">
        <v>7426</v>
      </c>
      <c r="BF364" t="str">
        <f>HYPERLINK("http://dx.doi.org/10.1073/pnas.1905179116","http://dx.doi.org/10.1073/pnas.1905179116")</f>
        <v>http://dx.doi.org/10.1073/pnas.1905179116</v>
      </c>
      <c r="BG364" t="s">
        <v>74</v>
      </c>
      <c r="BH364" t="s">
        <v>74</v>
      </c>
      <c r="BI364">
        <v>10</v>
      </c>
      <c r="BJ364" t="s">
        <v>1004</v>
      </c>
      <c r="BK364" t="s">
        <v>101</v>
      </c>
      <c r="BL364" t="s">
        <v>1005</v>
      </c>
      <c r="BM364" t="s">
        <v>7427</v>
      </c>
      <c r="BN364">
        <v>31253704</v>
      </c>
      <c r="BO364" t="s">
        <v>7428</v>
      </c>
      <c r="BP364" t="s">
        <v>74</v>
      </c>
      <c r="BQ364" t="s">
        <v>74</v>
      </c>
      <c r="BR364" t="s">
        <v>103</v>
      </c>
      <c r="BS364" t="s">
        <v>7429</v>
      </c>
      <c r="BT364" t="str">
        <f>HYPERLINK("https%3A%2F%2Fwww.webofscience.com%2Fwos%2Fwoscc%2Ffull-record%2FWOS:000475610000042","View Full Record in Web of Science")</f>
        <v>View Full Record in Web of Science</v>
      </c>
    </row>
    <row r="365" spans="1:72" x14ac:dyDescent="0.15">
      <c r="A365" t="s">
        <v>72</v>
      </c>
      <c r="B365" t="s">
        <v>7430</v>
      </c>
      <c r="C365" t="s">
        <v>74</v>
      </c>
      <c r="D365" t="s">
        <v>74</v>
      </c>
      <c r="E365" t="s">
        <v>74</v>
      </c>
      <c r="F365" t="s">
        <v>7431</v>
      </c>
      <c r="G365" t="s">
        <v>74</v>
      </c>
      <c r="H365" t="s">
        <v>74</v>
      </c>
      <c r="I365" t="s">
        <v>7432</v>
      </c>
      <c r="J365" t="s">
        <v>7433</v>
      </c>
      <c r="K365" t="s">
        <v>74</v>
      </c>
      <c r="L365" t="s">
        <v>74</v>
      </c>
      <c r="M365" t="s">
        <v>78</v>
      </c>
      <c r="N365" t="s">
        <v>108</v>
      </c>
      <c r="O365" t="s">
        <v>74</v>
      </c>
      <c r="P365" t="s">
        <v>74</v>
      </c>
      <c r="Q365" t="s">
        <v>74</v>
      </c>
      <c r="R365" t="s">
        <v>74</v>
      </c>
      <c r="S365" t="s">
        <v>74</v>
      </c>
      <c r="T365" t="s">
        <v>7434</v>
      </c>
      <c r="U365" t="s">
        <v>7435</v>
      </c>
      <c r="V365" t="s">
        <v>7436</v>
      </c>
      <c r="W365" t="s">
        <v>7437</v>
      </c>
      <c r="X365" t="s">
        <v>7438</v>
      </c>
      <c r="Y365" t="s">
        <v>7439</v>
      </c>
      <c r="Z365" t="s">
        <v>7440</v>
      </c>
      <c r="AA365" t="s">
        <v>7441</v>
      </c>
      <c r="AB365" t="s">
        <v>7442</v>
      </c>
      <c r="AC365" t="s">
        <v>7443</v>
      </c>
      <c r="AD365" t="s">
        <v>7444</v>
      </c>
      <c r="AE365" t="s">
        <v>7445</v>
      </c>
      <c r="AF365" t="s">
        <v>74</v>
      </c>
      <c r="AG365">
        <v>97</v>
      </c>
      <c r="AH365">
        <v>85</v>
      </c>
      <c r="AI365">
        <v>90</v>
      </c>
      <c r="AJ365">
        <v>3</v>
      </c>
      <c r="AK365">
        <v>32</v>
      </c>
      <c r="AL365" t="s">
        <v>1140</v>
      </c>
      <c r="AM365" t="s">
        <v>1141</v>
      </c>
      <c r="AN365" t="s">
        <v>1142</v>
      </c>
      <c r="AO365" t="s">
        <v>7446</v>
      </c>
      <c r="AP365" t="s">
        <v>7447</v>
      </c>
      <c r="AQ365" t="s">
        <v>74</v>
      </c>
      <c r="AR365" t="s">
        <v>7448</v>
      </c>
      <c r="AS365" t="s">
        <v>7449</v>
      </c>
      <c r="AT365" t="s">
        <v>98</v>
      </c>
      <c r="AU365">
        <v>2019</v>
      </c>
      <c r="AV365">
        <v>29</v>
      </c>
      <c r="AW365">
        <v>6</v>
      </c>
      <c r="AX365" t="s">
        <v>74</v>
      </c>
      <c r="AY365" t="s">
        <v>74</v>
      </c>
      <c r="AZ365" t="s">
        <v>74</v>
      </c>
      <c r="BA365" t="s">
        <v>74</v>
      </c>
      <c r="BB365" t="s">
        <v>74</v>
      </c>
      <c r="BC365" t="s">
        <v>74</v>
      </c>
      <c r="BD365" t="s">
        <v>7450</v>
      </c>
      <c r="BE365" t="s">
        <v>7451</v>
      </c>
      <c r="BF365" t="str">
        <f>HYPERLINK("http://dx.doi.org/10.1002/eap.1947","http://dx.doi.org/10.1002/eap.1947")</f>
        <v>http://dx.doi.org/10.1002/eap.1947</v>
      </c>
      <c r="BG365" t="s">
        <v>74</v>
      </c>
      <c r="BH365" t="s">
        <v>6119</v>
      </c>
      <c r="BI365">
        <v>17</v>
      </c>
      <c r="BJ365" t="s">
        <v>7452</v>
      </c>
      <c r="BK365" t="s">
        <v>101</v>
      </c>
      <c r="BL365" t="s">
        <v>799</v>
      </c>
      <c r="BM365" t="s">
        <v>7453</v>
      </c>
      <c r="BN365">
        <v>31183944</v>
      </c>
      <c r="BO365" t="s">
        <v>621</v>
      </c>
      <c r="BP365" t="s">
        <v>74</v>
      </c>
      <c r="BQ365" t="s">
        <v>74</v>
      </c>
      <c r="BR365" t="s">
        <v>103</v>
      </c>
      <c r="BS365" t="s">
        <v>7454</v>
      </c>
      <c r="BT365" t="str">
        <f>HYPERLINK("https%3A%2F%2Fwww.webofscience.com%2Fwos%2Fwoscc%2Ffull-record%2FWOS:000476090300001","View Full Record in Web of Science")</f>
        <v>View Full Record in Web of Science</v>
      </c>
    </row>
    <row r="366" spans="1:72" x14ac:dyDescent="0.15">
      <c r="A366" t="s">
        <v>72</v>
      </c>
      <c r="B366" t="s">
        <v>7455</v>
      </c>
      <c r="C366" t="s">
        <v>74</v>
      </c>
      <c r="D366" t="s">
        <v>74</v>
      </c>
      <c r="E366" t="s">
        <v>74</v>
      </c>
      <c r="F366" t="s">
        <v>7456</v>
      </c>
      <c r="G366" t="s">
        <v>74</v>
      </c>
      <c r="H366" t="s">
        <v>74</v>
      </c>
      <c r="I366" t="s">
        <v>7457</v>
      </c>
      <c r="J366" t="s">
        <v>884</v>
      </c>
      <c r="K366" t="s">
        <v>74</v>
      </c>
      <c r="L366" t="s">
        <v>74</v>
      </c>
      <c r="M366" t="s">
        <v>78</v>
      </c>
      <c r="N366" t="s">
        <v>108</v>
      </c>
      <c r="O366" t="s">
        <v>74</v>
      </c>
      <c r="P366" t="s">
        <v>74</v>
      </c>
      <c r="Q366" t="s">
        <v>74</v>
      </c>
      <c r="R366" t="s">
        <v>74</v>
      </c>
      <c r="S366" t="s">
        <v>74</v>
      </c>
      <c r="T366" t="s">
        <v>74</v>
      </c>
      <c r="U366" t="s">
        <v>7458</v>
      </c>
      <c r="V366" t="s">
        <v>7459</v>
      </c>
      <c r="W366" t="s">
        <v>7460</v>
      </c>
      <c r="X366" t="s">
        <v>7461</v>
      </c>
      <c r="Y366" t="s">
        <v>7462</v>
      </c>
      <c r="Z366" t="s">
        <v>7463</v>
      </c>
      <c r="AA366" t="s">
        <v>7464</v>
      </c>
      <c r="AB366" t="s">
        <v>7465</v>
      </c>
      <c r="AC366" t="s">
        <v>7466</v>
      </c>
      <c r="AD366" t="s">
        <v>7467</v>
      </c>
      <c r="AE366" t="s">
        <v>7468</v>
      </c>
      <c r="AF366" t="s">
        <v>74</v>
      </c>
      <c r="AG366">
        <v>32</v>
      </c>
      <c r="AH366">
        <v>22</v>
      </c>
      <c r="AI366">
        <v>22</v>
      </c>
      <c r="AJ366">
        <v>0</v>
      </c>
      <c r="AK366">
        <v>5</v>
      </c>
      <c r="AL366" t="s">
        <v>182</v>
      </c>
      <c r="AM366" t="s">
        <v>183</v>
      </c>
      <c r="AN366" t="s">
        <v>184</v>
      </c>
      <c r="AO366" t="s">
        <v>896</v>
      </c>
      <c r="AP366" t="s">
        <v>897</v>
      </c>
      <c r="AQ366" t="s">
        <v>74</v>
      </c>
      <c r="AR366" t="s">
        <v>898</v>
      </c>
      <c r="AS366" t="s">
        <v>899</v>
      </c>
      <c r="AT366" t="s">
        <v>7205</v>
      </c>
      <c r="AU366">
        <v>2019</v>
      </c>
      <c r="AV366">
        <v>46</v>
      </c>
      <c r="AW366">
        <v>13</v>
      </c>
      <c r="AX366" t="s">
        <v>74</v>
      </c>
      <c r="AY366" t="s">
        <v>74</v>
      </c>
      <c r="AZ366" t="s">
        <v>74</v>
      </c>
      <c r="BA366" t="s">
        <v>74</v>
      </c>
      <c r="BB366">
        <v>7191</v>
      </c>
      <c r="BC366">
        <v>7198</v>
      </c>
      <c r="BD366" t="s">
        <v>74</v>
      </c>
      <c r="BE366" t="s">
        <v>7469</v>
      </c>
      <c r="BF366" t="str">
        <f>HYPERLINK("http://dx.doi.org/10.1029/2019GL083071","http://dx.doi.org/10.1029/2019GL083071")</f>
        <v>http://dx.doi.org/10.1029/2019GL083071</v>
      </c>
      <c r="BG366" t="s">
        <v>74</v>
      </c>
      <c r="BH366" t="s">
        <v>74</v>
      </c>
      <c r="BI366">
        <v>8</v>
      </c>
      <c r="BJ366" t="s">
        <v>471</v>
      </c>
      <c r="BK366" t="s">
        <v>101</v>
      </c>
      <c r="BL366" t="s">
        <v>472</v>
      </c>
      <c r="BM366" t="s">
        <v>7207</v>
      </c>
      <c r="BN366">
        <v>31598019</v>
      </c>
      <c r="BO366" t="s">
        <v>2337</v>
      </c>
      <c r="BP366" t="s">
        <v>74</v>
      </c>
      <c r="BQ366" t="s">
        <v>74</v>
      </c>
      <c r="BR366" t="s">
        <v>103</v>
      </c>
      <c r="BS366" t="s">
        <v>7470</v>
      </c>
      <c r="BT366" t="str">
        <f>HYPERLINK("https%3A%2F%2Fwww.webofscience.com%2Fwos%2Fwoscc%2Ffull-record%2FWOS:000476960100015","View Full Record in Web of Science")</f>
        <v>View Full Record in Web of Science</v>
      </c>
    </row>
    <row r="367" spans="1:72" x14ac:dyDescent="0.15">
      <c r="A367" t="s">
        <v>72</v>
      </c>
      <c r="B367" t="s">
        <v>7471</v>
      </c>
      <c r="C367" t="s">
        <v>74</v>
      </c>
      <c r="D367" t="s">
        <v>74</v>
      </c>
      <c r="E367" t="s">
        <v>74</v>
      </c>
      <c r="F367" t="s">
        <v>7472</v>
      </c>
      <c r="G367" t="s">
        <v>74</v>
      </c>
      <c r="H367" t="s">
        <v>74</v>
      </c>
      <c r="I367" t="s">
        <v>7473</v>
      </c>
      <c r="J367" t="s">
        <v>6605</v>
      </c>
      <c r="K367" t="s">
        <v>74</v>
      </c>
      <c r="L367" t="s">
        <v>74</v>
      </c>
      <c r="M367" t="s">
        <v>78</v>
      </c>
      <c r="N367" t="s">
        <v>108</v>
      </c>
      <c r="O367" t="s">
        <v>74</v>
      </c>
      <c r="P367" t="s">
        <v>74</v>
      </c>
      <c r="Q367" t="s">
        <v>74</v>
      </c>
      <c r="R367" t="s">
        <v>74</v>
      </c>
      <c r="S367" t="s">
        <v>74</v>
      </c>
      <c r="T367" t="s">
        <v>7474</v>
      </c>
      <c r="U367" t="s">
        <v>7475</v>
      </c>
      <c r="V367" t="s">
        <v>7476</v>
      </c>
      <c r="W367" t="s">
        <v>7477</v>
      </c>
      <c r="X367" t="s">
        <v>7478</v>
      </c>
      <c r="Y367" t="s">
        <v>7479</v>
      </c>
      <c r="Z367" t="s">
        <v>7480</v>
      </c>
      <c r="AA367" t="s">
        <v>7481</v>
      </c>
      <c r="AB367" t="s">
        <v>7482</v>
      </c>
      <c r="AC367" t="s">
        <v>7483</v>
      </c>
      <c r="AD367" t="s">
        <v>7483</v>
      </c>
      <c r="AE367" t="s">
        <v>7484</v>
      </c>
      <c r="AF367" t="s">
        <v>74</v>
      </c>
      <c r="AG367">
        <v>33</v>
      </c>
      <c r="AH367">
        <v>336</v>
      </c>
      <c r="AI367">
        <v>369</v>
      </c>
      <c r="AJ367">
        <v>6</v>
      </c>
      <c r="AK367">
        <v>78</v>
      </c>
      <c r="AL367" t="s">
        <v>6618</v>
      </c>
      <c r="AM367" t="s">
        <v>183</v>
      </c>
      <c r="AN367" t="s">
        <v>6619</v>
      </c>
      <c r="AO367" t="s">
        <v>6620</v>
      </c>
      <c r="AP367" t="s">
        <v>74</v>
      </c>
      <c r="AQ367" t="s">
        <v>74</v>
      </c>
      <c r="AR367" t="s">
        <v>6622</v>
      </c>
      <c r="AS367" t="s">
        <v>6623</v>
      </c>
      <c r="AT367" t="s">
        <v>7205</v>
      </c>
      <c r="AU367">
        <v>2019</v>
      </c>
      <c r="AV367">
        <v>116</v>
      </c>
      <c r="AW367">
        <v>29</v>
      </c>
      <c r="AX367" t="s">
        <v>74</v>
      </c>
      <c r="AY367" t="s">
        <v>74</v>
      </c>
      <c r="AZ367" t="s">
        <v>74</v>
      </c>
      <c r="BA367" t="s">
        <v>74</v>
      </c>
      <c r="BB367">
        <v>14414</v>
      </c>
      <c r="BC367">
        <v>14423</v>
      </c>
      <c r="BD367" t="s">
        <v>74</v>
      </c>
      <c r="BE367" t="s">
        <v>7485</v>
      </c>
      <c r="BF367" t="str">
        <f>HYPERLINK("http://dx.doi.org/10.1073/pnas.1906556116","http://dx.doi.org/10.1073/pnas.1906556116")</f>
        <v>http://dx.doi.org/10.1073/pnas.1906556116</v>
      </c>
      <c r="BG367" t="s">
        <v>74</v>
      </c>
      <c r="BH367" t="s">
        <v>74</v>
      </c>
      <c r="BI367">
        <v>10</v>
      </c>
      <c r="BJ367" t="s">
        <v>1004</v>
      </c>
      <c r="BK367" t="s">
        <v>101</v>
      </c>
      <c r="BL367" t="s">
        <v>1005</v>
      </c>
      <c r="BM367" t="s">
        <v>7427</v>
      </c>
      <c r="BN367">
        <v>31262810</v>
      </c>
      <c r="BO367" t="s">
        <v>595</v>
      </c>
      <c r="BP367" t="s">
        <v>1784</v>
      </c>
      <c r="BQ367" t="s">
        <v>1785</v>
      </c>
      <c r="BR367" t="s">
        <v>103</v>
      </c>
      <c r="BS367" t="s">
        <v>7486</v>
      </c>
      <c r="BT367" t="str">
        <f>HYPERLINK("https%3A%2F%2Fwww.webofscience.com%2Fwos%2Fwoscc%2Ffull-record%2FWOS:000475610000010","View Full Record in Web of Science")</f>
        <v>View Full Record in Web of Science</v>
      </c>
    </row>
    <row r="368" spans="1:72" x14ac:dyDescent="0.15">
      <c r="A368" t="s">
        <v>72</v>
      </c>
      <c r="B368" t="s">
        <v>7487</v>
      </c>
      <c r="C368" t="s">
        <v>74</v>
      </c>
      <c r="D368" t="s">
        <v>74</v>
      </c>
      <c r="E368" t="s">
        <v>74</v>
      </c>
      <c r="F368" t="s">
        <v>7488</v>
      </c>
      <c r="G368" t="s">
        <v>74</v>
      </c>
      <c r="H368" t="s">
        <v>74</v>
      </c>
      <c r="I368" t="s">
        <v>7489</v>
      </c>
      <c r="J368" t="s">
        <v>7490</v>
      </c>
      <c r="K368" t="s">
        <v>74</v>
      </c>
      <c r="L368" t="s">
        <v>74</v>
      </c>
      <c r="M368" t="s">
        <v>78</v>
      </c>
      <c r="N368" t="s">
        <v>108</v>
      </c>
      <c r="O368" t="s">
        <v>74</v>
      </c>
      <c r="P368" t="s">
        <v>74</v>
      </c>
      <c r="Q368" t="s">
        <v>74</v>
      </c>
      <c r="R368" t="s">
        <v>74</v>
      </c>
      <c r="S368" t="s">
        <v>74</v>
      </c>
      <c r="T368" t="s">
        <v>7491</v>
      </c>
      <c r="U368" t="s">
        <v>7492</v>
      </c>
      <c r="V368" t="s">
        <v>7493</v>
      </c>
      <c r="W368" t="s">
        <v>7494</v>
      </c>
      <c r="X368" t="s">
        <v>7495</v>
      </c>
      <c r="Y368" t="s">
        <v>7496</v>
      </c>
      <c r="Z368" t="s">
        <v>7497</v>
      </c>
      <c r="AA368" t="s">
        <v>7498</v>
      </c>
      <c r="AB368" t="s">
        <v>7499</v>
      </c>
      <c r="AC368" t="s">
        <v>7500</v>
      </c>
      <c r="AD368" t="s">
        <v>7501</v>
      </c>
      <c r="AE368" t="s">
        <v>7502</v>
      </c>
      <c r="AF368" t="s">
        <v>74</v>
      </c>
      <c r="AG368">
        <v>65</v>
      </c>
      <c r="AH368">
        <v>6</v>
      </c>
      <c r="AI368">
        <v>7</v>
      </c>
      <c r="AJ368">
        <v>3</v>
      </c>
      <c r="AK368">
        <v>21</v>
      </c>
      <c r="AL368" t="s">
        <v>1407</v>
      </c>
      <c r="AM368" t="s">
        <v>1408</v>
      </c>
      <c r="AN368" t="s">
        <v>1409</v>
      </c>
      <c r="AO368" t="s">
        <v>7503</v>
      </c>
      <c r="AP368" t="s">
        <v>7504</v>
      </c>
      <c r="AQ368" t="s">
        <v>74</v>
      </c>
      <c r="AR368" t="s">
        <v>7505</v>
      </c>
      <c r="AS368" t="s">
        <v>7506</v>
      </c>
      <c r="AT368" t="s">
        <v>7507</v>
      </c>
      <c r="AU368">
        <v>2019</v>
      </c>
      <c r="AV368">
        <v>36</v>
      </c>
      <c r="AW368">
        <v>9</v>
      </c>
      <c r="AX368" t="s">
        <v>74</v>
      </c>
      <c r="AY368" t="s">
        <v>74</v>
      </c>
      <c r="AZ368" t="s">
        <v>74</v>
      </c>
      <c r="BA368" t="s">
        <v>74</v>
      </c>
      <c r="BB368">
        <v>847</v>
      </c>
      <c r="BC368">
        <v>857</v>
      </c>
      <c r="BD368" t="s">
        <v>74</v>
      </c>
      <c r="BE368" t="s">
        <v>7508</v>
      </c>
      <c r="BF368" t="str">
        <f>HYPERLINK("http://dx.doi.org/10.1080/01490451.2019.1641769","http://dx.doi.org/10.1080/01490451.2019.1641769")</f>
        <v>http://dx.doi.org/10.1080/01490451.2019.1641769</v>
      </c>
      <c r="BG368" t="s">
        <v>74</v>
      </c>
      <c r="BH368" t="s">
        <v>6119</v>
      </c>
      <c r="BI368">
        <v>11</v>
      </c>
      <c r="BJ368" t="s">
        <v>7509</v>
      </c>
      <c r="BK368" t="s">
        <v>101</v>
      </c>
      <c r="BL368" t="s">
        <v>848</v>
      </c>
      <c r="BM368" t="s">
        <v>7510</v>
      </c>
      <c r="BN368" t="s">
        <v>74</v>
      </c>
      <c r="BO368" t="s">
        <v>74</v>
      </c>
      <c r="BP368" t="s">
        <v>74</v>
      </c>
      <c r="BQ368" t="s">
        <v>74</v>
      </c>
      <c r="BR368" t="s">
        <v>103</v>
      </c>
      <c r="BS368" t="s">
        <v>7511</v>
      </c>
      <c r="BT368" t="str">
        <f>HYPERLINK("https%3A%2F%2Fwww.webofscience.com%2Fwos%2Fwoscc%2Ffull-record%2FWOS:000476147100001","View Full Record in Web of Science")</f>
        <v>View Full Record in Web of Science</v>
      </c>
    </row>
    <row r="369" spans="1:72" x14ac:dyDescent="0.15">
      <c r="A369" t="s">
        <v>72</v>
      </c>
      <c r="B369" t="s">
        <v>7512</v>
      </c>
      <c r="C369" t="s">
        <v>74</v>
      </c>
      <c r="D369" t="s">
        <v>74</v>
      </c>
      <c r="E369" t="s">
        <v>74</v>
      </c>
      <c r="F369" t="s">
        <v>7513</v>
      </c>
      <c r="G369" t="s">
        <v>74</v>
      </c>
      <c r="H369" t="s">
        <v>74</v>
      </c>
      <c r="I369" t="s">
        <v>7514</v>
      </c>
      <c r="J369" t="s">
        <v>5818</v>
      </c>
      <c r="K369" t="s">
        <v>74</v>
      </c>
      <c r="L369" t="s">
        <v>74</v>
      </c>
      <c r="M369" t="s">
        <v>78</v>
      </c>
      <c r="N369" t="s">
        <v>108</v>
      </c>
      <c r="O369" t="s">
        <v>74</v>
      </c>
      <c r="P369" t="s">
        <v>74</v>
      </c>
      <c r="Q369" t="s">
        <v>74</v>
      </c>
      <c r="R369" t="s">
        <v>74</v>
      </c>
      <c r="S369" t="s">
        <v>74</v>
      </c>
      <c r="T369" t="s">
        <v>74</v>
      </c>
      <c r="U369" t="s">
        <v>7515</v>
      </c>
      <c r="V369" t="s">
        <v>7516</v>
      </c>
      <c r="W369" t="s">
        <v>7517</v>
      </c>
      <c r="X369" t="s">
        <v>7518</v>
      </c>
      <c r="Y369" t="s">
        <v>7519</v>
      </c>
      <c r="Z369" t="s">
        <v>7520</v>
      </c>
      <c r="AA369" t="s">
        <v>7521</v>
      </c>
      <c r="AB369" t="s">
        <v>7522</v>
      </c>
      <c r="AC369" t="s">
        <v>7523</v>
      </c>
      <c r="AD369" t="s">
        <v>7524</v>
      </c>
      <c r="AE369" t="s">
        <v>7525</v>
      </c>
      <c r="AF369" t="s">
        <v>74</v>
      </c>
      <c r="AG369">
        <v>106</v>
      </c>
      <c r="AH369">
        <v>4</v>
      </c>
      <c r="AI369">
        <v>4</v>
      </c>
      <c r="AJ369">
        <v>0</v>
      </c>
      <c r="AK369">
        <v>8</v>
      </c>
      <c r="AL369" t="s">
        <v>1140</v>
      </c>
      <c r="AM369" t="s">
        <v>1141</v>
      </c>
      <c r="AN369" t="s">
        <v>1142</v>
      </c>
      <c r="AO369" t="s">
        <v>5827</v>
      </c>
      <c r="AP369" t="s">
        <v>5828</v>
      </c>
      <c r="AQ369" t="s">
        <v>74</v>
      </c>
      <c r="AR369" t="s">
        <v>5829</v>
      </c>
      <c r="AS369" t="s">
        <v>5830</v>
      </c>
      <c r="AT369" t="s">
        <v>98</v>
      </c>
      <c r="AU369">
        <v>2019</v>
      </c>
      <c r="AV369">
        <v>54</v>
      </c>
      <c r="AW369">
        <v>9</v>
      </c>
      <c r="AX369" t="s">
        <v>74</v>
      </c>
      <c r="AY369" t="s">
        <v>74</v>
      </c>
      <c r="AZ369" t="s">
        <v>74</v>
      </c>
      <c r="BA369" t="s">
        <v>74</v>
      </c>
      <c r="BB369">
        <v>1</v>
      </c>
      <c r="BC369">
        <v>19</v>
      </c>
      <c r="BD369" t="s">
        <v>74</v>
      </c>
      <c r="BE369" t="s">
        <v>7526</v>
      </c>
      <c r="BF369" t="str">
        <f>HYPERLINK("http://dx.doi.org/10.1111/maps.13360","http://dx.doi.org/10.1111/maps.13360")</f>
        <v>http://dx.doi.org/10.1111/maps.13360</v>
      </c>
      <c r="BG369" t="s">
        <v>74</v>
      </c>
      <c r="BH369" t="s">
        <v>6119</v>
      </c>
      <c r="BI369">
        <v>19</v>
      </c>
      <c r="BJ369" t="s">
        <v>190</v>
      </c>
      <c r="BK369" t="s">
        <v>101</v>
      </c>
      <c r="BL369" t="s">
        <v>190</v>
      </c>
      <c r="BM369" t="s">
        <v>6706</v>
      </c>
      <c r="BN369" t="s">
        <v>74</v>
      </c>
      <c r="BO369" t="s">
        <v>74</v>
      </c>
      <c r="BP369" t="s">
        <v>74</v>
      </c>
      <c r="BQ369" t="s">
        <v>74</v>
      </c>
      <c r="BR369" t="s">
        <v>103</v>
      </c>
      <c r="BS369" t="s">
        <v>7527</v>
      </c>
      <c r="BT369" t="str">
        <f>HYPERLINK("https%3A%2F%2Fwww.webofscience.com%2Fwos%2Fwoscc%2Ffull-record%2FWOS:000476324000001","View Full Record in Web of Science")</f>
        <v>View Full Record in Web of Science</v>
      </c>
    </row>
    <row r="370" spans="1:72" x14ac:dyDescent="0.15">
      <c r="A370" t="s">
        <v>72</v>
      </c>
      <c r="B370" t="s">
        <v>7528</v>
      </c>
      <c r="C370" t="s">
        <v>74</v>
      </c>
      <c r="D370" t="s">
        <v>74</v>
      </c>
      <c r="E370" t="s">
        <v>74</v>
      </c>
      <c r="F370" t="s">
        <v>7529</v>
      </c>
      <c r="G370" t="s">
        <v>74</v>
      </c>
      <c r="H370" t="s">
        <v>74</v>
      </c>
      <c r="I370" t="s">
        <v>7530</v>
      </c>
      <c r="J370" t="s">
        <v>1422</v>
      </c>
      <c r="K370" t="s">
        <v>74</v>
      </c>
      <c r="L370" t="s">
        <v>74</v>
      </c>
      <c r="M370" t="s">
        <v>78</v>
      </c>
      <c r="N370" t="s">
        <v>108</v>
      </c>
      <c r="O370" t="s">
        <v>74</v>
      </c>
      <c r="P370" t="s">
        <v>74</v>
      </c>
      <c r="Q370" t="s">
        <v>74</v>
      </c>
      <c r="R370" t="s">
        <v>74</v>
      </c>
      <c r="S370" t="s">
        <v>74</v>
      </c>
      <c r="T370" t="s">
        <v>7531</v>
      </c>
      <c r="U370" t="s">
        <v>7532</v>
      </c>
      <c r="V370" t="s">
        <v>7533</v>
      </c>
      <c r="W370" t="s">
        <v>7534</v>
      </c>
      <c r="X370" t="s">
        <v>7535</v>
      </c>
      <c r="Y370" t="s">
        <v>7536</v>
      </c>
      <c r="Z370" t="s">
        <v>7537</v>
      </c>
      <c r="AA370" t="s">
        <v>7538</v>
      </c>
      <c r="AB370" t="s">
        <v>7539</v>
      </c>
      <c r="AC370" t="s">
        <v>7540</v>
      </c>
      <c r="AD370" t="s">
        <v>7541</v>
      </c>
      <c r="AE370" t="s">
        <v>7542</v>
      </c>
      <c r="AF370" t="s">
        <v>74</v>
      </c>
      <c r="AG370">
        <v>71</v>
      </c>
      <c r="AH370">
        <v>24</v>
      </c>
      <c r="AI370">
        <v>27</v>
      </c>
      <c r="AJ370">
        <v>0</v>
      </c>
      <c r="AK370">
        <v>22</v>
      </c>
      <c r="AL370" t="s">
        <v>1140</v>
      </c>
      <c r="AM370" t="s">
        <v>1141</v>
      </c>
      <c r="AN370" t="s">
        <v>1142</v>
      </c>
      <c r="AO370" t="s">
        <v>1435</v>
      </c>
      <c r="AP370" t="s">
        <v>1436</v>
      </c>
      <c r="AQ370" t="s">
        <v>74</v>
      </c>
      <c r="AR370" t="s">
        <v>1437</v>
      </c>
      <c r="AS370" t="s">
        <v>1438</v>
      </c>
      <c r="AT370" t="s">
        <v>7543</v>
      </c>
      <c r="AU370">
        <v>2019</v>
      </c>
      <c r="AV370">
        <v>30</v>
      </c>
      <c r="AW370">
        <v>3</v>
      </c>
      <c r="AX370" t="s">
        <v>74</v>
      </c>
      <c r="AY370" t="s">
        <v>74</v>
      </c>
      <c r="AZ370" t="s">
        <v>74</v>
      </c>
      <c r="BA370" t="s">
        <v>74</v>
      </c>
      <c r="BB370">
        <v>146</v>
      </c>
      <c r="BC370">
        <v>162</v>
      </c>
      <c r="BD370" t="s">
        <v>74</v>
      </c>
      <c r="BE370" t="s">
        <v>7544</v>
      </c>
      <c r="BF370" t="str">
        <f>HYPERLINK("http://dx.doi.org/10.1002/ppp.2014","http://dx.doi.org/10.1002/ppp.2014")</f>
        <v>http://dx.doi.org/10.1002/ppp.2014</v>
      </c>
      <c r="BG370" t="s">
        <v>74</v>
      </c>
      <c r="BH370" t="s">
        <v>6119</v>
      </c>
      <c r="BI370">
        <v>17</v>
      </c>
      <c r="BJ370" t="s">
        <v>1441</v>
      </c>
      <c r="BK370" t="s">
        <v>101</v>
      </c>
      <c r="BL370" t="s">
        <v>311</v>
      </c>
      <c r="BM370" t="s">
        <v>7545</v>
      </c>
      <c r="BN370" t="s">
        <v>74</v>
      </c>
      <c r="BO370" t="s">
        <v>261</v>
      </c>
      <c r="BP370" t="s">
        <v>74</v>
      </c>
      <c r="BQ370" t="s">
        <v>74</v>
      </c>
      <c r="BR370" t="s">
        <v>103</v>
      </c>
      <c r="BS370" t="s">
        <v>7546</v>
      </c>
      <c r="BT370" t="str">
        <f>HYPERLINK("https%3A%2F%2Fwww.webofscience.com%2Fwos%2Fwoscc%2Ffull-record%2FWOS:000476254700001","View Full Record in Web of Science")</f>
        <v>View Full Record in Web of Science</v>
      </c>
    </row>
    <row r="371" spans="1:72" x14ac:dyDescent="0.15">
      <c r="A371" t="s">
        <v>72</v>
      </c>
      <c r="B371" t="s">
        <v>7547</v>
      </c>
      <c r="C371" t="s">
        <v>74</v>
      </c>
      <c r="D371" t="s">
        <v>74</v>
      </c>
      <c r="E371" t="s">
        <v>74</v>
      </c>
      <c r="F371" t="s">
        <v>7548</v>
      </c>
      <c r="G371" t="s">
        <v>74</v>
      </c>
      <c r="H371" t="s">
        <v>74</v>
      </c>
      <c r="I371" t="s">
        <v>7549</v>
      </c>
      <c r="J371" t="s">
        <v>2044</v>
      </c>
      <c r="K371" t="s">
        <v>74</v>
      </c>
      <c r="L371" t="s">
        <v>74</v>
      </c>
      <c r="M371" t="s">
        <v>78</v>
      </c>
      <c r="N371" t="s">
        <v>108</v>
      </c>
      <c r="O371" t="s">
        <v>74</v>
      </c>
      <c r="P371" t="s">
        <v>74</v>
      </c>
      <c r="Q371" t="s">
        <v>74</v>
      </c>
      <c r="R371" t="s">
        <v>74</v>
      </c>
      <c r="S371" t="s">
        <v>74</v>
      </c>
      <c r="T371" t="s">
        <v>7550</v>
      </c>
      <c r="U371" t="s">
        <v>7551</v>
      </c>
      <c r="V371" t="s">
        <v>7552</v>
      </c>
      <c r="W371" t="s">
        <v>7553</v>
      </c>
      <c r="X371" t="s">
        <v>7554</v>
      </c>
      <c r="Y371" t="s">
        <v>7555</v>
      </c>
      <c r="Z371" t="s">
        <v>7556</v>
      </c>
      <c r="AA371" t="s">
        <v>7557</v>
      </c>
      <c r="AB371" t="s">
        <v>7558</v>
      </c>
      <c r="AC371" t="s">
        <v>7559</v>
      </c>
      <c r="AD371" t="s">
        <v>7560</v>
      </c>
      <c r="AE371" t="s">
        <v>7561</v>
      </c>
      <c r="AF371" t="s">
        <v>74</v>
      </c>
      <c r="AG371">
        <v>73</v>
      </c>
      <c r="AH371">
        <v>1</v>
      </c>
      <c r="AI371">
        <v>1</v>
      </c>
      <c r="AJ371">
        <v>0</v>
      </c>
      <c r="AK371">
        <v>10</v>
      </c>
      <c r="AL371" t="s">
        <v>92</v>
      </c>
      <c r="AM371" t="s">
        <v>93</v>
      </c>
      <c r="AN371" t="s">
        <v>94</v>
      </c>
      <c r="AO371" t="s">
        <v>2057</v>
      </c>
      <c r="AP371" t="s">
        <v>74</v>
      </c>
      <c r="AQ371" t="s">
        <v>74</v>
      </c>
      <c r="AR371" t="s">
        <v>2058</v>
      </c>
      <c r="AS371" t="s">
        <v>2059</v>
      </c>
      <c r="AT371" t="s">
        <v>7562</v>
      </c>
      <c r="AU371">
        <v>2019</v>
      </c>
      <c r="AV371">
        <v>216</v>
      </c>
      <c r="AW371" t="s">
        <v>74</v>
      </c>
      <c r="AX371" t="s">
        <v>74</v>
      </c>
      <c r="AY371" t="s">
        <v>74</v>
      </c>
      <c r="AZ371" t="s">
        <v>74</v>
      </c>
      <c r="BA371" t="s">
        <v>74</v>
      </c>
      <c r="BB371">
        <v>47</v>
      </c>
      <c r="BC371">
        <v>57</v>
      </c>
      <c r="BD371" t="s">
        <v>74</v>
      </c>
      <c r="BE371" t="s">
        <v>7563</v>
      </c>
      <c r="BF371" t="str">
        <f>HYPERLINK("http://dx.doi.org/10.1016/j.quascirev.2019.05.018","http://dx.doi.org/10.1016/j.quascirev.2019.05.018")</f>
        <v>http://dx.doi.org/10.1016/j.quascirev.2019.05.018</v>
      </c>
      <c r="BG371" t="s">
        <v>74</v>
      </c>
      <c r="BH371" t="s">
        <v>74</v>
      </c>
      <c r="BI371">
        <v>11</v>
      </c>
      <c r="BJ371" t="s">
        <v>310</v>
      </c>
      <c r="BK371" t="s">
        <v>101</v>
      </c>
      <c r="BL371" t="s">
        <v>311</v>
      </c>
      <c r="BM371" t="s">
        <v>7564</v>
      </c>
      <c r="BN371" t="s">
        <v>74</v>
      </c>
      <c r="BO371" t="s">
        <v>595</v>
      </c>
      <c r="BP371" t="s">
        <v>74</v>
      </c>
      <c r="BQ371" t="s">
        <v>74</v>
      </c>
      <c r="BR371" t="s">
        <v>103</v>
      </c>
      <c r="BS371" t="s">
        <v>7565</v>
      </c>
      <c r="BT371" t="str">
        <f>HYPERLINK("https%3A%2F%2Fwww.webofscience.com%2Fwos%2Fwoscc%2Ffull-record%2FWOS:000475998900004","View Full Record in Web of Science")</f>
        <v>View Full Record in Web of Science</v>
      </c>
    </row>
    <row r="372" spans="1:72" x14ac:dyDescent="0.15">
      <c r="A372" t="s">
        <v>72</v>
      </c>
      <c r="B372" t="s">
        <v>7566</v>
      </c>
      <c r="C372" t="s">
        <v>74</v>
      </c>
      <c r="D372" t="s">
        <v>74</v>
      </c>
      <c r="E372" t="s">
        <v>74</v>
      </c>
      <c r="F372" t="s">
        <v>7567</v>
      </c>
      <c r="G372" t="s">
        <v>74</v>
      </c>
      <c r="H372" t="s">
        <v>74</v>
      </c>
      <c r="I372" t="s">
        <v>7568</v>
      </c>
      <c r="J372" t="s">
        <v>989</v>
      </c>
      <c r="K372" t="s">
        <v>74</v>
      </c>
      <c r="L372" t="s">
        <v>74</v>
      </c>
      <c r="M372" t="s">
        <v>78</v>
      </c>
      <c r="N372" t="s">
        <v>108</v>
      </c>
      <c r="O372" t="s">
        <v>74</v>
      </c>
      <c r="P372" t="s">
        <v>74</v>
      </c>
      <c r="Q372" t="s">
        <v>74</v>
      </c>
      <c r="R372" t="s">
        <v>74</v>
      </c>
      <c r="S372" t="s">
        <v>74</v>
      </c>
      <c r="T372" t="s">
        <v>74</v>
      </c>
      <c r="U372" t="s">
        <v>7569</v>
      </c>
      <c r="V372" t="s">
        <v>7570</v>
      </c>
      <c r="W372" t="s">
        <v>7571</v>
      </c>
      <c r="X372" t="s">
        <v>7572</v>
      </c>
      <c r="Y372" t="s">
        <v>7573</v>
      </c>
      <c r="Z372" t="s">
        <v>7574</v>
      </c>
      <c r="AA372" t="s">
        <v>7575</v>
      </c>
      <c r="AB372" t="s">
        <v>7576</v>
      </c>
      <c r="AC372" t="s">
        <v>7577</v>
      </c>
      <c r="AD372" t="s">
        <v>7578</v>
      </c>
      <c r="AE372" t="s">
        <v>7579</v>
      </c>
      <c r="AF372" t="s">
        <v>74</v>
      </c>
      <c r="AG372">
        <v>62</v>
      </c>
      <c r="AH372">
        <v>21</v>
      </c>
      <c r="AI372">
        <v>22</v>
      </c>
      <c r="AJ372">
        <v>0</v>
      </c>
      <c r="AK372">
        <v>2</v>
      </c>
      <c r="AL372" t="s">
        <v>998</v>
      </c>
      <c r="AM372" t="s">
        <v>657</v>
      </c>
      <c r="AN372" t="s">
        <v>999</v>
      </c>
      <c r="AO372" t="s">
        <v>1000</v>
      </c>
      <c r="AP372" t="s">
        <v>74</v>
      </c>
      <c r="AQ372" t="s">
        <v>74</v>
      </c>
      <c r="AR372" t="s">
        <v>1001</v>
      </c>
      <c r="AS372" t="s">
        <v>1002</v>
      </c>
      <c r="AT372" t="s">
        <v>7562</v>
      </c>
      <c r="AU372">
        <v>2019</v>
      </c>
      <c r="AV372">
        <v>9</v>
      </c>
      <c r="AW372" t="s">
        <v>74</v>
      </c>
      <c r="AX372" t="s">
        <v>74</v>
      </c>
      <c r="AY372" t="s">
        <v>74</v>
      </c>
      <c r="AZ372" t="s">
        <v>74</v>
      </c>
      <c r="BA372" t="s">
        <v>74</v>
      </c>
      <c r="BB372" t="s">
        <v>74</v>
      </c>
      <c r="BC372" t="s">
        <v>74</v>
      </c>
      <c r="BD372">
        <v>10192</v>
      </c>
      <c r="BE372" t="s">
        <v>7580</v>
      </c>
      <c r="BF372" t="str">
        <f>HYPERLINK("http://dx.doi.org/10.1038/s41598-019-46612-y","http://dx.doi.org/10.1038/s41598-019-46612-y")</f>
        <v>http://dx.doi.org/10.1038/s41598-019-46612-y</v>
      </c>
      <c r="BG372" t="s">
        <v>74</v>
      </c>
      <c r="BH372" t="s">
        <v>74</v>
      </c>
      <c r="BI372">
        <v>12</v>
      </c>
      <c r="BJ372" t="s">
        <v>1004</v>
      </c>
      <c r="BK372" t="s">
        <v>101</v>
      </c>
      <c r="BL372" t="s">
        <v>1005</v>
      </c>
      <c r="BM372" t="s">
        <v>7581</v>
      </c>
      <c r="BN372">
        <v>31308422</v>
      </c>
      <c r="BO372" t="s">
        <v>313</v>
      </c>
      <c r="BP372" t="s">
        <v>74</v>
      </c>
      <c r="BQ372" t="s">
        <v>74</v>
      </c>
      <c r="BR372" t="s">
        <v>103</v>
      </c>
      <c r="BS372" t="s">
        <v>7582</v>
      </c>
      <c r="BT372" t="str">
        <f>HYPERLINK("https%3A%2F%2Fwww.webofscience.com%2Fwos%2Fwoscc%2Ffull-record%2FWOS:000475467800035","View Full Record in Web of Science")</f>
        <v>View Full Record in Web of Science</v>
      </c>
    </row>
    <row r="373" spans="1:72" x14ac:dyDescent="0.15">
      <c r="A373" t="s">
        <v>72</v>
      </c>
      <c r="B373" t="s">
        <v>7583</v>
      </c>
      <c r="C373" t="s">
        <v>74</v>
      </c>
      <c r="D373" t="s">
        <v>74</v>
      </c>
      <c r="E373" t="s">
        <v>74</v>
      </c>
      <c r="F373" t="s">
        <v>7584</v>
      </c>
      <c r="G373" t="s">
        <v>74</v>
      </c>
      <c r="H373" t="s">
        <v>74</v>
      </c>
      <c r="I373" t="s">
        <v>7585</v>
      </c>
      <c r="J373" t="s">
        <v>7586</v>
      </c>
      <c r="K373" t="s">
        <v>74</v>
      </c>
      <c r="L373" t="s">
        <v>74</v>
      </c>
      <c r="M373" t="s">
        <v>78</v>
      </c>
      <c r="N373" t="s">
        <v>108</v>
      </c>
      <c r="O373" t="s">
        <v>74</v>
      </c>
      <c r="P373" t="s">
        <v>74</v>
      </c>
      <c r="Q373" t="s">
        <v>74</v>
      </c>
      <c r="R373" t="s">
        <v>74</v>
      </c>
      <c r="S373" t="s">
        <v>74</v>
      </c>
      <c r="T373" t="s">
        <v>7587</v>
      </c>
      <c r="U373" t="s">
        <v>7588</v>
      </c>
      <c r="V373" t="s">
        <v>7589</v>
      </c>
      <c r="W373" t="s">
        <v>7590</v>
      </c>
      <c r="X373" t="s">
        <v>7591</v>
      </c>
      <c r="Y373" t="s">
        <v>7592</v>
      </c>
      <c r="Z373" t="s">
        <v>7593</v>
      </c>
      <c r="AA373" t="s">
        <v>7594</v>
      </c>
      <c r="AB373" t="s">
        <v>7595</v>
      </c>
      <c r="AC373" t="s">
        <v>7596</v>
      </c>
      <c r="AD373" t="s">
        <v>7597</v>
      </c>
      <c r="AE373" t="s">
        <v>7598</v>
      </c>
      <c r="AF373" t="s">
        <v>74</v>
      </c>
      <c r="AG373">
        <v>23</v>
      </c>
      <c r="AH373">
        <v>14</v>
      </c>
      <c r="AI373">
        <v>16</v>
      </c>
      <c r="AJ373">
        <v>1</v>
      </c>
      <c r="AK373">
        <v>45</v>
      </c>
      <c r="AL373" t="s">
        <v>92</v>
      </c>
      <c r="AM373" t="s">
        <v>93</v>
      </c>
      <c r="AN373" t="s">
        <v>94</v>
      </c>
      <c r="AO373" t="s">
        <v>7599</v>
      </c>
      <c r="AP373" t="s">
        <v>7600</v>
      </c>
      <c r="AQ373" t="s">
        <v>74</v>
      </c>
      <c r="AR373" t="s">
        <v>7601</v>
      </c>
      <c r="AS373" t="s">
        <v>7602</v>
      </c>
      <c r="AT373" t="s">
        <v>7562</v>
      </c>
      <c r="AU373">
        <v>2019</v>
      </c>
      <c r="AV373">
        <v>209</v>
      </c>
      <c r="AW373" t="s">
        <v>74</v>
      </c>
      <c r="AX373" t="s">
        <v>74</v>
      </c>
      <c r="AY373" t="s">
        <v>74</v>
      </c>
      <c r="AZ373" t="s">
        <v>74</v>
      </c>
      <c r="BA373" t="s">
        <v>74</v>
      </c>
      <c r="BB373">
        <v>86</v>
      </c>
      <c r="BC373">
        <v>91</v>
      </c>
      <c r="BD373" t="s">
        <v>74</v>
      </c>
      <c r="BE373" t="s">
        <v>7603</v>
      </c>
      <c r="BF373" t="str">
        <f>HYPERLINK("http://dx.doi.org/10.1016/j.atmosenv.2019.04.022","http://dx.doi.org/10.1016/j.atmosenv.2019.04.022")</f>
        <v>http://dx.doi.org/10.1016/j.atmosenv.2019.04.022</v>
      </c>
      <c r="BG373" t="s">
        <v>74</v>
      </c>
      <c r="BH373" t="s">
        <v>74</v>
      </c>
      <c r="BI373">
        <v>6</v>
      </c>
      <c r="BJ373" t="s">
        <v>2267</v>
      </c>
      <c r="BK373" t="s">
        <v>101</v>
      </c>
      <c r="BL373" t="s">
        <v>2268</v>
      </c>
      <c r="BM373" t="s">
        <v>7604</v>
      </c>
      <c r="BN373" t="s">
        <v>74</v>
      </c>
      <c r="BO373" t="s">
        <v>74</v>
      </c>
      <c r="BP373" t="s">
        <v>74</v>
      </c>
      <c r="BQ373" t="s">
        <v>74</v>
      </c>
      <c r="BR373" t="s">
        <v>103</v>
      </c>
      <c r="BS373" t="s">
        <v>7605</v>
      </c>
      <c r="BT373" t="str">
        <f>HYPERLINK("https%3A%2F%2Fwww.webofscience.com%2Fwos%2Fwoscc%2Ffull-record%2FWOS:000470945900008","View Full Record in Web of Science")</f>
        <v>View Full Record in Web of Science</v>
      </c>
    </row>
    <row r="374" spans="1:72" x14ac:dyDescent="0.15">
      <c r="A374" t="s">
        <v>72</v>
      </c>
      <c r="B374" t="s">
        <v>7606</v>
      </c>
      <c r="C374" t="s">
        <v>74</v>
      </c>
      <c r="D374" t="s">
        <v>74</v>
      </c>
      <c r="E374" t="s">
        <v>74</v>
      </c>
      <c r="F374" t="s">
        <v>7607</v>
      </c>
      <c r="G374" t="s">
        <v>74</v>
      </c>
      <c r="H374" t="s">
        <v>74</v>
      </c>
      <c r="I374" t="s">
        <v>7608</v>
      </c>
      <c r="J374" t="s">
        <v>7050</v>
      </c>
      <c r="K374" t="s">
        <v>74</v>
      </c>
      <c r="L374" t="s">
        <v>74</v>
      </c>
      <c r="M374" t="s">
        <v>78</v>
      </c>
      <c r="N374" t="s">
        <v>2961</v>
      </c>
      <c r="O374" t="s">
        <v>74</v>
      </c>
      <c r="P374" t="s">
        <v>74</v>
      </c>
      <c r="Q374" t="s">
        <v>74</v>
      </c>
      <c r="R374" t="s">
        <v>74</v>
      </c>
      <c r="S374" t="s">
        <v>74</v>
      </c>
      <c r="T374" t="s">
        <v>74</v>
      </c>
      <c r="U374" t="s">
        <v>7609</v>
      </c>
      <c r="V374" t="s">
        <v>7610</v>
      </c>
      <c r="W374" t="s">
        <v>7611</v>
      </c>
      <c r="X374" t="s">
        <v>7612</v>
      </c>
      <c r="Y374" t="s">
        <v>7613</v>
      </c>
      <c r="Z374" t="s">
        <v>7614</v>
      </c>
      <c r="AA374" t="s">
        <v>7615</v>
      </c>
      <c r="AB374" t="s">
        <v>7616</v>
      </c>
      <c r="AC374" t="s">
        <v>7617</v>
      </c>
      <c r="AD374" t="s">
        <v>7618</v>
      </c>
      <c r="AE374" t="s">
        <v>7619</v>
      </c>
      <c r="AF374" t="s">
        <v>74</v>
      </c>
      <c r="AG374">
        <v>38</v>
      </c>
      <c r="AH374">
        <v>42</v>
      </c>
      <c r="AI374">
        <v>45</v>
      </c>
      <c r="AJ374">
        <v>5</v>
      </c>
      <c r="AK374">
        <v>27</v>
      </c>
      <c r="AL374" t="s">
        <v>839</v>
      </c>
      <c r="AM374" t="s">
        <v>840</v>
      </c>
      <c r="AN374" t="s">
        <v>841</v>
      </c>
      <c r="AO374" t="s">
        <v>7061</v>
      </c>
      <c r="AP374" t="s">
        <v>7062</v>
      </c>
      <c r="AQ374" t="s">
        <v>74</v>
      </c>
      <c r="AR374" t="s">
        <v>7063</v>
      </c>
      <c r="AS374" t="s">
        <v>7064</v>
      </c>
      <c r="AT374" t="s">
        <v>7562</v>
      </c>
      <c r="AU374">
        <v>2019</v>
      </c>
      <c r="AV374">
        <v>11</v>
      </c>
      <c r="AW374">
        <v>3</v>
      </c>
      <c r="AX374" t="s">
        <v>74</v>
      </c>
      <c r="AY374" t="s">
        <v>74</v>
      </c>
      <c r="AZ374" t="s">
        <v>74</v>
      </c>
      <c r="BA374" t="s">
        <v>74</v>
      </c>
      <c r="BB374">
        <v>1037</v>
      </c>
      <c r="BC374">
        <v>1068</v>
      </c>
      <c r="BD374" t="s">
        <v>74</v>
      </c>
      <c r="BE374" t="s">
        <v>7620</v>
      </c>
      <c r="BF374" t="str">
        <f>HYPERLINK("http://dx.doi.org/10.5194/essd-11-1037-2019","http://dx.doi.org/10.5194/essd-11-1037-2019")</f>
        <v>http://dx.doi.org/10.5194/essd-11-1037-2019</v>
      </c>
      <c r="BG374" t="s">
        <v>74</v>
      </c>
      <c r="BH374" t="s">
        <v>74</v>
      </c>
      <c r="BI374">
        <v>32</v>
      </c>
      <c r="BJ374" t="s">
        <v>2473</v>
      </c>
      <c r="BK374" t="s">
        <v>101</v>
      </c>
      <c r="BL374" t="s">
        <v>2474</v>
      </c>
      <c r="BM374" t="s">
        <v>7621</v>
      </c>
      <c r="BN374" t="s">
        <v>74</v>
      </c>
      <c r="BO374" t="s">
        <v>7622</v>
      </c>
      <c r="BP374" t="s">
        <v>74</v>
      </c>
      <c r="BQ374" t="s">
        <v>74</v>
      </c>
      <c r="BR374" t="s">
        <v>103</v>
      </c>
      <c r="BS374" t="s">
        <v>7623</v>
      </c>
      <c r="BT374" t="str">
        <f>HYPERLINK("https%3A%2F%2Fwww.webofscience.com%2Fwos%2Fwoscc%2Ffull-record%2FWOS:000475466300001","View Full Record in Web of Science")</f>
        <v>View Full Record in Web of Science</v>
      </c>
    </row>
    <row r="375" spans="1:72" x14ac:dyDescent="0.15">
      <c r="A375" t="s">
        <v>72</v>
      </c>
      <c r="B375" t="s">
        <v>7624</v>
      </c>
      <c r="C375" t="s">
        <v>74</v>
      </c>
      <c r="D375" t="s">
        <v>74</v>
      </c>
      <c r="E375" t="s">
        <v>74</v>
      </c>
      <c r="F375" t="s">
        <v>7625</v>
      </c>
      <c r="G375" t="s">
        <v>74</v>
      </c>
      <c r="H375" t="s">
        <v>74</v>
      </c>
      <c r="I375" t="s">
        <v>7626</v>
      </c>
      <c r="J375" t="s">
        <v>7627</v>
      </c>
      <c r="K375" t="s">
        <v>74</v>
      </c>
      <c r="L375" t="s">
        <v>74</v>
      </c>
      <c r="M375" t="s">
        <v>78</v>
      </c>
      <c r="N375" t="s">
        <v>778</v>
      </c>
      <c r="O375" t="s">
        <v>7628</v>
      </c>
      <c r="P375" t="s">
        <v>7629</v>
      </c>
      <c r="Q375" t="s">
        <v>7630</v>
      </c>
      <c r="R375" t="s">
        <v>74</v>
      </c>
      <c r="S375" t="s">
        <v>74</v>
      </c>
      <c r="T375" t="s">
        <v>7631</v>
      </c>
      <c r="U375" t="s">
        <v>7632</v>
      </c>
      <c r="V375" t="s">
        <v>7633</v>
      </c>
      <c r="W375" t="s">
        <v>7634</v>
      </c>
      <c r="X375" t="s">
        <v>7635</v>
      </c>
      <c r="Y375" t="s">
        <v>7636</v>
      </c>
      <c r="Z375" t="s">
        <v>7637</v>
      </c>
      <c r="AA375" t="s">
        <v>7638</v>
      </c>
      <c r="AB375" t="s">
        <v>7639</v>
      </c>
      <c r="AC375" t="s">
        <v>7640</v>
      </c>
      <c r="AD375" t="s">
        <v>4524</v>
      </c>
      <c r="AE375" t="s">
        <v>7641</v>
      </c>
      <c r="AF375" t="s">
        <v>74</v>
      </c>
      <c r="AG375">
        <v>38</v>
      </c>
      <c r="AH375">
        <v>9</v>
      </c>
      <c r="AI375">
        <v>10</v>
      </c>
      <c r="AJ375">
        <v>2</v>
      </c>
      <c r="AK375">
        <v>55</v>
      </c>
      <c r="AL375" t="s">
        <v>438</v>
      </c>
      <c r="AM375" t="s">
        <v>439</v>
      </c>
      <c r="AN375" t="s">
        <v>440</v>
      </c>
      <c r="AO375" t="s">
        <v>7642</v>
      </c>
      <c r="AP375" t="s">
        <v>7643</v>
      </c>
      <c r="AQ375" t="s">
        <v>74</v>
      </c>
      <c r="AR375" t="s">
        <v>7644</v>
      </c>
      <c r="AS375" t="s">
        <v>7645</v>
      </c>
      <c r="AT375" t="s">
        <v>7562</v>
      </c>
      <c r="AU375">
        <v>2019</v>
      </c>
      <c r="AV375">
        <v>133</v>
      </c>
      <c r="AW375" t="s">
        <v>74</v>
      </c>
      <c r="AX375" t="s">
        <v>74</v>
      </c>
      <c r="AY375" t="s">
        <v>74</v>
      </c>
      <c r="AZ375" t="s">
        <v>74</v>
      </c>
      <c r="BA375" t="s">
        <v>74</v>
      </c>
      <c r="BB375">
        <v>1029</v>
      </c>
      <c r="BC375">
        <v>1034</v>
      </c>
      <c r="BD375" t="s">
        <v>74</v>
      </c>
      <c r="BE375" t="s">
        <v>7646</v>
      </c>
      <c r="BF375" t="str">
        <f>HYPERLINK("http://dx.doi.org/10.1016/j.ijbiomac.2019.04.114","http://dx.doi.org/10.1016/j.ijbiomac.2019.04.114")</f>
        <v>http://dx.doi.org/10.1016/j.ijbiomac.2019.04.114</v>
      </c>
      <c r="BG375" t="s">
        <v>74</v>
      </c>
      <c r="BH375" t="s">
        <v>74</v>
      </c>
      <c r="BI375">
        <v>6</v>
      </c>
      <c r="BJ375" t="s">
        <v>7647</v>
      </c>
      <c r="BK375" t="s">
        <v>798</v>
      </c>
      <c r="BL375" t="s">
        <v>7648</v>
      </c>
      <c r="BM375" t="s">
        <v>7649</v>
      </c>
      <c r="BN375">
        <v>31004644</v>
      </c>
      <c r="BO375" t="s">
        <v>74</v>
      </c>
      <c r="BP375" t="s">
        <v>74</v>
      </c>
      <c r="BQ375" t="s">
        <v>74</v>
      </c>
      <c r="BR375" t="s">
        <v>103</v>
      </c>
      <c r="BS375" t="s">
        <v>7650</v>
      </c>
      <c r="BT375" t="str">
        <f>HYPERLINK("https%3A%2F%2Fwww.webofscience.com%2Fwos%2Fwoscc%2Ffull-record%2FWOS:000472685700110","View Full Record in Web of Science")</f>
        <v>View Full Record in Web of Science</v>
      </c>
    </row>
    <row r="376" spans="1:72" x14ac:dyDescent="0.15">
      <c r="A376" t="s">
        <v>72</v>
      </c>
      <c r="B376" t="s">
        <v>7651</v>
      </c>
      <c r="C376" t="s">
        <v>74</v>
      </c>
      <c r="D376" t="s">
        <v>74</v>
      </c>
      <c r="E376" t="s">
        <v>74</v>
      </c>
      <c r="F376" t="s">
        <v>7652</v>
      </c>
      <c r="G376" t="s">
        <v>74</v>
      </c>
      <c r="H376" t="s">
        <v>74</v>
      </c>
      <c r="I376" t="s">
        <v>7653</v>
      </c>
      <c r="J376" t="s">
        <v>7627</v>
      </c>
      <c r="K376" t="s">
        <v>74</v>
      </c>
      <c r="L376" t="s">
        <v>74</v>
      </c>
      <c r="M376" t="s">
        <v>78</v>
      </c>
      <c r="N376" t="s">
        <v>108</v>
      </c>
      <c r="O376" t="s">
        <v>74</v>
      </c>
      <c r="P376" t="s">
        <v>74</v>
      </c>
      <c r="Q376" t="s">
        <v>74</v>
      </c>
      <c r="R376" t="s">
        <v>74</v>
      </c>
      <c r="S376" t="s">
        <v>74</v>
      </c>
      <c r="T376" t="s">
        <v>7654</v>
      </c>
      <c r="U376" t="s">
        <v>7655</v>
      </c>
      <c r="V376" t="s">
        <v>7656</v>
      </c>
      <c r="W376" t="s">
        <v>7657</v>
      </c>
      <c r="X376" t="s">
        <v>7658</v>
      </c>
      <c r="Y376" t="s">
        <v>7659</v>
      </c>
      <c r="Z376" t="s">
        <v>7660</v>
      </c>
      <c r="AA376" t="s">
        <v>74</v>
      </c>
      <c r="AB376" t="s">
        <v>74</v>
      </c>
      <c r="AC376" t="s">
        <v>7661</v>
      </c>
      <c r="AD376" t="s">
        <v>7661</v>
      </c>
      <c r="AE376" t="s">
        <v>7662</v>
      </c>
      <c r="AF376" t="s">
        <v>74</v>
      </c>
      <c r="AG376">
        <v>24</v>
      </c>
      <c r="AH376">
        <v>16</v>
      </c>
      <c r="AI376">
        <v>17</v>
      </c>
      <c r="AJ376">
        <v>1</v>
      </c>
      <c r="AK376">
        <v>53</v>
      </c>
      <c r="AL376" t="s">
        <v>438</v>
      </c>
      <c r="AM376" t="s">
        <v>439</v>
      </c>
      <c r="AN376" t="s">
        <v>440</v>
      </c>
      <c r="AO376" t="s">
        <v>7642</v>
      </c>
      <c r="AP376" t="s">
        <v>7643</v>
      </c>
      <c r="AQ376" t="s">
        <v>74</v>
      </c>
      <c r="AR376" t="s">
        <v>7644</v>
      </c>
      <c r="AS376" t="s">
        <v>7645</v>
      </c>
      <c r="AT376" t="s">
        <v>7562</v>
      </c>
      <c r="AU376">
        <v>2019</v>
      </c>
      <c r="AV376">
        <v>133</v>
      </c>
      <c r="AW376" t="s">
        <v>74</v>
      </c>
      <c r="AX376" t="s">
        <v>74</v>
      </c>
      <c r="AY376" t="s">
        <v>74</v>
      </c>
      <c r="AZ376" t="s">
        <v>74</v>
      </c>
      <c r="BA376" t="s">
        <v>74</v>
      </c>
      <c r="BB376">
        <v>1164</v>
      </c>
      <c r="BC376">
        <v>1167</v>
      </c>
      <c r="BD376" t="s">
        <v>74</v>
      </c>
      <c r="BE376" t="s">
        <v>7663</v>
      </c>
      <c r="BF376" t="str">
        <f>HYPERLINK("http://dx.doi.org/10.1016/j.ijbiomac.2019.04.205","http://dx.doi.org/10.1016/j.ijbiomac.2019.04.205")</f>
        <v>http://dx.doi.org/10.1016/j.ijbiomac.2019.04.205</v>
      </c>
      <c r="BG376" t="s">
        <v>74</v>
      </c>
      <c r="BH376" t="s">
        <v>74</v>
      </c>
      <c r="BI376">
        <v>4</v>
      </c>
      <c r="BJ376" t="s">
        <v>7647</v>
      </c>
      <c r="BK376" t="s">
        <v>101</v>
      </c>
      <c r="BL376" t="s">
        <v>7648</v>
      </c>
      <c r="BM376" t="s">
        <v>7649</v>
      </c>
      <c r="BN376">
        <v>31054307</v>
      </c>
      <c r="BO376" t="s">
        <v>74</v>
      </c>
      <c r="BP376" t="s">
        <v>74</v>
      </c>
      <c r="BQ376" t="s">
        <v>74</v>
      </c>
      <c r="BR376" t="s">
        <v>103</v>
      </c>
      <c r="BS376" t="s">
        <v>7664</v>
      </c>
      <c r="BT376" t="str">
        <f>HYPERLINK("https%3A%2F%2Fwww.webofscience.com%2Fwos%2Fwoscc%2Ffull-record%2FWOS:000472685700125","View Full Record in Web of Science")</f>
        <v>View Full Record in Web of Science</v>
      </c>
    </row>
    <row r="377" spans="1:72" x14ac:dyDescent="0.15">
      <c r="A377" t="s">
        <v>72</v>
      </c>
      <c r="B377" t="s">
        <v>7665</v>
      </c>
      <c r="C377" t="s">
        <v>74</v>
      </c>
      <c r="D377" t="s">
        <v>74</v>
      </c>
      <c r="E377" t="s">
        <v>74</v>
      </c>
      <c r="F377" t="s">
        <v>7666</v>
      </c>
      <c r="G377" t="s">
        <v>74</v>
      </c>
      <c r="H377" t="s">
        <v>74</v>
      </c>
      <c r="I377" t="s">
        <v>7667</v>
      </c>
      <c r="J377" t="s">
        <v>452</v>
      </c>
      <c r="K377" t="s">
        <v>74</v>
      </c>
      <c r="L377" t="s">
        <v>74</v>
      </c>
      <c r="M377" t="s">
        <v>78</v>
      </c>
      <c r="N377" t="s">
        <v>108</v>
      </c>
      <c r="O377" t="s">
        <v>74</v>
      </c>
      <c r="P377" t="s">
        <v>74</v>
      </c>
      <c r="Q377" t="s">
        <v>74</v>
      </c>
      <c r="R377" t="s">
        <v>74</v>
      </c>
      <c r="S377" t="s">
        <v>74</v>
      </c>
      <c r="T377" t="s">
        <v>7668</v>
      </c>
      <c r="U377" t="s">
        <v>7669</v>
      </c>
      <c r="V377" t="s">
        <v>7670</v>
      </c>
      <c r="W377" t="s">
        <v>7671</v>
      </c>
      <c r="X377" t="s">
        <v>7672</v>
      </c>
      <c r="Y377" t="s">
        <v>7673</v>
      </c>
      <c r="Z377" t="s">
        <v>7674</v>
      </c>
      <c r="AA377" t="s">
        <v>74</v>
      </c>
      <c r="AB377" t="s">
        <v>7675</v>
      </c>
      <c r="AC377" t="s">
        <v>7676</v>
      </c>
      <c r="AD377" t="s">
        <v>2329</v>
      </c>
      <c r="AE377" t="s">
        <v>74</v>
      </c>
      <c r="AF377" t="s">
        <v>74</v>
      </c>
      <c r="AG377">
        <v>48</v>
      </c>
      <c r="AH377">
        <v>16</v>
      </c>
      <c r="AI377">
        <v>17</v>
      </c>
      <c r="AJ377">
        <v>0</v>
      </c>
      <c r="AK377">
        <v>10</v>
      </c>
      <c r="AL377" t="s">
        <v>638</v>
      </c>
      <c r="AM377" t="s">
        <v>439</v>
      </c>
      <c r="AN377" t="s">
        <v>639</v>
      </c>
      <c r="AO377" t="s">
        <v>465</v>
      </c>
      <c r="AP377" t="s">
        <v>466</v>
      </c>
      <c r="AQ377" t="s">
        <v>74</v>
      </c>
      <c r="AR377" t="s">
        <v>467</v>
      </c>
      <c r="AS377" t="s">
        <v>468</v>
      </c>
      <c r="AT377" t="s">
        <v>7562</v>
      </c>
      <c r="AU377">
        <v>2019</v>
      </c>
      <c r="AV377">
        <v>379</v>
      </c>
      <c r="AW377" t="s">
        <v>74</v>
      </c>
      <c r="AX377" t="s">
        <v>74</v>
      </c>
      <c r="AY377" t="s">
        <v>74</v>
      </c>
      <c r="AZ377" t="s">
        <v>74</v>
      </c>
      <c r="BA377" t="s">
        <v>74</v>
      </c>
      <c r="BB377">
        <v>60</v>
      </c>
      <c r="BC377">
        <v>71</v>
      </c>
      <c r="BD377" t="s">
        <v>74</v>
      </c>
      <c r="BE377" t="s">
        <v>7677</v>
      </c>
      <c r="BF377" t="str">
        <f>HYPERLINK("http://dx.doi.org/10.1016/j.jvolgeores.2019.05.002","http://dx.doi.org/10.1016/j.jvolgeores.2019.05.002")</f>
        <v>http://dx.doi.org/10.1016/j.jvolgeores.2019.05.002</v>
      </c>
      <c r="BG377" t="s">
        <v>74</v>
      </c>
      <c r="BH377" t="s">
        <v>74</v>
      </c>
      <c r="BI377">
        <v>12</v>
      </c>
      <c r="BJ377" t="s">
        <v>471</v>
      </c>
      <c r="BK377" t="s">
        <v>101</v>
      </c>
      <c r="BL377" t="s">
        <v>472</v>
      </c>
      <c r="BM377" t="s">
        <v>7678</v>
      </c>
      <c r="BN377" t="s">
        <v>74</v>
      </c>
      <c r="BO377" t="s">
        <v>164</v>
      </c>
      <c r="BP377" t="s">
        <v>74</v>
      </c>
      <c r="BQ377" t="s">
        <v>74</v>
      </c>
      <c r="BR377" t="s">
        <v>103</v>
      </c>
      <c r="BS377" t="s">
        <v>7679</v>
      </c>
      <c r="BT377" t="str">
        <f>HYPERLINK("https%3A%2F%2Fwww.webofscience.com%2Fwos%2Fwoscc%2Ffull-record%2FWOS:000471738000005","View Full Record in Web of Science")</f>
        <v>View Full Record in Web of Science</v>
      </c>
    </row>
    <row r="378" spans="1:72" x14ac:dyDescent="0.15">
      <c r="A378" t="s">
        <v>72</v>
      </c>
      <c r="B378" t="s">
        <v>7680</v>
      </c>
      <c r="C378" t="s">
        <v>74</v>
      </c>
      <c r="D378" t="s">
        <v>74</v>
      </c>
      <c r="E378" t="s">
        <v>74</v>
      </c>
      <c r="F378" t="s">
        <v>7681</v>
      </c>
      <c r="G378" t="s">
        <v>74</v>
      </c>
      <c r="H378" t="s">
        <v>74</v>
      </c>
      <c r="I378" t="s">
        <v>7682</v>
      </c>
      <c r="J378" t="s">
        <v>2117</v>
      </c>
      <c r="K378" t="s">
        <v>74</v>
      </c>
      <c r="L378" t="s">
        <v>74</v>
      </c>
      <c r="M378" t="s">
        <v>78</v>
      </c>
      <c r="N378" t="s">
        <v>108</v>
      </c>
      <c r="O378" t="s">
        <v>74</v>
      </c>
      <c r="P378" t="s">
        <v>74</v>
      </c>
      <c r="Q378" t="s">
        <v>74</v>
      </c>
      <c r="R378" t="s">
        <v>74</v>
      </c>
      <c r="S378" t="s">
        <v>74</v>
      </c>
      <c r="T378" t="s">
        <v>7683</v>
      </c>
      <c r="U378" t="s">
        <v>7684</v>
      </c>
      <c r="V378" t="s">
        <v>7685</v>
      </c>
      <c r="W378" t="s">
        <v>7686</v>
      </c>
      <c r="X378" t="s">
        <v>7687</v>
      </c>
      <c r="Y378" t="s">
        <v>7688</v>
      </c>
      <c r="Z378" t="s">
        <v>7689</v>
      </c>
      <c r="AA378" t="s">
        <v>7690</v>
      </c>
      <c r="AB378" t="s">
        <v>7691</v>
      </c>
      <c r="AC378" t="s">
        <v>7692</v>
      </c>
      <c r="AD378" t="s">
        <v>7693</v>
      </c>
      <c r="AE378" t="s">
        <v>7694</v>
      </c>
      <c r="AF378" t="s">
        <v>74</v>
      </c>
      <c r="AG378">
        <v>93</v>
      </c>
      <c r="AH378">
        <v>16</v>
      </c>
      <c r="AI378">
        <v>23</v>
      </c>
      <c r="AJ378">
        <v>5</v>
      </c>
      <c r="AK378">
        <v>59</v>
      </c>
      <c r="AL378" t="s">
        <v>638</v>
      </c>
      <c r="AM378" t="s">
        <v>439</v>
      </c>
      <c r="AN378" t="s">
        <v>639</v>
      </c>
      <c r="AO378" t="s">
        <v>2129</v>
      </c>
      <c r="AP378" t="s">
        <v>2130</v>
      </c>
      <c r="AQ378" t="s">
        <v>74</v>
      </c>
      <c r="AR378" t="s">
        <v>2117</v>
      </c>
      <c r="AS378" t="s">
        <v>2131</v>
      </c>
      <c r="AT378" t="s">
        <v>7562</v>
      </c>
      <c r="AU378">
        <v>2019</v>
      </c>
      <c r="AV378">
        <v>509</v>
      </c>
      <c r="AW378" t="s">
        <v>74</v>
      </c>
      <c r="AX378" t="s">
        <v>74</v>
      </c>
      <c r="AY378" t="s">
        <v>74</v>
      </c>
      <c r="AZ378" t="s">
        <v>74</v>
      </c>
      <c r="BA378" t="s">
        <v>74</v>
      </c>
      <c r="BB378">
        <v>72</v>
      </c>
      <c r="BC378">
        <v>84</v>
      </c>
      <c r="BD378" t="s">
        <v>74</v>
      </c>
      <c r="BE378" t="s">
        <v>7695</v>
      </c>
      <c r="BF378" t="str">
        <f>HYPERLINK("http://dx.doi.org/10.1016/j.aquaculture.2019.05.013","http://dx.doi.org/10.1016/j.aquaculture.2019.05.013")</f>
        <v>http://dx.doi.org/10.1016/j.aquaculture.2019.05.013</v>
      </c>
      <c r="BG378" t="s">
        <v>74</v>
      </c>
      <c r="BH378" t="s">
        <v>74</v>
      </c>
      <c r="BI378">
        <v>13</v>
      </c>
      <c r="BJ378" t="s">
        <v>162</v>
      </c>
      <c r="BK378" t="s">
        <v>101</v>
      </c>
      <c r="BL378" t="s">
        <v>162</v>
      </c>
      <c r="BM378" t="s">
        <v>7696</v>
      </c>
      <c r="BN378" t="s">
        <v>74</v>
      </c>
      <c r="BO378" t="s">
        <v>74</v>
      </c>
      <c r="BP378" t="s">
        <v>74</v>
      </c>
      <c r="BQ378" t="s">
        <v>74</v>
      </c>
      <c r="BR378" t="s">
        <v>103</v>
      </c>
      <c r="BS378" t="s">
        <v>7697</v>
      </c>
      <c r="BT378" t="str">
        <f>HYPERLINK("https%3A%2F%2Fwww.webofscience.com%2Fwos%2Fwoscc%2Ffull-record%2FWOS:000471749800011","View Full Record in Web of Science")</f>
        <v>View Full Record in Web of Science</v>
      </c>
    </row>
    <row r="379" spans="1:72" x14ac:dyDescent="0.15">
      <c r="A379" t="s">
        <v>72</v>
      </c>
      <c r="B379" t="s">
        <v>7698</v>
      </c>
      <c r="C379" t="s">
        <v>74</v>
      </c>
      <c r="D379" t="s">
        <v>74</v>
      </c>
      <c r="E379" t="s">
        <v>74</v>
      </c>
      <c r="F379" t="s">
        <v>7699</v>
      </c>
      <c r="G379" t="s">
        <v>74</v>
      </c>
      <c r="H379" t="s">
        <v>74</v>
      </c>
      <c r="I379" t="s">
        <v>7700</v>
      </c>
      <c r="J379" t="s">
        <v>2117</v>
      </c>
      <c r="K379" t="s">
        <v>74</v>
      </c>
      <c r="L379" t="s">
        <v>74</v>
      </c>
      <c r="M379" t="s">
        <v>78</v>
      </c>
      <c r="N379" t="s">
        <v>108</v>
      </c>
      <c r="O379" t="s">
        <v>74</v>
      </c>
      <c r="P379" t="s">
        <v>74</v>
      </c>
      <c r="Q379" t="s">
        <v>74</v>
      </c>
      <c r="R379" t="s">
        <v>74</v>
      </c>
      <c r="S379" t="s">
        <v>74</v>
      </c>
      <c r="T379" t="s">
        <v>7701</v>
      </c>
      <c r="U379" t="s">
        <v>7702</v>
      </c>
      <c r="V379" t="s">
        <v>7703</v>
      </c>
      <c r="W379" t="s">
        <v>7704</v>
      </c>
      <c r="X379" t="s">
        <v>7705</v>
      </c>
      <c r="Y379" t="s">
        <v>7706</v>
      </c>
      <c r="Z379" t="s">
        <v>7707</v>
      </c>
      <c r="AA379" t="s">
        <v>7708</v>
      </c>
      <c r="AB379" t="s">
        <v>7709</v>
      </c>
      <c r="AC379" t="s">
        <v>7710</v>
      </c>
      <c r="AD379" t="s">
        <v>7711</v>
      </c>
      <c r="AE379" t="s">
        <v>7712</v>
      </c>
      <c r="AF379" t="s">
        <v>74</v>
      </c>
      <c r="AG379">
        <v>57</v>
      </c>
      <c r="AH379">
        <v>14</v>
      </c>
      <c r="AI379">
        <v>14</v>
      </c>
      <c r="AJ379">
        <v>2</v>
      </c>
      <c r="AK379">
        <v>11</v>
      </c>
      <c r="AL379" t="s">
        <v>638</v>
      </c>
      <c r="AM379" t="s">
        <v>439</v>
      </c>
      <c r="AN379" t="s">
        <v>639</v>
      </c>
      <c r="AO379" t="s">
        <v>2129</v>
      </c>
      <c r="AP379" t="s">
        <v>2130</v>
      </c>
      <c r="AQ379" t="s">
        <v>74</v>
      </c>
      <c r="AR379" t="s">
        <v>2117</v>
      </c>
      <c r="AS379" t="s">
        <v>2131</v>
      </c>
      <c r="AT379" t="s">
        <v>7562</v>
      </c>
      <c r="AU379">
        <v>2019</v>
      </c>
      <c r="AV379">
        <v>509</v>
      </c>
      <c r="AW379" t="s">
        <v>74</v>
      </c>
      <c r="AX379" t="s">
        <v>74</v>
      </c>
      <c r="AY379" t="s">
        <v>74</v>
      </c>
      <c r="AZ379" t="s">
        <v>74</v>
      </c>
      <c r="BA379" t="s">
        <v>74</v>
      </c>
      <c r="BB379">
        <v>209</v>
      </c>
      <c r="BC379">
        <v>220</v>
      </c>
      <c r="BD379" t="s">
        <v>74</v>
      </c>
      <c r="BE379" t="s">
        <v>7713</v>
      </c>
      <c r="BF379" t="str">
        <f>HYPERLINK("http://dx.doi.org/10.1016/j.aquaculture.2019.05.020","http://dx.doi.org/10.1016/j.aquaculture.2019.05.020")</f>
        <v>http://dx.doi.org/10.1016/j.aquaculture.2019.05.020</v>
      </c>
      <c r="BG379" t="s">
        <v>74</v>
      </c>
      <c r="BH379" t="s">
        <v>74</v>
      </c>
      <c r="BI379">
        <v>12</v>
      </c>
      <c r="BJ379" t="s">
        <v>162</v>
      </c>
      <c r="BK379" t="s">
        <v>101</v>
      </c>
      <c r="BL379" t="s">
        <v>162</v>
      </c>
      <c r="BM379" t="s">
        <v>7696</v>
      </c>
      <c r="BN379" t="s">
        <v>74</v>
      </c>
      <c r="BO379" t="s">
        <v>537</v>
      </c>
      <c r="BP379" t="s">
        <v>74</v>
      </c>
      <c r="BQ379" t="s">
        <v>74</v>
      </c>
      <c r="BR379" t="s">
        <v>103</v>
      </c>
      <c r="BS379" t="s">
        <v>7714</v>
      </c>
      <c r="BT379" t="str">
        <f>HYPERLINK("https%3A%2F%2Fwww.webofscience.com%2Fwos%2Fwoscc%2Ffull-record%2FWOS:000471749800027","View Full Record in Web of Science")</f>
        <v>View Full Record in Web of Science</v>
      </c>
    </row>
    <row r="380" spans="1:72" x14ac:dyDescent="0.15">
      <c r="A380" t="s">
        <v>72</v>
      </c>
      <c r="B380" t="s">
        <v>7715</v>
      </c>
      <c r="C380" t="s">
        <v>74</v>
      </c>
      <c r="D380" t="s">
        <v>74</v>
      </c>
      <c r="E380" t="s">
        <v>74</v>
      </c>
      <c r="F380" t="s">
        <v>7716</v>
      </c>
      <c r="G380" t="s">
        <v>74</v>
      </c>
      <c r="H380" t="s">
        <v>74</v>
      </c>
      <c r="I380" t="s">
        <v>7717</v>
      </c>
      <c r="J380" t="s">
        <v>519</v>
      </c>
      <c r="K380" t="s">
        <v>74</v>
      </c>
      <c r="L380" t="s">
        <v>74</v>
      </c>
      <c r="M380" t="s">
        <v>78</v>
      </c>
      <c r="N380" t="s">
        <v>108</v>
      </c>
      <c r="O380" t="s">
        <v>74</v>
      </c>
      <c r="P380" t="s">
        <v>74</v>
      </c>
      <c r="Q380" t="s">
        <v>74</v>
      </c>
      <c r="R380" t="s">
        <v>74</v>
      </c>
      <c r="S380" t="s">
        <v>74</v>
      </c>
      <c r="T380" t="s">
        <v>7718</v>
      </c>
      <c r="U380" t="s">
        <v>7719</v>
      </c>
      <c r="V380" t="s">
        <v>7720</v>
      </c>
      <c r="W380" t="s">
        <v>7721</v>
      </c>
      <c r="X380" t="s">
        <v>7722</v>
      </c>
      <c r="Y380" t="s">
        <v>7723</v>
      </c>
      <c r="Z380" t="s">
        <v>7724</v>
      </c>
      <c r="AA380" t="s">
        <v>74</v>
      </c>
      <c r="AB380" t="s">
        <v>7725</v>
      </c>
      <c r="AC380" t="s">
        <v>7726</v>
      </c>
      <c r="AD380" t="s">
        <v>7727</v>
      </c>
      <c r="AE380" t="s">
        <v>7728</v>
      </c>
      <c r="AF380" t="s">
        <v>74</v>
      </c>
      <c r="AG380">
        <v>47</v>
      </c>
      <c r="AH380">
        <v>18</v>
      </c>
      <c r="AI380">
        <v>20</v>
      </c>
      <c r="AJ380">
        <v>0</v>
      </c>
      <c r="AK380">
        <v>11</v>
      </c>
      <c r="AL380" t="s">
        <v>638</v>
      </c>
      <c r="AM380" t="s">
        <v>439</v>
      </c>
      <c r="AN380" t="s">
        <v>639</v>
      </c>
      <c r="AO380" t="s">
        <v>531</v>
      </c>
      <c r="AP380" t="s">
        <v>532</v>
      </c>
      <c r="AQ380" t="s">
        <v>74</v>
      </c>
      <c r="AR380" t="s">
        <v>533</v>
      </c>
      <c r="AS380" t="s">
        <v>534</v>
      </c>
      <c r="AT380" t="s">
        <v>7562</v>
      </c>
      <c r="AU380">
        <v>2019</v>
      </c>
      <c r="AV380">
        <v>518</v>
      </c>
      <c r="AW380" t="s">
        <v>74</v>
      </c>
      <c r="AX380" t="s">
        <v>74</v>
      </c>
      <c r="AY380" t="s">
        <v>74</v>
      </c>
      <c r="AZ380" t="s">
        <v>74</v>
      </c>
      <c r="BA380" t="s">
        <v>74</v>
      </c>
      <c r="BB380">
        <v>127</v>
      </c>
      <c r="BC380">
        <v>135</v>
      </c>
      <c r="BD380" t="s">
        <v>74</v>
      </c>
      <c r="BE380" t="s">
        <v>7729</v>
      </c>
      <c r="BF380" t="str">
        <f>HYPERLINK("http://dx.doi.org/10.1016/j.epsl.2019.05.002","http://dx.doi.org/10.1016/j.epsl.2019.05.002")</f>
        <v>http://dx.doi.org/10.1016/j.epsl.2019.05.002</v>
      </c>
      <c r="BG380" t="s">
        <v>74</v>
      </c>
      <c r="BH380" t="s">
        <v>74</v>
      </c>
      <c r="BI380">
        <v>9</v>
      </c>
      <c r="BJ380" t="s">
        <v>190</v>
      </c>
      <c r="BK380" t="s">
        <v>101</v>
      </c>
      <c r="BL380" t="s">
        <v>190</v>
      </c>
      <c r="BM380" t="s">
        <v>7730</v>
      </c>
      <c r="BN380" t="s">
        <v>74</v>
      </c>
      <c r="BO380" t="s">
        <v>2112</v>
      </c>
      <c r="BP380" t="s">
        <v>74</v>
      </c>
      <c r="BQ380" t="s">
        <v>74</v>
      </c>
      <c r="BR380" t="s">
        <v>103</v>
      </c>
      <c r="BS380" t="s">
        <v>7731</v>
      </c>
      <c r="BT380" t="str">
        <f>HYPERLINK("https%3A%2F%2Fwww.webofscience.com%2Fwos%2Fwoscc%2Ffull-record%2FWOS:000471206200012","View Full Record in Web of Science")</f>
        <v>View Full Record in Web of Science</v>
      </c>
    </row>
    <row r="381" spans="1:72" x14ac:dyDescent="0.15">
      <c r="A381" t="s">
        <v>72</v>
      </c>
      <c r="B381" t="s">
        <v>7732</v>
      </c>
      <c r="C381" t="s">
        <v>74</v>
      </c>
      <c r="D381" t="s">
        <v>74</v>
      </c>
      <c r="E381" t="s">
        <v>74</v>
      </c>
      <c r="F381" t="s">
        <v>7733</v>
      </c>
      <c r="G381" t="s">
        <v>74</v>
      </c>
      <c r="H381" t="s">
        <v>74</v>
      </c>
      <c r="I381" t="s">
        <v>7734</v>
      </c>
      <c r="J381" t="s">
        <v>519</v>
      </c>
      <c r="K381" t="s">
        <v>74</v>
      </c>
      <c r="L381" t="s">
        <v>74</v>
      </c>
      <c r="M381" t="s">
        <v>78</v>
      </c>
      <c r="N381" t="s">
        <v>108</v>
      </c>
      <c r="O381" t="s">
        <v>74</v>
      </c>
      <c r="P381" t="s">
        <v>74</v>
      </c>
      <c r="Q381" t="s">
        <v>74</v>
      </c>
      <c r="R381" t="s">
        <v>74</v>
      </c>
      <c r="S381" t="s">
        <v>74</v>
      </c>
      <c r="T381" t="s">
        <v>7735</v>
      </c>
      <c r="U381" t="s">
        <v>7736</v>
      </c>
      <c r="V381" t="s">
        <v>7737</v>
      </c>
      <c r="W381" t="s">
        <v>7738</v>
      </c>
      <c r="X381" t="s">
        <v>7739</v>
      </c>
      <c r="Y381" t="s">
        <v>7740</v>
      </c>
      <c r="Z381" t="s">
        <v>7741</v>
      </c>
      <c r="AA381" t="s">
        <v>7742</v>
      </c>
      <c r="AB381" t="s">
        <v>7743</v>
      </c>
      <c r="AC381" t="s">
        <v>7744</v>
      </c>
      <c r="AD381" t="s">
        <v>981</v>
      </c>
      <c r="AE381" t="s">
        <v>7745</v>
      </c>
      <c r="AF381" t="s">
        <v>74</v>
      </c>
      <c r="AG381">
        <v>47</v>
      </c>
      <c r="AH381">
        <v>17</v>
      </c>
      <c r="AI381">
        <v>17</v>
      </c>
      <c r="AJ381">
        <v>2</v>
      </c>
      <c r="AK381">
        <v>5</v>
      </c>
      <c r="AL381" t="s">
        <v>638</v>
      </c>
      <c r="AM381" t="s">
        <v>439</v>
      </c>
      <c r="AN381" t="s">
        <v>639</v>
      </c>
      <c r="AO381" t="s">
        <v>531</v>
      </c>
      <c r="AP381" t="s">
        <v>532</v>
      </c>
      <c r="AQ381" t="s">
        <v>74</v>
      </c>
      <c r="AR381" t="s">
        <v>533</v>
      </c>
      <c r="AS381" t="s">
        <v>534</v>
      </c>
      <c r="AT381" t="s">
        <v>7562</v>
      </c>
      <c r="AU381">
        <v>2019</v>
      </c>
      <c r="AV381">
        <v>518</v>
      </c>
      <c r="AW381" t="s">
        <v>74</v>
      </c>
      <c r="AX381" t="s">
        <v>74</v>
      </c>
      <c r="AY381" t="s">
        <v>74</v>
      </c>
      <c r="AZ381" t="s">
        <v>74</v>
      </c>
      <c r="BA381" t="s">
        <v>74</v>
      </c>
      <c r="BB381">
        <v>136</v>
      </c>
      <c r="BC381">
        <v>147</v>
      </c>
      <c r="BD381" t="s">
        <v>74</v>
      </c>
      <c r="BE381" t="s">
        <v>7746</v>
      </c>
      <c r="BF381" t="str">
        <f>HYPERLINK("http://dx.doi.org/10.1016/j.epsl.2019.04.031","http://dx.doi.org/10.1016/j.epsl.2019.04.031")</f>
        <v>http://dx.doi.org/10.1016/j.epsl.2019.04.031</v>
      </c>
      <c r="BG381" t="s">
        <v>74</v>
      </c>
      <c r="BH381" t="s">
        <v>74</v>
      </c>
      <c r="BI381">
        <v>12</v>
      </c>
      <c r="BJ381" t="s">
        <v>190</v>
      </c>
      <c r="BK381" t="s">
        <v>101</v>
      </c>
      <c r="BL381" t="s">
        <v>190</v>
      </c>
      <c r="BM381" t="s">
        <v>7730</v>
      </c>
      <c r="BN381" t="s">
        <v>74</v>
      </c>
      <c r="BO381" t="s">
        <v>6249</v>
      </c>
      <c r="BP381" t="s">
        <v>74</v>
      </c>
      <c r="BQ381" t="s">
        <v>74</v>
      </c>
      <c r="BR381" t="s">
        <v>103</v>
      </c>
      <c r="BS381" t="s">
        <v>7747</v>
      </c>
      <c r="BT381" t="str">
        <f>HYPERLINK("https%3A%2F%2Fwww.webofscience.com%2Fwos%2Fwoscc%2Ffull-record%2FWOS:000471206200013","View Full Record in Web of Science")</f>
        <v>View Full Record in Web of Science</v>
      </c>
    </row>
    <row r="382" spans="1:72" x14ac:dyDescent="0.15">
      <c r="A382" t="s">
        <v>72</v>
      </c>
      <c r="B382" t="s">
        <v>7748</v>
      </c>
      <c r="C382" t="s">
        <v>74</v>
      </c>
      <c r="D382" t="s">
        <v>74</v>
      </c>
      <c r="E382" t="s">
        <v>74</v>
      </c>
      <c r="F382" t="s">
        <v>7749</v>
      </c>
      <c r="G382" t="s">
        <v>74</v>
      </c>
      <c r="H382" t="s">
        <v>74</v>
      </c>
      <c r="I382" t="s">
        <v>7750</v>
      </c>
      <c r="J382" t="s">
        <v>7751</v>
      </c>
      <c r="K382" t="s">
        <v>74</v>
      </c>
      <c r="L382" t="s">
        <v>74</v>
      </c>
      <c r="M382" t="s">
        <v>78</v>
      </c>
      <c r="N382" t="s">
        <v>108</v>
      </c>
      <c r="O382" t="s">
        <v>74</v>
      </c>
      <c r="P382" t="s">
        <v>74</v>
      </c>
      <c r="Q382" t="s">
        <v>74</v>
      </c>
      <c r="R382" t="s">
        <v>74</v>
      </c>
      <c r="S382" t="s">
        <v>74</v>
      </c>
      <c r="T382" t="s">
        <v>7752</v>
      </c>
      <c r="U382" t="s">
        <v>7753</v>
      </c>
      <c r="V382" t="s">
        <v>7754</v>
      </c>
      <c r="W382" t="s">
        <v>7755</v>
      </c>
      <c r="X382" t="s">
        <v>7756</v>
      </c>
      <c r="Y382" t="s">
        <v>7757</v>
      </c>
      <c r="Z382" t="s">
        <v>7758</v>
      </c>
      <c r="AA382" t="s">
        <v>7759</v>
      </c>
      <c r="AB382" t="s">
        <v>7760</v>
      </c>
      <c r="AC382" t="s">
        <v>7761</v>
      </c>
      <c r="AD382" t="s">
        <v>7762</v>
      </c>
      <c r="AE382" t="s">
        <v>7763</v>
      </c>
      <c r="AF382" t="s">
        <v>74</v>
      </c>
      <c r="AG382">
        <v>107</v>
      </c>
      <c r="AH382">
        <v>19</v>
      </c>
      <c r="AI382">
        <v>19</v>
      </c>
      <c r="AJ382">
        <v>0</v>
      </c>
      <c r="AK382">
        <v>17</v>
      </c>
      <c r="AL382" t="s">
        <v>638</v>
      </c>
      <c r="AM382" t="s">
        <v>439</v>
      </c>
      <c r="AN382" t="s">
        <v>639</v>
      </c>
      <c r="AO382" t="s">
        <v>7764</v>
      </c>
      <c r="AP382" t="s">
        <v>7765</v>
      </c>
      <c r="AQ382" t="s">
        <v>74</v>
      </c>
      <c r="AR382" t="s">
        <v>7751</v>
      </c>
      <c r="AS382" t="s">
        <v>7766</v>
      </c>
      <c r="AT382" t="s">
        <v>7562</v>
      </c>
      <c r="AU382">
        <v>2019</v>
      </c>
      <c r="AV382">
        <v>337</v>
      </c>
      <c r="AW382" t="s">
        <v>74</v>
      </c>
      <c r="AX382" t="s">
        <v>74</v>
      </c>
      <c r="AY382" t="s">
        <v>74</v>
      </c>
      <c r="AZ382" t="s">
        <v>74</v>
      </c>
      <c r="BA382" t="s">
        <v>74</v>
      </c>
      <c r="BB382">
        <v>111</v>
      </c>
      <c r="BC382">
        <v>133</v>
      </c>
      <c r="BD382" t="s">
        <v>74</v>
      </c>
      <c r="BE382" t="s">
        <v>7767</v>
      </c>
      <c r="BF382" t="str">
        <f>HYPERLINK("http://dx.doi.org/10.1016/j.geomorph.2019.03.007","http://dx.doi.org/10.1016/j.geomorph.2019.03.007")</f>
        <v>http://dx.doi.org/10.1016/j.geomorph.2019.03.007</v>
      </c>
      <c r="BG382" t="s">
        <v>74</v>
      </c>
      <c r="BH382" t="s">
        <v>74</v>
      </c>
      <c r="BI382">
        <v>23</v>
      </c>
      <c r="BJ382" t="s">
        <v>310</v>
      </c>
      <c r="BK382" t="s">
        <v>101</v>
      </c>
      <c r="BL382" t="s">
        <v>311</v>
      </c>
      <c r="BM382" t="s">
        <v>7768</v>
      </c>
      <c r="BN382" t="s">
        <v>74</v>
      </c>
      <c r="BO382" t="s">
        <v>595</v>
      </c>
      <c r="BP382" t="s">
        <v>74</v>
      </c>
      <c r="BQ382" t="s">
        <v>74</v>
      </c>
      <c r="BR382" t="s">
        <v>103</v>
      </c>
      <c r="BS382" t="s">
        <v>7769</v>
      </c>
      <c r="BT382" t="str">
        <f>HYPERLINK("https%3A%2F%2Fwww.webofscience.com%2Fwos%2Fwoscc%2Ffull-record%2FWOS:000470048500008","View Full Record in Web of Science")</f>
        <v>View Full Record in Web of Science</v>
      </c>
    </row>
    <row r="383" spans="1:72" x14ac:dyDescent="0.15">
      <c r="A383" t="s">
        <v>72</v>
      </c>
      <c r="B383" t="s">
        <v>7770</v>
      </c>
      <c r="C383" t="s">
        <v>74</v>
      </c>
      <c r="D383" t="s">
        <v>74</v>
      </c>
      <c r="E383" t="s">
        <v>74</v>
      </c>
      <c r="F383" t="s">
        <v>7771</v>
      </c>
      <c r="G383" t="s">
        <v>74</v>
      </c>
      <c r="H383" t="s">
        <v>74</v>
      </c>
      <c r="I383" t="s">
        <v>7772</v>
      </c>
      <c r="J383" t="s">
        <v>7773</v>
      </c>
      <c r="K383" t="s">
        <v>74</v>
      </c>
      <c r="L383" t="s">
        <v>74</v>
      </c>
      <c r="M383" t="s">
        <v>78</v>
      </c>
      <c r="N383" t="s">
        <v>108</v>
      </c>
      <c r="O383" t="s">
        <v>74</v>
      </c>
      <c r="P383" t="s">
        <v>74</v>
      </c>
      <c r="Q383" t="s">
        <v>74</v>
      </c>
      <c r="R383" t="s">
        <v>74</v>
      </c>
      <c r="S383" t="s">
        <v>74</v>
      </c>
      <c r="T383" t="s">
        <v>74</v>
      </c>
      <c r="U383" t="s">
        <v>7774</v>
      </c>
      <c r="V383" t="s">
        <v>7775</v>
      </c>
      <c r="W383" t="s">
        <v>7776</v>
      </c>
      <c r="X383" t="s">
        <v>7777</v>
      </c>
      <c r="Y383" t="s">
        <v>7778</v>
      </c>
      <c r="Z383" t="s">
        <v>7779</v>
      </c>
      <c r="AA383" t="s">
        <v>7780</v>
      </c>
      <c r="AB383" t="s">
        <v>7781</v>
      </c>
      <c r="AC383" t="s">
        <v>7782</v>
      </c>
      <c r="AD383" t="s">
        <v>7783</v>
      </c>
      <c r="AE383" t="s">
        <v>7784</v>
      </c>
      <c r="AF383" t="s">
        <v>74</v>
      </c>
      <c r="AG383">
        <v>22</v>
      </c>
      <c r="AH383">
        <v>7</v>
      </c>
      <c r="AI383">
        <v>8</v>
      </c>
      <c r="AJ383">
        <v>0</v>
      </c>
      <c r="AK383">
        <v>7</v>
      </c>
      <c r="AL383" t="s">
        <v>1274</v>
      </c>
      <c r="AM383" t="s">
        <v>1275</v>
      </c>
      <c r="AN383" t="s">
        <v>1276</v>
      </c>
      <c r="AO383" t="s">
        <v>7785</v>
      </c>
      <c r="AP383" t="s">
        <v>7786</v>
      </c>
      <c r="AQ383" t="s">
        <v>74</v>
      </c>
      <c r="AR383" t="s">
        <v>7787</v>
      </c>
      <c r="AS383" t="s">
        <v>7788</v>
      </c>
      <c r="AT383" t="s">
        <v>1281</v>
      </c>
      <c r="AU383">
        <v>2020</v>
      </c>
      <c r="AV383">
        <v>41</v>
      </c>
      <c r="AW383">
        <v>1</v>
      </c>
      <c r="AX383" t="s">
        <v>74</v>
      </c>
      <c r="AY383" t="s">
        <v>74</v>
      </c>
      <c r="AZ383" t="s">
        <v>74</v>
      </c>
      <c r="BA383" t="s">
        <v>74</v>
      </c>
      <c r="BB383">
        <v>339</v>
      </c>
      <c r="BC383">
        <v>352</v>
      </c>
      <c r="BD383" t="s">
        <v>74</v>
      </c>
      <c r="BE383" t="s">
        <v>7789</v>
      </c>
      <c r="BF383" t="str">
        <f>HYPERLINK("http://dx.doi.org/10.1080/01431161.2019.1641247","http://dx.doi.org/10.1080/01431161.2019.1641247")</f>
        <v>http://dx.doi.org/10.1080/01431161.2019.1641247</v>
      </c>
      <c r="BG383" t="s">
        <v>74</v>
      </c>
      <c r="BH383" t="s">
        <v>6119</v>
      </c>
      <c r="BI383">
        <v>14</v>
      </c>
      <c r="BJ383" t="s">
        <v>7790</v>
      </c>
      <c r="BK383" t="s">
        <v>101</v>
      </c>
      <c r="BL383" t="s">
        <v>7790</v>
      </c>
      <c r="BM383" t="s">
        <v>7791</v>
      </c>
      <c r="BN383" t="s">
        <v>74</v>
      </c>
      <c r="BO383" t="s">
        <v>74</v>
      </c>
      <c r="BP383" t="s">
        <v>74</v>
      </c>
      <c r="BQ383" t="s">
        <v>74</v>
      </c>
      <c r="BR383" t="s">
        <v>103</v>
      </c>
      <c r="BS383" t="s">
        <v>7792</v>
      </c>
      <c r="BT383" t="str">
        <f>HYPERLINK("https%3A%2F%2Fwww.webofscience.com%2Fwos%2Fwoscc%2Ffull-record%2FWOS:000476205700001","View Full Record in Web of Science")</f>
        <v>View Full Record in Web of Science</v>
      </c>
    </row>
    <row r="384" spans="1:72" x14ac:dyDescent="0.15">
      <c r="A384" t="s">
        <v>72</v>
      </c>
      <c r="B384" t="s">
        <v>7793</v>
      </c>
      <c r="C384" t="s">
        <v>74</v>
      </c>
      <c r="D384" t="s">
        <v>74</v>
      </c>
      <c r="E384" t="s">
        <v>74</v>
      </c>
      <c r="F384" t="s">
        <v>7794</v>
      </c>
      <c r="G384" t="s">
        <v>74</v>
      </c>
      <c r="H384" t="s">
        <v>74</v>
      </c>
      <c r="I384" t="s">
        <v>7795</v>
      </c>
      <c r="J384" t="s">
        <v>2737</v>
      </c>
      <c r="K384" t="s">
        <v>74</v>
      </c>
      <c r="L384" t="s">
        <v>74</v>
      </c>
      <c r="M384" t="s">
        <v>78</v>
      </c>
      <c r="N384" t="s">
        <v>108</v>
      </c>
      <c r="O384" t="s">
        <v>74</v>
      </c>
      <c r="P384" t="s">
        <v>74</v>
      </c>
      <c r="Q384" t="s">
        <v>74</v>
      </c>
      <c r="R384" t="s">
        <v>74</v>
      </c>
      <c r="S384" t="s">
        <v>74</v>
      </c>
      <c r="T384" t="s">
        <v>7796</v>
      </c>
      <c r="U384" t="s">
        <v>7797</v>
      </c>
      <c r="V384" t="s">
        <v>7798</v>
      </c>
      <c r="W384" t="s">
        <v>7799</v>
      </c>
      <c r="X384" t="s">
        <v>7800</v>
      </c>
      <c r="Y384" t="s">
        <v>7801</v>
      </c>
      <c r="Z384" t="s">
        <v>7802</v>
      </c>
      <c r="AA384" t="s">
        <v>7803</v>
      </c>
      <c r="AB384" t="s">
        <v>7804</v>
      </c>
      <c r="AC384" t="s">
        <v>74</v>
      </c>
      <c r="AD384" t="s">
        <v>74</v>
      </c>
      <c r="AE384" t="s">
        <v>74</v>
      </c>
      <c r="AF384" t="s">
        <v>74</v>
      </c>
      <c r="AG384">
        <v>52</v>
      </c>
      <c r="AH384">
        <v>1</v>
      </c>
      <c r="AI384">
        <v>1</v>
      </c>
      <c r="AJ384">
        <v>0</v>
      </c>
      <c r="AK384">
        <v>1</v>
      </c>
      <c r="AL384" t="s">
        <v>2749</v>
      </c>
      <c r="AM384" t="s">
        <v>2750</v>
      </c>
      <c r="AN384" t="s">
        <v>2751</v>
      </c>
      <c r="AO384" t="s">
        <v>2752</v>
      </c>
      <c r="AP384" t="s">
        <v>2753</v>
      </c>
      <c r="AQ384" t="s">
        <v>74</v>
      </c>
      <c r="AR384" t="s">
        <v>7805</v>
      </c>
      <c r="AS384" t="s">
        <v>2755</v>
      </c>
      <c r="AT384" t="s">
        <v>7806</v>
      </c>
      <c r="AU384">
        <v>2019</v>
      </c>
      <c r="AV384">
        <v>38</v>
      </c>
      <c r="AW384" t="s">
        <v>74</v>
      </c>
      <c r="AX384" t="s">
        <v>74</v>
      </c>
      <c r="AY384" t="s">
        <v>74</v>
      </c>
      <c r="AZ384" t="s">
        <v>74</v>
      </c>
      <c r="BA384" t="s">
        <v>74</v>
      </c>
      <c r="BB384" t="s">
        <v>74</v>
      </c>
      <c r="BC384" t="s">
        <v>74</v>
      </c>
      <c r="BD384">
        <v>3325</v>
      </c>
      <c r="BE384" t="s">
        <v>7807</v>
      </c>
      <c r="BF384" t="str">
        <f>HYPERLINK("http://dx.doi.org/10.33265/polar.v38.3325","http://dx.doi.org/10.33265/polar.v38.3325")</f>
        <v>http://dx.doi.org/10.33265/polar.v38.3325</v>
      </c>
      <c r="BG384" t="s">
        <v>74</v>
      </c>
      <c r="BH384" t="s">
        <v>74</v>
      </c>
      <c r="BI384">
        <v>7</v>
      </c>
      <c r="BJ384" t="s">
        <v>2757</v>
      </c>
      <c r="BK384" t="s">
        <v>101</v>
      </c>
      <c r="BL384" t="s">
        <v>2758</v>
      </c>
      <c r="BM384" t="s">
        <v>7808</v>
      </c>
      <c r="BN384" t="s">
        <v>74</v>
      </c>
      <c r="BO384" t="s">
        <v>2565</v>
      </c>
      <c r="BP384" t="s">
        <v>74</v>
      </c>
      <c r="BQ384" t="s">
        <v>74</v>
      </c>
      <c r="BR384" t="s">
        <v>103</v>
      </c>
      <c r="BS384" t="s">
        <v>7809</v>
      </c>
      <c r="BT384" t="str">
        <f>HYPERLINK("https%3A%2F%2Fwww.webofscience.com%2Fwos%2Fwoscc%2Ffull-record%2FWOS:000477616000001","View Full Record in Web of Science")</f>
        <v>View Full Record in Web of Science</v>
      </c>
    </row>
    <row r="385" spans="1:72" x14ac:dyDescent="0.15">
      <c r="A385" t="s">
        <v>72</v>
      </c>
      <c r="B385" t="s">
        <v>7810</v>
      </c>
      <c r="C385" t="s">
        <v>74</v>
      </c>
      <c r="D385" t="s">
        <v>74</v>
      </c>
      <c r="E385" t="s">
        <v>74</v>
      </c>
      <c r="F385" t="s">
        <v>7811</v>
      </c>
      <c r="G385" t="s">
        <v>74</v>
      </c>
      <c r="H385" t="s">
        <v>74</v>
      </c>
      <c r="I385" t="s">
        <v>7812</v>
      </c>
      <c r="J385" t="s">
        <v>989</v>
      </c>
      <c r="K385" t="s">
        <v>74</v>
      </c>
      <c r="L385" t="s">
        <v>74</v>
      </c>
      <c r="M385" t="s">
        <v>78</v>
      </c>
      <c r="N385" t="s">
        <v>108</v>
      </c>
      <c r="O385" t="s">
        <v>74</v>
      </c>
      <c r="P385" t="s">
        <v>74</v>
      </c>
      <c r="Q385" t="s">
        <v>74</v>
      </c>
      <c r="R385" t="s">
        <v>74</v>
      </c>
      <c r="S385" t="s">
        <v>74</v>
      </c>
      <c r="T385" t="s">
        <v>74</v>
      </c>
      <c r="U385" t="s">
        <v>7813</v>
      </c>
      <c r="V385" t="s">
        <v>7814</v>
      </c>
      <c r="W385" t="s">
        <v>7815</v>
      </c>
      <c r="X385" t="s">
        <v>7816</v>
      </c>
      <c r="Y385" t="s">
        <v>7817</v>
      </c>
      <c r="Z385" t="s">
        <v>7818</v>
      </c>
      <c r="AA385" t="s">
        <v>7819</v>
      </c>
      <c r="AB385" t="s">
        <v>7820</v>
      </c>
      <c r="AC385" t="s">
        <v>7821</v>
      </c>
      <c r="AD385" t="s">
        <v>7822</v>
      </c>
      <c r="AE385" t="s">
        <v>7823</v>
      </c>
      <c r="AF385" t="s">
        <v>74</v>
      </c>
      <c r="AG385">
        <v>46</v>
      </c>
      <c r="AH385">
        <v>20</v>
      </c>
      <c r="AI385">
        <v>23</v>
      </c>
      <c r="AJ385">
        <v>4</v>
      </c>
      <c r="AK385">
        <v>36</v>
      </c>
      <c r="AL385" t="s">
        <v>998</v>
      </c>
      <c r="AM385" t="s">
        <v>657</v>
      </c>
      <c r="AN385" t="s">
        <v>999</v>
      </c>
      <c r="AO385" t="s">
        <v>1000</v>
      </c>
      <c r="AP385" t="s">
        <v>74</v>
      </c>
      <c r="AQ385" t="s">
        <v>74</v>
      </c>
      <c r="AR385" t="s">
        <v>1001</v>
      </c>
      <c r="AS385" t="s">
        <v>1002</v>
      </c>
      <c r="AT385" t="s">
        <v>7806</v>
      </c>
      <c r="AU385">
        <v>2019</v>
      </c>
      <c r="AV385">
        <v>9</v>
      </c>
      <c r="AW385" t="s">
        <v>74</v>
      </c>
      <c r="AX385" t="s">
        <v>74</v>
      </c>
      <c r="AY385" t="s">
        <v>74</v>
      </c>
      <c r="AZ385" t="s">
        <v>74</v>
      </c>
      <c r="BA385" t="s">
        <v>74</v>
      </c>
      <c r="BB385" t="s">
        <v>74</v>
      </c>
      <c r="BC385" t="s">
        <v>74</v>
      </c>
      <c r="BD385">
        <v>10087</v>
      </c>
      <c r="BE385" t="s">
        <v>7824</v>
      </c>
      <c r="BF385" t="str">
        <f>HYPERLINK("http://dx.doi.org/10.1038/s41598-019-46423-1","http://dx.doi.org/10.1038/s41598-019-46423-1")</f>
        <v>http://dx.doi.org/10.1038/s41598-019-46423-1</v>
      </c>
      <c r="BG385" t="s">
        <v>74</v>
      </c>
      <c r="BH385" t="s">
        <v>74</v>
      </c>
      <c r="BI385">
        <v>7</v>
      </c>
      <c r="BJ385" t="s">
        <v>1004</v>
      </c>
      <c r="BK385" t="s">
        <v>101</v>
      </c>
      <c r="BL385" t="s">
        <v>1005</v>
      </c>
      <c r="BM385" t="s">
        <v>7825</v>
      </c>
      <c r="BN385">
        <v>31300750</v>
      </c>
      <c r="BO385" t="s">
        <v>402</v>
      </c>
      <c r="BP385" t="s">
        <v>74</v>
      </c>
      <c r="BQ385" t="s">
        <v>74</v>
      </c>
      <c r="BR385" t="s">
        <v>103</v>
      </c>
      <c r="BS385" t="s">
        <v>7826</v>
      </c>
      <c r="BT385" t="str">
        <f>HYPERLINK("https%3A%2F%2Fwww.webofscience.com%2Fwos%2Fwoscc%2Ffull-record%2FWOS:000475292700009","View Full Record in Web of Science")</f>
        <v>View Full Record in Web of Science</v>
      </c>
    </row>
    <row r="386" spans="1:72" x14ac:dyDescent="0.15">
      <c r="A386" t="s">
        <v>72</v>
      </c>
      <c r="B386" t="s">
        <v>7827</v>
      </c>
      <c r="C386" t="s">
        <v>74</v>
      </c>
      <c r="D386" t="s">
        <v>74</v>
      </c>
      <c r="E386" t="s">
        <v>74</v>
      </c>
      <c r="F386" t="s">
        <v>7828</v>
      </c>
      <c r="G386" t="s">
        <v>74</v>
      </c>
      <c r="H386" t="s">
        <v>74</v>
      </c>
      <c r="I386" t="s">
        <v>7829</v>
      </c>
      <c r="J386" t="s">
        <v>989</v>
      </c>
      <c r="K386" t="s">
        <v>74</v>
      </c>
      <c r="L386" t="s">
        <v>74</v>
      </c>
      <c r="M386" t="s">
        <v>78</v>
      </c>
      <c r="N386" t="s">
        <v>108</v>
      </c>
      <c r="O386" t="s">
        <v>74</v>
      </c>
      <c r="P386" t="s">
        <v>74</v>
      </c>
      <c r="Q386" t="s">
        <v>74</v>
      </c>
      <c r="R386" t="s">
        <v>74</v>
      </c>
      <c r="S386" t="s">
        <v>74</v>
      </c>
      <c r="T386" t="s">
        <v>74</v>
      </c>
      <c r="U386" t="s">
        <v>7830</v>
      </c>
      <c r="V386" t="s">
        <v>7831</v>
      </c>
      <c r="W386" t="s">
        <v>7832</v>
      </c>
      <c r="X386" t="s">
        <v>7833</v>
      </c>
      <c r="Y386" t="s">
        <v>7834</v>
      </c>
      <c r="Z386" t="s">
        <v>7835</v>
      </c>
      <c r="AA386" t="s">
        <v>7836</v>
      </c>
      <c r="AB386" t="s">
        <v>7837</v>
      </c>
      <c r="AC386" t="s">
        <v>7838</v>
      </c>
      <c r="AD386" t="s">
        <v>7839</v>
      </c>
      <c r="AE386" t="s">
        <v>7840</v>
      </c>
      <c r="AF386" t="s">
        <v>74</v>
      </c>
      <c r="AG386">
        <v>76</v>
      </c>
      <c r="AH386">
        <v>19</v>
      </c>
      <c r="AI386">
        <v>22</v>
      </c>
      <c r="AJ386">
        <v>0</v>
      </c>
      <c r="AK386">
        <v>12</v>
      </c>
      <c r="AL386" t="s">
        <v>7841</v>
      </c>
      <c r="AM386" t="s">
        <v>1020</v>
      </c>
      <c r="AN386" t="s">
        <v>1021</v>
      </c>
      <c r="AO386" t="s">
        <v>1000</v>
      </c>
      <c r="AP386" t="s">
        <v>74</v>
      </c>
      <c r="AQ386" t="s">
        <v>74</v>
      </c>
      <c r="AR386" t="s">
        <v>1001</v>
      </c>
      <c r="AS386" t="s">
        <v>1002</v>
      </c>
      <c r="AT386" t="s">
        <v>7806</v>
      </c>
      <c r="AU386">
        <v>2019</v>
      </c>
      <c r="AV386">
        <v>9</v>
      </c>
      <c r="AW386" t="s">
        <v>74</v>
      </c>
      <c r="AX386" t="s">
        <v>74</v>
      </c>
      <c r="AY386" t="s">
        <v>74</v>
      </c>
      <c r="AZ386" t="s">
        <v>74</v>
      </c>
      <c r="BA386" t="s">
        <v>74</v>
      </c>
      <c r="BB386" t="s">
        <v>74</v>
      </c>
      <c r="BC386" t="s">
        <v>74</v>
      </c>
      <c r="BD386">
        <v>10125</v>
      </c>
      <c r="BE386" t="s">
        <v>7842</v>
      </c>
      <c r="BF386" t="str">
        <f>HYPERLINK("http://dx.doi.org/10.1038/s41598-019-46253-1","http://dx.doi.org/10.1038/s41598-019-46253-1")</f>
        <v>http://dx.doi.org/10.1038/s41598-019-46253-1</v>
      </c>
      <c r="BG386" t="s">
        <v>74</v>
      </c>
      <c r="BH386" t="s">
        <v>74</v>
      </c>
      <c r="BI386">
        <v>10</v>
      </c>
      <c r="BJ386" t="s">
        <v>1004</v>
      </c>
      <c r="BK386" t="s">
        <v>101</v>
      </c>
      <c r="BL386" t="s">
        <v>1005</v>
      </c>
      <c r="BM386" t="s">
        <v>7843</v>
      </c>
      <c r="BN386">
        <v>31300669</v>
      </c>
      <c r="BO386" t="s">
        <v>2548</v>
      </c>
      <c r="BP386" t="s">
        <v>74</v>
      </c>
      <c r="BQ386" t="s">
        <v>74</v>
      </c>
      <c r="BR386" t="s">
        <v>103</v>
      </c>
      <c r="BS386" t="s">
        <v>7844</v>
      </c>
      <c r="BT386" t="str">
        <f>HYPERLINK("https%3A%2F%2Fwww.webofscience.com%2Fwos%2Fwoscc%2Ffull-record%2FWOS:000475293200027","View Full Record in Web of Science")</f>
        <v>View Full Record in Web of Science</v>
      </c>
    </row>
    <row r="387" spans="1:72" x14ac:dyDescent="0.15">
      <c r="A387" t="s">
        <v>72</v>
      </c>
      <c r="B387" t="s">
        <v>7845</v>
      </c>
      <c r="C387" t="s">
        <v>74</v>
      </c>
      <c r="D387" t="s">
        <v>74</v>
      </c>
      <c r="E387" t="s">
        <v>74</v>
      </c>
      <c r="F387" t="s">
        <v>7846</v>
      </c>
      <c r="G387" t="s">
        <v>74</v>
      </c>
      <c r="H387" t="s">
        <v>74</v>
      </c>
      <c r="I387" t="s">
        <v>7847</v>
      </c>
      <c r="J387" t="s">
        <v>2024</v>
      </c>
      <c r="K387" t="s">
        <v>74</v>
      </c>
      <c r="L387" t="s">
        <v>74</v>
      </c>
      <c r="M387" t="s">
        <v>78</v>
      </c>
      <c r="N387" t="s">
        <v>108</v>
      </c>
      <c r="O387" t="s">
        <v>74</v>
      </c>
      <c r="P387" t="s">
        <v>74</v>
      </c>
      <c r="Q387" t="s">
        <v>74</v>
      </c>
      <c r="R387" t="s">
        <v>74</v>
      </c>
      <c r="S387" t="s">
        <v>74</v>
      </c>
      <c r="T387" t="s">
        <v>74</v>
      </c>
      <c r="U387" t="s">
        <v>7848</v>
      </c>
      <c r="V387" t="s">
        <v>7849</v>
      </c>
      <c r="W387" t="s">
        <v>7850</v>
      </c>
      <c r="X387" t="s">
        <v>7851</v>
      </c>
      <c r="Y387" t="s">
        <v>7852</v>
      </c>
      <c r="Z387" t="s">
        <v>7853</v>
      </c>
      <c r="AA387" t="s">
        <v>7854</v>
      </c>
      <c r="AB387" t="s">
        <v>7855</v>
      </c>
      <c r="AC387" t="s">
        <v>7856</v>
      </c>
      <c r="AD387" t="s">
        <v>7857</v>
      </c>
      <c r="AE387" t="s">
        <v>7858</v>
      </c>
      <c r="AF387" t="s">
        <v>74</v>
      </c>
      <c r="AG387">
        <v>86</v>
      </c>
      <c r="AH387">
        <v>13</v>
      </c>
      <c r="AI387">
        <v>13</v>
      </c>
      <c r="AJ387">
        <v>2</v>
      </c>
      <c r="AK387">
        <v>9</v>
      </c>
      <c r="AL387" t="s">
        <v>2032</v>
      </c>
      <c r="AM387" t="s">
        <v>2033</v>
      </c>
      <c r="AN387" t="s">
        <v>2034</v>
      </c>
      <c r="AO387" t="s">
        <v>2035</v>
      </c>
      <c r="AP387" t="s">
        <v>74</v>
      </c>
      <c r="AQ387" t="s">
        <v>74</v>
      </c>
      <c r="AR387" t="s">
        <v>2024</v>
      </c>
      <c r="AS387" t="s">
        <v>2036</v>
      </c>
      <c r="AT387" t="s">
        <v>7859</v>
      </c>
      <c r="AU387">
        <v>2019</v>
      </c>
      <c r="AV387">
        <v>14</v>
      </c>
      <c r="AW387">
        <v>7</v>
      </c>
      <c r="AX387" t="s">
        <v>74</v>
      </c>
      <c r="AY387" t="s">
        <v>74</v>
      </c>
      <c r="AZ387" t="s">
        <v>74</v>
      </c>
      <c r="BA387" t="s">
        <v>74</v>
      </c>
      <c r="BB387" t="s">
        <v>74</v>
      </c>
      <c r="BC387" t="s">
        <v>74</v>
      </c>
      <c r="BD387" t="s">
        <v>7860</v>
      </c>
      <c r="BE387" t="s">
        <v>7861</v>
      </c>
      <c r="BF387" t="str">
        <f>HYPERLINK("http://dx.doi.org/10.1371/journal.pone.0219694","http://dx.doi.org/10.1371/journal.pone.0219694")</f>
        <v>http://dx.doi.org/10.1371/journal.pone.0219694</v>
      </c>
      <c r="BG387" t="s">
        <v>74</v>
      </c>
      <c r="BH387" t="s">
        <v>74</v>
      </c>
      <c r="BI387">
        <v>26</v>
      </c>
      <c r="BJ387" t="s">
        <v>1004</v>
      </c>
      <c r="BK387" t="s">
        <v>101</v>
      </c>
      <c r="BL387" t="s">
        <v>1005</v>
      </c>
      <c r="BM387" t="s">
        <v>7862</v>
      </c>
      <c r="BN387">
        <v>31295339</v>
      </c>
      <c r="BO387" t="s">
        <v>7863</v>
      </c>
      <c r="BP387" t="s">
        <v>74</v>
      </c>
      <c r="BQ387" t="s">
        <v>74</v>
      </c>
      <c r="BR387" t="s">
        <v>103</v>
      </c>
      <c r="BS387" t="s">
        <v>7864</v>
      </c>
      <c r="BT387" t="str">
        <f>HYPERLINK("https%3A%2F%2Fwww.webofscience.com%2Fwos%2Fwoscc%2Ffull-record%2FWOS:000484951800064","View Full Record in Web of Science")</f>
        <v>View Full Record in Web of Science</v>
      </c>
    </row>
    <row r="388" spans="1:72" x14ac:dyDescent="0.15">
      <c r="A388" t="s">
        <v>72</v>
      </c>
      <c r="B388" t="s">
        <v>7865</v>
      </c>
      <c r="C388" t="s">
        <v>74</v>
      </c>
      <c r="D388" t="s">
        <v>74</v>
      </c>
      <c r="E388" t="s">
        <v>74</v>
      </c>
      <c r="F388" t="s">
        <v>7866</v>
      </c>
      <c r="G388" t="s">
        <v>74</v>
      </c>
      <c r="H388" t="s">
        <v>74</v>
      </c>
      <c r="I388" t="s">
        <v>7867</v>
      </c>
      <c r="J388" t="s">
        <v>855</v>
      </c>
      <c r="K388" t="s">
        <v>74</v>
      </c>
      <c r="L388" t="s">
        <v>74</v>
      </c>
      <c r="M388" t="s">
        <v>78</v>
      </c>
      <c r="N388" t="s">
        <v>79</v>
      </c>
      <c r="O388" t="s">
        <v>74</v>
      </c>
      <c r="P388" t="s">
        <v>74</v>
      </c>
      <c r="Q388" t="s">
        <v>74</v>
      </c>
      <c r="R388" t="s">
        <v>74</v>
      </c>
      <c r="S388" t="s">
        <v>74</v>
      </c>
      <c r="T388" t="s">
        <v>7868</v>
      </c>
      <c r="U388" t="s">
        <v>7869</v>
      </c>
      <c r="V388" t="s">
        <v>7870</v>
      </c>
      <c r="W388" t="s">
        <v>7871</v>
      </c>
      <c r="X388" t="s">
        <v>7872</v>
      </c>
      <c r="Y388" t="s">
        <v>7873</v>
      </c>
      <c r="Z388" t="s">
        <v>7874</v>
      </c>
      <c r="AA388" t="s">
        <v>7875</v>
      </c>
      <c r="AB388" t="s">
        <v>7876</v>
      </c>
      <c r="AC388" t="s">
        <v>7877</v>
      </c>
      <c r="AD388" t="s">
        <v>7878</v>
      </c>
      <c r="AE388" t="s">
        <v>7879</v>
      </c>
      <c r="AF388" t="s">
        <v>74</v>
      </c>
      <c r="AG388">
        <v>179</v>
      </c>
      <c r="AH388">
        <v>22</v>
      </c>
      <c r="AI388">
        <v>23</v>
      </c>
      <c r="AJ388">
        <v>6</v>
      </c>
      <c r="AK388">
        <v>35</v>
      </c>
      <c r="AL388" t="s">
        <v>868</v>
      </c>
      <c r="AM388" t="s">
        <v>869</v>
      </c>
      <c r="AN388" t="s">
        <v>870</v>
      </c>
      <c r="AO388" t="s">
        <v>74</v>
      </c>
      <c r="AP388" t="s">
        <v>871</v>
      </c>
      <c r="AQ388" t="s">
        <v>74</v>
      </c>
      <c r="AR388" t="s">
        <v>872</v>
      </c>
      <c r="AS388" t="s">
        <v>873</v>
      </c>
      <c r="AT388" t="s">
        <v>7859</v>
      </c>
      <c r="AU388">
        <v>2019</v>
      </c>
      <c r="AV388">
        <v>6</v>
      </c>
      <c r="AW388" t="s">
        <v>74</v>
      </c>
      <c r="AX388" t="s">
        <v>74</v>
      </c>
      <c r="AY388" t="s">
        <v>74</v>
      </c>
      <c r="AZ388" t="s">
        <v>74</v>
      </c>
      <c r="BA388" t="s">
        <v>74</v>
      </c>
      <c r="BB388" t="s">
        <v>74</v>
      </c>
      <c r="BC388" t="s">
        <v>74</v>
      </c>
      <c r="BD388">
        <v>391</v>
      </c>
      <c r="BE388" t="s">
        <v>7880</v>
      </c>
      <c r="BF388" t="str">
        <f>HYPERLINK("http://dx.doi.org/10.3389/fmars.2019.00391","http://dx.doi.org/10.3389/fmars.2019.00391")</f>
        <v>http://dx.doi.org/10.3389/fmars.2019.00391</v>
      </c>
      <c r="BG388" t="s">
        <v>74</v>
      </c>
      <c r="BH388" t="s">
        <v>74</v>
      </c>
      <c r="BI388">
        <v>18</v>
      </c>
      <c r="BJ388" t="s">
        <v>876</v>
      </c>
      <c r="BK388" t="s">
        <v>101</v>
      </c>
      <c r="BL388" t="s">
        <v>877</v>
      </c>
      <c r="BM388" t="s">
        <v>7881</v>
      </c>
      <c r="BN388">
        <v>31534949</v>
      </c>
      <c r="BO388" t="s">
        <v>6545</v>
      </c>
      <c r="BP388" t="s">
        <v>74</v>
      </c>
      <c r="BQ388" t="s">
        <v>74</v>
      </c>
      <c r="BR388" t="s">
        <v>103</v>
      </c>
      <c r="BS388" t="s">
        <v>7882</v>
      </c>
      <c r="BT388" t="str">
        <f>HYPERLINK("https%3A%2F%2Fwww.webofscience.com%2Fwos%2Fwoscc%2Ffull-record%2FWOS:000474912800001","View Full Record in Web of Science")</f>
        <v>View Full Record in Web of Science</v>
      </c>
    </row>
    <row r="389" spans="1:72" x14ac:dyDescent="0.15">
      <c r="A389" t="s">
        <v>72</v>
      </c>
      <c r="B389" t="s">
        <v>7883</v>
      </c>
      <c r="C389" t="s">
        <v>74</v>
      </c>
      <c r="D389" t="s">
        <v>74</v>
      </c>
      <c r="E389" t="s">
        <v>74</v>
      </c>
      <c r="F389" t="s">
        <v>7884</v>
      </c>
      <c r="G389" t="s">
        <v>74</v>
      </c>
      <c r="H389" t="s">
        <v>74</v>
      </c>
      <c r="I389" t="s">
        <v>7885</v>
      </c>
      <c r="J389" t="s">
        <v>7886</v>
      </c>
      <c r="K389" t="s">
        <v>74</v>
      </c>
      <c r="L389" t="s">
        <v>74</v>
      </c>
      <c r="M389" t="s">
        <v>78</v>
      </c>
      <c r="N389" t="s">
        <v>108</v>
      </c>
      <c r="O389" t="s">
        <v>74</v>
      </c>
      <c r="P389" t="s">
        <v>74</v>
      </c>
      <c r="Q389" t="s">
        <v>74</v>
      </c>
      <c r="R389" t="s">
        <v>74</v>
      </c>
      <c r="S389" t="s">
        <v>74</v>
      </c>
      <c r="T389" t="s">
        <v>74</v>
      </c>
      <c r="U389" t="s">
        <v>7887</v>
      </c>
      <c r="V389" t="s">
        <v>7888</v>
      </c>
      <c r="W389" t="s">
        <v>7889</v>
      </c>
      <c r="X389" t="s">
        <v>7890</v>
      </c>
      <c r="Y389" t="s">
        <v>7891</v>
      </c>
      <c r="Z389" t="s">
        <v>7892</v>
      </c>
      <c r="AA389" t="s">
        <v>74</v>
      </c>
      <c r="AB389" t="s">
        <v>74</v>
      </c>
      <c r="AC389" t="s">
        <v>7893</v>
      </c>
      <c r="AD389" t="s">
        <v>7894</v>
      </c>
      <c r="AE389" t="s">
        <v>7895</v>
      </c>
      <c r="AF389" t="s">
        <v>74</v>
      </c>
      <c r="AG389">
        <v>39</v>
      </c>
      <c r="AH389">
        <v>2</v>
      </c>
      <c r="AI389">
        <v>2</v>
      </c>
      <c r="AJ389">
        <v>6</v>
      </c>
      <c r="AK389">
        <v>26</v>
      </c>
      <c r="AL389" t="s">
        <v>839</v>
      </c>
      <c r="AM389" t="s">
        <v>840</v>
      </c>
      <c r="AN389" t="s">
        <v>841</v>
      </c>
      <c r="AO389" t="s">
        <v>7896</v>
      </c>
      <c r="AP389" t="s">
        <v>74</v>
      </c>
      <c r="AQ389" t="s">
        <v>74</v>
      </c>
      <c r="AR389" t="s">
        <v>7897</v>
      </c>
      <c r="AS389" t="s">
        <v>7898</v>
      </c>
      <c r="AT389" t="s">
        <v>7859</v>
      </c>
      <c r="AU389">
        <v>2019</v>
      </c>
      <c r="AV389">
        <v>19</v>
      </c>
      <c r="AW389">
        <v>7</v>
      </c>
      <c r="AX389" t="s">
        <v>74</v>
      </c>
      <c r="AY389" t="s">
        <v>74</v>
      </c>
      <c r="AZ389" t="s">
        <v>74</v>
      </c>
      <c r="BA389" t="s">
        <v>74</v>
      </c>
      <c r="BB389">
        <v>1387</v>
      </c>
      <c r="BC389">
        <v>1398</v>
      </c>
      <c r="BD389" t="s">
        <v>74</v>
      </c>
      <c r="BE389" t="s">
        <v>7899</v>
      </c>
      <c r="BF389" t="str">
        <f>HYPERLINK("http://dx.doi.org/10.5194/nhess-19-1387-2019","http://dx.doi.org/10.5194/nhess-19-1387-2019")</f>
        <v>http://dx.doi.org/10.5194/nhess-19-1387-2019</v>
      </c>
      <c r="BG389" t="s">
        <v>74</v>
      </c>
      <c r="BH389" t="s">
        <v>74</v>
      </c>
      <c r="BI389">
        <v>12</v>
      </c>
      <c r="BJ389" t="s">
        <v>7900</v>
      </c>
      <c r="BK389" t="s">
        <v>101</v>
      </c>
      <c r="BL389" t="s">
        <v>7901</v>
      </c>
      <c r="BM389" t="s">
        <v>7902</v>
      </c>
      <c r="BN389" t="s">
        <v>74</v>
      </c>
      <c r="BO389" t="s">
        <v>2270</v>
      </c>
      <c r="BP389" t="s">
        <v>74</v>
      </c>
      <c r="BQ389" t="s">
        <v>74</v>
      </c>
      <c r="BR389" t="s">
        <v>103</v>
      </c>
      <c r="BS389" t="s">
        <v>7903</v>
      </c>
      <c r="BT389" t="str">
        <f>HYPERLINK("https%3A%2F%2Fwww.webofscience.com%2Fwos%2Fwoscc%2Ffull-record%2FWOS:000474908600002","View Full Record in Web of Science")</f>
        <v>View Full Record in Web of Science</v>
      </c>
    </row>
    <row r="390" spans="1:72" x14ac:dyDescent="0.15">
      <c r="A390" t="s">
        <v>72</v>
      </c>
      <c r="B390" t="s">
        <v>7904</v>
      </c>
      <c r="C390" t="s">
        <v>74</v>
      </c>
      <c r="D390" t="s">
        <v>74</v>
      </c>
      <c r="E390" t="s">
        <v>74</v>
      </c>
      <c r="F390" t="s">
        <v>7905</v>
      </c>
      <c r="G390" t="s">
        <v>74</v>
      </c>
      <c r="H390" t="s">
        <v>74</v>
      </c>
      <c r="I390" t="s">
        <v>7906</v>
      </c>
      <c r="J390" t="s">
        <v>7907</v>
      </c>
      <c r="K390" t="s">
        <v>74</v>
      </c>
      <c r="L390" t="s">
        <v>74</v>
      </c>
      <c r="M390" t="s">
        <v>78</v>
      </c>
      <c r="N390" t="s">
        <v>2961</v>
      </c>
      <c r="O390" t="s">
        <v>74</v>
      </c>
      <c r="P390" t="s">
        <v>74</v>
      </c>
      <c r="Q390" t="s">
        <v>74</v>
      </c>
      <c r="R390" t="s">
        <v>74</v>
      </c>
      <c r="S390" t="s">
        <v>74</v>
      </c>
      <c r="T390" t="s">
        <v>74</v>
      </c>
      <c r="U390" t="s">
        <v>74</v>
      </c>
      <c r="V390" t="s">
        <v>7908</v>
      </c>
      <c r="W390" t="s">
        <v>7909</v>
      </c>
      <c r="X390" t="s">
        <v>7910</v>
      </c>
      <c r="Y390" t="s">
        <v>7911</v>
      </c>
      <c r="Z390" t="s">
        <v>7912</v>
      </c>
      <c r="AA390" t="s">
        <v>7913</v>
      </c>
      <c r="AB390" t="s">
        <v>7914</v>
      </c>
      <c r="AC390" t="s">
        <v>74</v>
      </c>
      <c r="AD390" t="s">
        <v>74</v>
      </c>
      <c r="AE390" t="s">
        <v>74</v>
      </c>
      <c r="AF390" t="s">
        <v>74</v>
      </c>
      <c r="AG390">
        <v>18</v>
      </c>
      <c r="AH390">
        <v>17</v>
      </c>
      <c r="AI390">
        <v>17</v>
      </c>
      <c r="AJ390">
        <v>1</v>
      </c>
      <c r="AK390">
        <v>7</v>
      </c>
      <c r="AL390" t="s">
        <v>998</v>
      </c>
      <c r="AM390" t="s">
        <v>657</v>
      </c>
      <c r="AN390" t="s">
        <v>999</v>
      </c>
      <c r="AO390" t="s">
        <v>74</v>
      </c>
      <c r="AP390" t="s">
        <v>7915</v>
      </c>
      <c r="AQ390" t="s">
        <v>74</v>
      </c>
      <c r="AR390" t="s">
        <v>7916</v>
      </c>
      <c r="AS390" t="s">
        <v>7917</v>
      </c>
      <c r="AT390" t="s">
        <v>7859</v>
      </c>
      <c r="AU390">
        <v>2019</v>
      </c>
      <c r="AV390">
        <v>6</v>
      </c>
      <c r="AW390" t="s">
        <v>74</v>
      </c>
      <c r="AX390" t="s">
        <v>74</v>
      </c>
      <c r="AY390" t="s">
        <v>74</v>
      </c>
      <c r="AZ390" t="s">
        <v>74</v>
      </c>
      <c r="BA390" t="s">
        <v>74</v>
      </c>
      <c r="BB390" t="s">
        <v>74</v>
      </c>
      <c r="BC390" t="s">
        <v>74</v>
      </c>
      <c r="BD390">
        <v>120</v>
      </c>
      <c r="BE390" t="s">
        <v>7918</v>
      </c>
      <c r="BF390" t="str">
        <f>HYPERLINK("http://dx.doi.org/10.1038/s41597-019-0126-2","http://dx.doi.org/10.1038/s41597-019-0126-2")</f>
        <v>http://dx.doi.org/10.1038/s41597-019-0126-2</v>
      </c>
      <c r="BG390" t="s">
        <v>74</v>
      </c>
      <c r="BH390" t="s">
        <v>74</v>
      </c>
      <c r="BI390">
        <v>7</v>
      </c>
      <c r="BJ390" t="s">
        <v>1004</v>
      </c>
      <c r="BK390" t="s">
        <v>101</v>
      </c>
      <c r="BL390" t="s">
        <v>1005</v>
      </c>
      <c r="BM390" t="s">
        <v>7919</v>
      </c>
      <c r="BN390">
        <v>31296871</v>
      </c>
      <c r="BO390" t="s">
        <v>313</v>
      </c>
      <c r="BP390" t="s">
        <v>74</v>
      </c>
      <c r="BQ390" t="s">
        <v>74</v>
      </c>
      <c r="BR390" t="s">
        <v>103</v>
      </c>
      <c r="BS390" t="s">
        <v>7920</v>
      </c>
      <c r="BT390" t="str">
        <f>HYPERLINK("https%3A%2F%2Fwww.webofscience.com%2Fwos%2Fwoscc%2Ffull-record%2FWOS:000474848000001","View Full Record in Web of Science")</f>
        <v>View Full Record in Web of Science</v>
      </c>
    </row>
    <row r="391" spans="1:72" x14ac:dyDescent="0.15">
      <c r="A391" t="s">
        <v>72</v>
      </c>
      <c r="B391" t="s">
        <v>7921</v>
      </c>
      <c r="C391" t="s">
        <v>74</v>
      </c>
      <c r="D391" t="s">
        <v>74</v>
      </c>
      <c r="E391" t="s">
        <v>74</v>
      </c>
      <c r="F391" t="s">
        <v>7922</v>
      </c>
      <c r="G391" t="s">
        <v>74</v>
      </c>
      <c r="H391" t="s">
        <v>74</v>
      </c>
      <c r="I391" t="s">
        <v>7923</v>
      </c>
      <c r="J391" t="s">
        <v>1496</v>
      </c>
      <c r="K391" t="s">
        <v>74</v>
      </c>
      <c r="L391" t="s">
        <v>74</v>
      </c>
      <c r="M391" t="s">
        <v>78</v>
      </c>
      <c r="N391" t="s">
        <v>108</v>
      </c>
      <c r="O391" t="s">
        <v>74</v>
      </c>
      <c r="P391" t="s">
        <v>74</v>
      </c>
      <c r="Q391" t="s">
        <v>74</v>
      </c>
      <c r="R391" t="s">
        <v>74</v>
      </c>
      <c r="S391" t="s">
        <v>74</v>
      </c>
      <c r="T391" t="s">
        <v>7924</v>
      </c>
      <c r="U391" t="s">
        <v>7925</v>
      </c>
      <c r="V391" t="s">
        <v>7926</v>
      </c>
      <c r="W391" t="s">
        <v>7927</v>
      </c>
      <c r="X391" t="s">
        <v>7928</v>
      </c>
      <c r="Y391" t="s">
        <v>7929</v>
      </c>
      <c r="Z391" t="s">
        <v>7930</v>
      </c>
      <c r="AA391" t="s">
        <v>7931</v>
      </c>
      <c r="AB391" t="s">
        <v>7932</v>
      </c>
      <c r="AC391" t="s">
        <v>7933</v>
      </c>
      <c r="AD391" t="s">
        <v>7934</v>
      </c>
      <c r="AE391" t="s">
        <v>7935</v>
      </c>
      <c r="AF391" t="s">
        <v>74</v>
      </c>
      <c r="AG391">
        <v>119</v>
      </c>
      <c r="AH391">
        <v>4</v>
      </c>
      <c r="AI391">
        <v>4</v>
      </c>
      <c r="AJ391">
        <v>0</v>
      </c>
      <c r="AK391">
        <v>4</v>
      </c>
      <c r="AL391" t="s">
        <v>868</v>
      </c>
      <c r="AM391" t="s">
        <v>869</v>
      </c>
      <c r="AN391" t="s">
        <v>870</v>
      </c>
      <c r="AO391" t="s">
        <v>1509</v>
      </c>
      <c r="AP391" t="s">
        <v>74</v>
      </c>
      <c r="AQ391" t="s">
        <v>74</v>
      </c>
      <c r="AR391" t="s">
        <v>1510</v>
      </c>
      <c r="AS391" t="s">
        <v>1511</v>
      </c>
      <c r="AT391" t="s">
        <v>7859</v>
      </c>
      <c r="AU391">
        <v>2019</v>
      </c>
      <c r="AV391">
        <v>10</v>
      </c>
      <c r="AW391" t="s">
        <v>74</v>
      </c>
      <c r="AX391" t="s">
        <v>74</v>
      </c>
      <c r="AY391" t="s">
        <v>74</v>
      </c>
      <c r="AZ391" t="s">
        <v>74</v>
      </c>
      <c r="BA391" t="s">
        <v>74</v>
      </c>
      <c r="BB391" t="s">
        <v>74</v>
      </c>
      <c r="BC391" t="s">
        <v>74</v>
      </c>
      <c r="BD391">
        <v>1566</v>
      </c>
      <c r="BE391" t="s">
        <v>7936</v>
      </c>
      <c r="BF391" t="str">
        <f>HYPERLINK("http://dx.doi.org/10.3389/fmicb.2019.01566","http://dx.doi.org/10.3389/fmicb.2019.01566")</f>
        <v>http://dx.doi.org/10.3389/fmicb.2019.01566</v>
      </c>
      <c r="BG391" t="s">
        <v>74</v>
      </c>
      <c r="BH391" t="s">
        <v>74</v>
      </c>
      <c r="BI391">
        <v>16</v>
      </c>
      <c r="BJ391" t="s">
        <v>1514</v>
      </c>
      <c r="BK391" t="s">
        <v>101</v>
      </c>
      <c r="BL391" t="s">
        <v>1514</v>
      </c>
      <c r="BM391" t="s">
        <v>7937</v>
      </c>
      <c r="BN391">
        <v>31354666</v>
      </c>
      <c r="BO391" t="s">
        <v>1783</v>
      </c>
      <c r="BP391" t="s">
        <v>74</v>
      </c>
      <c r="BQ391" t="s">
        <v>74</v>
      </c>
      <c r="BR391" t="s">
        <v>103</v>
      </c>
      <c r="BS391" t="s">
        <v>7938</v>
      </c>
      <c r="BT391" t="str">
        <f>HYPERLINK("https%3A%2F%2Fwww.webofscience.com%2Fwos%2Fwoscc%2Ffull-record%2FWOS:000474926600001","View Full Record in Web of Science")</f>
        <v>View Full Record in Web of Science</v>
      </c>
    </row>
    <row r="392" spans="1:72" x14ac:dyDescent="0.15">
      <c r="A392" t="s">
        <v>72</v>
      </c>
      <c r="B392" t="s">
        <v>7939</v>
      </c>
      <c r="C392" t="s">
        <v>74</v>
      </c>
      <c r="D392" t="s">
        <v>74</v>
      </c>
      <c r="E392" t="s">
        <v>74</v>
      </c>
      <c r="F392" t="s">
        <v>7940</v>
      </c>
      <c r="G392" t="s">
        <v>74</v>
      </c>
      <c r="H392" t="s">
        <v>74</v>
      </c>
      <c r="I392" t="s">
        <v>7941</v>
      </c>
      <c r="J392" t="s">
        <v>7942</v>
      </c>
      <c r="K392" t="s">
        <v>74</v>
      </c>
      <c r="L392" t="s">
        <v>74</v>
      </c>
      <c r="M392" t="s">
        <v>78</v>
      </c>
      <c r="N392" t="s">
        <v>108</v>
      </c>
      <c r="O392" t="s">
        <v>74</v>
      </c>
      <c r="P392" t="s">
        <v>74</v>
      </c>
      <c r="Q392" t="s">
        <v>74</v>
      </c>
      <c r="R392" t="s">
        <v>74</v>
      </c>
      <c r="S392" t="s">
        <v>74</v>
      </c>
      <c r="T392" t="s">
        <v>7943</v>
      </c>
      <c r="U392" t="s">
        <v>7944</v>
      </c>
      <c r="V392" t="s">
        <v>7945</v>
      </c>
      <c r="W392" t="s">
        <v>7946</v>
      </c>
      <c r="X392" t="s">
        <v>7947</v>
      </c>
      <c r="Y392" t="s">
        <v>7948</v>
      </c>
      <c r="Z392" t="s">
        <v>7949</v>
      </c>
      <c r="AA392" t="s">
        <v>7950</v>
      </c>
      <c r="AB392" t="s">
        <v>7951</v>
      </c>
      <c r="AC392" t="s">
        <v>7952</v>
      </c>
      <c r="AD392" t="s">
        <v>7953</v>
      </c>
      <c r="AE392" t="s">
        <v>7954</v>
      </c>
      <c r="AF392" t="s">
        <v>74</v>
      </c>
      <c r="AG392">
        <v>101</v>
      </c>
      <c r="AH392">
        <v>13</v>
      </c>
      <c r="AI392">
        <v>13</v>
      </c>
      <c r="AJ392">
        <v>2</v>
      </c>
      <c r="AK392">
        <v>30</v>
      </c>
      <c r="AL392" t="s">
        <v>1140</v>
      </c>
      <c r="AM392" t="s">
        <v>1141</v>
      </c>
      <c r="AN392" t="s">
        <v>1142</v>
      </c>
      <c r="AO392" t="s">
        <v>7955</v>
      </c>
      <c r="AP392" t="s">
        <v>7956</v>
      </c>
      <c r="AQ392" t="s">
        <v>74</v>
      </c>
      <c r="AR392" t="s">
        <v>7957</v>
      </c>
      <c r="AS392" t="s">
        <v>7958</v>
      </c>
      <c r="AT392" t="s">
        <v>7543</v>
      </c>
      <c r="AU392">
        <v>2019</v>
      </c>
      <c r="AV392">
        <v>28</v>
      </c>
      <c r="AW392">
        <v>14</v>
      </c>
      <c r="AX392" t="s">
        <v>74</v>
      </c>
      <c r="AY392" t="s">
        <v>74</v>
      </c>
      <c r="AZ392" t="s">
        <v>74</v>
      </c>
      <c r="BA392" t="s">
        <v>74</v>
      </c>
      <c r="BB392">
        <v>3291</v>
      </c>
      <c r="BC392">
        <v>3305</v>
      </c>
      <c r="BD392" t="s">
        <v>74</v>
      </c>
      <c r="BE392" t="s">
        <v>7959</v>
      </c>
      <c r="BF392" t="str">
        <f>HYPERLINK("http://dx.doi.org/10.1111/mec.15147","http://dx.doi.org/10.1111/mec.15147")</f>
        <v>http://dx.doi.org/10.1111/mec.15147</v>
      </c>
      <c r="BG392" t="s">
        <v>74</v>
      </c>
      <c r="BH392" t="s">
        <v>6119</v>
      </c>
      <c r="BI392">
        <v>15</v>
      </c>
      <c r="BJ392" t="s">
        <v>5789</v>
      </c>
      <c r="BK392" t="s">
        <v>101</v>
      </c>
      <c r="BL392" t="s">
        <v>5790</v>
      </c>
      <c r="BM392" t="s">
        <v>7960</v>
      </c>
      <c r="BN392">
        <v>31179588</v>
      </c>
      <c r="BO392" t="s">
        <v>74</v>
      </c>
      <c r="BP392" t="s">
        <v>74</v>
      </c>
      <c r="BQ392" t="s">
        <v>74</v>
      </c>
      <c r="BR392" t="s">
        <v>103</v>
      </c>
      <c r="BS392" t="s">
        <v>7961</v>
      </c>
      <c r="BT392" t="str">
        <f>HYPERLINK("https%3A%2F%2Fwww.webofscience.com%2Fwos%2Fwoscc%2Ffull-record%2FWOS:000477398000001","View Full Record in Web of Science")</f>
        <v>View Full Record in Web of Science</v>
      </c>
    </row>
    <row r="393" spans="1:72" x14ac:dyDescent="0.15">
      <c r="A393" t="s">
        <v>72</v>
      </c>
      <c r="B393" t="s">
        <v>7962</v>
      </c>
      <c r="C393" t="s">
        <v>74</v>
      </c>
      <c r="D393" t="s">
        <v>74</v>
      </c>
      <c r="E393" t="s">
        <v>74</v>
      </c>
      <c r="F393" t="s">
        <v>7963</v>
      </c>
      <c r="G393" t="s">
        <v>74</v>
      </c>
      <c r="H393" t="s">
        <v>74</v>
      </c>
      <c r="I393" t="s">
        <v>7964</v>
      </c>
      <c r="J393" t="s">
        <v>1832</v>
      </c>
      <c r="K393" t="s">
        <v>74</v>
      </c>
      <c r="L393" t="s">
        <v>74</v>
      </c>
      <c r="M393" t="s">
        <v>78</v>
      </c>
      <c r="N393" t="s">
        <v>108</v>
      </c>
      <c r="O393" t="s">
        <v>74</v>
      </c>
      <c r="P393" t="s">
        <v>74</v>
      </c>
      <c r="Q393" t="s">
        <v>74</v>
      </c>
      <c r="R393" t="s">
        <v>74</v>
      </c>
      <c r="S393" t="s">
        <v>74</v>
      </c>
      <c r="T393" t="s">
        <v>74</v>
      </c>
      <c r="U393" t="s">
        <v>7965</v>
      </c>
      <c r="V393" t="s">
        <v>7966</v>
      </c>
      <c r="W393" t="s">
        <v>7967</v>
      </c>
      <c r="X393" t="s">
        <v>7968</v>
      </c>
      <c r="Y393" t="s">
        <v>7969</v>
      </c>
      <c r="Z393" t="s">
        <v>7970</v>
      </c>
      <c r="AA393" t="s">
        <v>7971</v>
      </c>
      <c r="AB393" t="s">
        <v>7972</v>
      </c>
      <c r="AC393" t="s">
        <v>7973</v>
      </c>
      <c r="AD393" t="s">
        <v>7974</v>
      </c>
      <c r="AE393" t="s">
        <v>7975</v>
      </c>
      <c r="AF393" t="s">
        <v>74</v>
      </c>
      <c r="AG393">
        <v>79</v>
      </c>
      <c r="AH393">
        <v>8</v>
      </c>
      <c r="AI393">
        <v>9</v>
      </c>
      <c r="AJ393">
        <v>1</v>
      </c>
      <c r="AK393">
        <v>12</v>
      </c>
      <c r="AL393" t="s">
        <v>839</v>
      </c>
      <c r="AM393" t="s">
        <v>840</v>
      </c>
      <c r="AN393" t="s">
        <v>841</v>
      </c>
      <c r="AO393" t="s">
        <v>1844</v>
      </c>
      <c r="AP393" t="s">
        <v>1845</v>
      </c>
      <c r="AQ393" t="s">
        <v>74</v>
      </c>
      <c r="AR393" t="s">
        <v>1832</v>
      </c>
      <c r="AS393" t="s">
        <v>1846</v>
      </c>
      <c r="AT393" t="s">
        <v>7976</v>
      </c>
      <c r="AU393">
        <v>2019</v>
      </c>
      <c r="AV393">
        <v>13</v>
      </c>
      <c r="AW393">
        <v>7</v>
      </c>
      <c r="AX393" t="s">
        <v>74</v>
      </c>
      <c r="AY393" t="s">
        <v>74</v>
      </c>
      <c r="AZ393" t="s">
        <v>74</v>
      </c>
      <c r="BA393" t="s">
        <v>74</v>
      </c>
      <c r="BB393">
        <v>1861</v>
      </c>
      <c r="BC393">
        <v>1875</v>
      </c>
      <c r="BD393" t="s">
        <v>74</v>
      </c>
      <c r="BE393" t="s">
        <v>7977</v>
      </c>
      <c r="BF393" t="str">
        <f>HYPERLINK("http://dx.doi.org/10.5194/tc-13-1861-2019","http://dx.doi.org/10.5194/tc-13-1861-2019")</f>
        <v>http://dx.doi.org/10.5194/tc-13-1861-2019</v>
      </c>
      <c r="BG393" t="s">
        <v>74</v>
      </c>
      <c r="BH393" t="s">
        <v>74</v>
      </c>
      <c r="BI393">
        <v>15</v>
      </c>
      <c r="BJ393" t="s">
        <v>310</v>
      </c>
      <c r="BK393" t="s">
        <v>101</v>
      </c>
      <c r="BL393" t="s">
        <v>311</v>
      </c>
      <c r="BM393" t="s">
        <v>7978</v>
      </c>
      <c r="BN393" t="s">
        <v>74</v>
      </c>
      <c r="BO393" t="s">
        <v>2476</v>
      </c>
      <c r="BP393" t="s">
        <v>74</v>
      </c>
      <c r="BQ393" t="s">
        <v>74</v>
      </c>
      <c r="BR393" t="s">
        <v>103</v>
      </c>
      <c r="BS393" t="s">
        <v>7979</v>
      </c>
      <c r="BT393" t="str">
        <f>HYPERLINK("https%3A%2F%2Fwww.webofscience.com%2Fwos%2Fwoscc%2Ffull-record%2FWOS:000474744500001","View Full Record in Web of Science")</f>
        <v>View Full Record in Web of Science</v>
      </c>
    </row>
    <row r="394" spans="1:72" x14ac:dyDescent="0.15">
      <c r="A394" t="s">
        <v>72</v>
      </c>
      <c r="B394" t="s">
        <v>7980</v>
      </c>
      <c r="C394" t="s">
        <v>74</v>
      </c>
      <c r="D394" t="s">
        <v>74</v>
      </c>
      <c r="E394" t="s">
        <v>74</v>
      </c>
      <c r="F394" t="s">
        <v>7981</v>
      </c>
      <c r="G394" t="s">
        <v>74</v>
      </c>
      <c r="H394" t="s">
        <v>74</v>
      </c>
      <c r="I394" t="s">
        <v>7982</v>
      </c>
      <c r="J394" t="s">
        <v>7319</v>
      </c>
      <c r="K394" t="s">
        <v>74</v>
      </c>
      <c r="L394" t="s">
        <v>74</v>
      </c>
      <c r="M394" t="s">
        <v>78</v>
      </c>
      <c r="N394" t="s">
        <v>108</v>
      </c>
      <c r="O394" t="s">
        <v>74</v>
      </c>
      <c r="P394" t="s">
        <v>74</v>
      </c>
      <c r="Q394" t="s">
        <v>74</v>
      </c>
      <c r="R394" t="s">
        <v>74</v>
      </c>
      <c r="S394" t="s">
        <v>74</v>
      </c>
      <c r="T394" t="s">
        <v>7983</v>
      </c>
      <c r="U394" t="s">
        <v>7984</v>
      </c>
      <c r="V394" t="s">
        <v>7985</v>
      </c>
      <c r="W394" t="s">
        <v>7986</v>
      </c>
      <c r="X394" t="s">
        <v>7987</v>
      </c>
      <c r="Y394" t="s">
        <v>7988</v>
      </c>
      <c r="Z394" t="s">
        <v>7989</v>
      </c>
      <c r="AA394" t="s">
        <v>7990</v>
      </c>
      <c r="AB394" t="s">
        <v>7991</v>
      </c>
      <c r="AC394" t="s">
        <v>7992</v>
      </c>
      <c r="AD394" t="s">
        <v>7993</v>
      </c>
      <c r="AE394" t="s">
        <v>7994</v>
      </c>
      <c r="AF394" t="s">
        <v>74</v>
      </c>
      <c r="AG394">
        <v>52</v>
      </c>
      <c r="AH394">
        <v>9</v>
      </c>
      <c r="AI394">
        <v>9</v>
      </c>
      <c r="AJ394">
        <v>2</v>
      </c>
      <c r="AK394">
        <v>15</v>
      </c>
      <c r="AL394" t="s">
        <v>868</v>
      </c>
      <c r="AM394" t="s">
        <v>869</v>
      </c>
      <c r="AN394" t="s">
        <v>870</v>
      </c>
      <c r="AO394" t="s">
        <v>74</v>
      </c>
      <c r="AP394" t="s">
        <v>7332</v>
      </c>
      <c r="AQ394" t="s">
        <v>74</v>
      </c>
      <c r="AR394" t="s">
        <v>7333</v>
      </c>
      <c r="AS394" t="s">
        <v>7334</v>
      </c>
      <c r="AT394" t="s">
        <v>7976</v>
      </c>
      <c r="AU394">
        <v>2019</v>
      </c>
      <c r="AV394">
        <v>7</v>
      </c>
      <c r="AW394" t="s">
        <v>74</v>
      </c>
      <c r="AX394" t="s">
        <v>74</v>
      </c>
      <c r="AY394" t="s">
        <v>74</v>
      </c>
      <c r="AZ394" t="s">
        <v>74</v>
      </c>
      <c r="BA394" t="s">
        <v>74</v>
      </c>
      <c r="BB394" t="s">
        <v>74</v>
      </c>
      <c r="BC394" t="s">
        <v>74</v>
      </c>
      <c r="BD394">
        <v>169</v>
      </c>
      <c r="BE394" t="s">
        <v>7995</v>
      </c>
      <c r="BF394" t="str">
        <f>HYPERLINK("http://dx.doi.org/10.3389/feart.2019.00169","http://dx.doi.org/10.3389/feart.2019.00169")</f>
        <v>http://dx.doi.org/10.3389/feart.2019.00169</v>
      </c>
      <c r="BG394" t="s">
        <v>74</v>
      </c>
      <c r="BH394" t="s">
        <v>74</v>
      </c>
      <c r="BI394">
        <v>13</v>
      </c>
      <c r="BJ394" t="s">
        <v>471</v>
      </c>
      <c r="BK394" t="s">
        <v>101</v>
      </c>
      <c r="BL394" t="s">
        <v>472</v>
      </c>
      <c r="BM394" t="s">
        <v>7996</v>
      </c>
      <c r="BN394" t="s">
        <v>74</v>
      </c>
      <c r="BO394" t="s">
        <v>331</v>
      </c>
      <c r="BP394" t="s">
        <v>74</v>
      </c>
      <c r="BQ394" t="s">
        <v>74</v>
      </c>
      <c r="BR394" t="s">
        <v>103</v>
      </c>
      <c r="BS394" t="s">
        <v>7997</v>
      </c>
      <c r="BT394" t="str">
        <f>HYPERLINK("https%3A%2F%2Fwww.webofscience.com%2Fwos%2Fwoscc%2Ffull-record%2FWOS:000474903000001","View Full Record in Web of Science")</f>
        <v>View Full Record in Web of Science</v>
      </c>
    </row>
    <row r="395" spans="1:72" x14ac:dyDescent="0.15">
      <c r="A395" t="s">
        <v>72</v>
      </c>
      <c r="B395" t="s">
        <v>7998</v>
      </c>
      <c r="C395" t="s">
        <v>74</v>
      </c>
      <c r="D395" t="s">
        <v>74</v>
      </c>
      <c r="E395" t="s">
        <v>74</v>
      </c>
      <c r="F395" t="s">
        <v>7999</v>
      </c>
      <c r="G395" t="s">
        <v>74</v>
      </c>
      <c r="H395" t="s">
        <v>74</v>
      </c>
      <c r="I395" t="s">
        <v>8000</v>
      </c>
      <c r="J395" t="s">
        <v>6209</v>
      </c>
      <c r="K395" t="s">
        <v>74</v>
      </c>
      <c r="L395" t="s">
        <v>74</v>
      </c>
      <c r="M395" t="s">
        <v>78</v>
      </c>
      <c r="N395" t="s">
        <v>108</v>
      </c>
      <c r="O395" t="s">
        <v>74</v>
      </c>
      <c r="P395" t="s">
        <v>74</v>
      </c>
      <c r="Q395" t="s">
        <v>74</v>
      </c>
      <c r="R395" t="s">
        <v>74</v>
      </c>
      <c r="S395" t="s">
        <v>74</v>
      </c>
      <c r="T395" t="s">
        <v>8001</v>
      </c>
      <c r="U395" t="s">
        <v>8002</v>
      </c>
      <c r="V395" t="s">
        <v>8003</v>
      </c>
      <c r="W395" t="s">
        <v>8004</v>
      </c>
      <c r="X395" t="s">
        <v>8005</v>
      </c>
      <c r="Y395" t="s">
        <v>8006</v>
      </c>
      <c r="Z395" t="s">
        <v>8007</v>
      </c>
      <c r="AA395" t="s">
        <v>8008</v>
      </c>
      <c r="AB395" t="s">
        <v>8009</v>
      </c>
      <c r="AC395" t="s">
        <v>8010</v>
      </c>
      <c r="AD395" t="s">
        <v>8011</v>
      </c>
      <c r="AE395" t="s">
        <v>8012</v>
      </c>
      <c r="AF395" t="s">
        <v>74</v>
      </c>
      <c r="AG395">
        <v>18</v>
      </c>
      <c r="AH395">
        <v>8</v>
      </c>
      <c r="AI395">
        <v>9</v>
      </c>
      <c r="AJ395">
        <v>1</v>
      </c>
      <c r="AK395">
        <v>5</v>
      </c>
      <c r="AL395" t="s">
        <v>6222</v>
      </c>
      <c r="AM395" t="s">
        <v>657</v>
      </c>
      <c r="AN395" t="s">
        <v>6223</v>
      </c>
      <c r="AO395" t="s">
        <v>6224</v>
      </c>
      <c r="AP395" t="s">
        <v>74</v>
      </c>
      <c r="AQ395" t="s">
        <v>74</v>
      </c>
      <c r="AR395" t="s">
        <v>6209</v>
      </c>
      <c r="AS395" t="s">
        <v>6225</v>
      </c>
      <c r="AT395" t="s">
        <v>7976</v>
      </c>
      <c r="AU395">
        <v>2019</v>
      </c>
      <c r="AV395">
        <v>7</v>
      </c>
      <c r="AW395" t="s">
        <v>74</v>
      </c>
      <c r="AX395" t="s">
        <v>74</v>
      </c>
      <c r="AY395" t="s">
        <v>74</v>
      </c>
      <c r="AZ395" t="s">
        <v>74</v>
      </c>
      <c r="BA395" t="s">
        <v>74</v>
      </c>
      <c r="BB395" t="s">
        <v>74</v>
      </c>
      <c r="BC395" t="s">
        <v>74</v>
      </c>
      <c r="BD395" t="s">
        <v>8013</v>
      </c>
      <c r="BE395" t="s">
        <v>8014</v>
      </c>
      <c r="BF395" t="str">
        <f>HYPERLINK("http://dx.doi.org/10.7717/peerj.7231","http://dx.doi.org/10.7717/peerj.7231")</f>
        <v>http://dx.doi.org/10.7717/peerj.7231</v>
      </c>
      <c r="BG395" t="s">
        <v>74</v>
      </c>
      <c r="BH395" t="s">
        <v>74</v>
      </c>
      <c r="BI395">
        <v>13</v>
      </c>
      <c r="BJ395" t="s">
        <v>1004</v>
      </c>
      <c r="BK395" t="s">
        <v>101</v>
      </c>
      <c r="BL395" t="s">
        <v>1005</v>
      </c>
      <c r="BM395" t="s">
        <v>8015</v>
      </c>
      <c r="BN395">
        <v>31333904</v>
      </c>
      <c r="BO395" t="s">
        <v>384</v>
      </c>
      <c r="BP395" t="s">
        <v>74</v>
      </c>
      <c r="BQ395" t="s">
        <v>74</v>
      </c>
      <c r="BR395" t="s">
        <v>103</v>
      </c>
      <c r="BS395" t="s">
        <v>8016</v>
      </c>
      <c r="BT395" t="str">
        <f>HYPERLINK("https%3A%2F%2Fwww.webofscience.com%2Fwos%2Fwoscc%2Ffull-record%2FWOS:000474703300002","View Full Record in Web of Science")</f>
        <v>View Full Record in Web of Science</v>
      </c>
    </row>
    <row r="396" spans="1:72" x14ac:dyDescent="0.15">
      <c r="A396" t="s">
        <v>72</v>
      </c>
      <c r="B396" t="s">
        <v>8017</v>
      </c>
      <c r="C396" t="s">
        <v>74</v>
      </c>
      <c r="D396" t="s">
        <v>74</v>
      </c>
      <c r="E396" t="s">
        <v>74</v>
      </c>
      <c r="F396" t="s">
        <v>8018</v>
      </c>
      <c r="G396" t="s">
        <v>74</v>
      </c>
      <c r="H396" t="s">
        <v>74</v>
      </c>
      <c r="I396" t="s">
        <v>8019</v>
      </c>
      <c r="J396" t="s">
        <v>855</v>
      </c>
      <c r="K396" t="s">
        <v>74</v>
      </c>
      <c r="L396" t="s">
        <v>74</v>
      </c>
      <c r="M396" t="s">
        <v>78</v>
      </c>
      <c r="N396" t="s">
        <v>79</v>
      </c>
      <c r="O396" t="s">
        <v>74</v>
      </c>
      <c r="P396" t="s">
        <v>74</v>
      </c>
      <c r="Q396" t="s">
        <v>74</v>
      </c>
      <c r="R396" t="s">
        <v>74</v>
      </c>
      <c r="S396" t="s">
        <v>74</v>
      </c>
      <c r="T396" t="s">
        <v>8020</v>
      </c>
      <c r="U396" t="s">
        <v>8021</v>
      </c>
      <c r="V396" t="s">
        <v>8022</v>
      </c>
      <c r="W396" t="s">
        <v>8023</v>
      </c>
      <c r="X396" t="s">
        <v>8024</v>
      </c>
      <c r="Y396" t="s">
        <v>8025</v>
      </c>
      <c r="Z396" t="s">
        <v>8026</v>
      </c>
      <c r="AA396" t="s">
        <v>8027</v>
      </c>
      <c r="AB396" t="s">
        <v>8028</v>
      </c>
      <c r="AC396" t="s">
        <v>8029</v>
      </c>
      <c r="AD396" t="s">
        <v>8030</v>
      </c>
      <c r="AE396" t="s">
        <v>74</v>
      </c>
      <c r="AF396" t="s">
        <v>74</v>
      </c>
      <c r="AG396">
        <v>72</v>
      </c>
      <c r="AH396">
        <v>38</v>
      </c>
      <c r="AI396">
        <v>39</v>
      </c>
      <c r="AJ396">
        <v>3</v>
      </c>
      <c r="AK396">
        <v>26</v>
      </c>
      <c r="AL396" t="s">
        <v>868</v>
      </c>
      <c r="AM396" t="s">
        <v>869</v>
      </c>
      <c r="AN396" t="s">
        <v>870</v>
      </c>
      <c r="AO396" t="s">
        <v>74</v>
      </c>
      <c r="AP396" t="s">
        <v>871</v>
      </c>
      <c r="AQ396" t="s">
        <v>74</v>
      </c>
      <c r="AR396" t="s">
        <v>872</v>
      </c>
      <c r="AS396" t="s">
        <v>873</v>
      </c>
      <c r="AT396" t="s">
        <v>8031</v>
      </c>
      <c r="AU396">
        <v>2019</v>
      </c>
      <c r="AV396">
        <v>6</v>
      </c>
      <c r="AW396" t="s">
        <v>74</v>
      </c>
      <c r="AX396" t="s">
        <v>74</v>
      </c>
      <c r="AY396" t="s">
        <v>74</v>
      </c>
      <c r="AZ396" t="s">
        <v>74</v>
      </c>
      <c r="BA396" t="s">
        <v>74</v>
      </c>
      <c r="BB396" t="s">
        <v>74</v>
      </c>
      <c r="BC396" t="s">
        <v>74</v>
      </c>
      <c r="BD396">
        <v>361</v>
      </c>
      <c r="BE396" t="s">
        <v>8032</v>
      </c>
      <c r="BF396" t="str">
        <f>HYPERLINK("http://dx.doi.org/10.3389/fmars.2019.00361","http://dx.doi.org/10.3389/fmars.2019.00361")</f>
        <v>http://dx.doi.org/10.3389/fmars.2019.00361</v>
      </c>
      <c r="BG396" t="s">
        <v>74</v>
      </c>
      <c r="BH396" t="s">
        <v>74</v>
      </c>
      <c r="BI396">
        <v>12</v>
      </c>
      <c r="BJ396" t="s">
        <v>876</v>
      </c>
      <c r="BK396" t="s">
        <v>101</v>
      </c>
      <c r="BL396" t="s">
        <v>877</v>
      </c>
      <c r="BM396" t="s">
        <v>8033</v>
      </c>
      <c r="BN396" t="s">
        <v>74</v>
      </c>
      <c r="BO396" t="s">
        <v>331</v>
      </c>
      <c r="BP396" t="s">
        <v>74</v>
      </c>
      <c r="BQ396" t="s">
        <v>74</v>
      </c>
      <c r="BR396" t="s">
        <v>103</v>
      </c>
      <c r="BS396" t="s">
        <v>8034</v>
      </c>
      <c r="BT396" t="str">
        <f>HYPERLINK("https%3A%2F%2Fwww.webofscience.com%2Fwos%2Fwoscc%2Ffull-record%2FWOS:000474404400001","View Full Record in Web of Science")</f>
        <v>View Full Record in Web of Science</v>
      </c>
    </row>
    <row r="397" spans="1:72" x14ac:dyDescent="0.15">
      <c r="A397" t="s">
        <v>72</v>
      </c>
      <c r="B397" t="s">
        <v>8035</v>
      </c>
      <c r="C397" t="s">
        <v>74</v>
      </c>
      <c r="D397" t="s">
        <v>74</v>
      </c>
      <c r="E397" t="s">
        <v>74</v>
      </c>
      <c r="F397" t="s">
        <v>8036</v>
      </c>
      <c r="G397" t="s">
        <v>74</v>
      </c>
      <c r="H397" t="s">
        <v>74</v>
      </c>
      <c r="I397" t="s">
        <v>8037</v>
      </c>
      <c r="J397" t="s">
        <v>1832</v>
      </c>
      <c r="K397" t="s">
        <v>74</v>
      </c>
      <c r="L397" t="s">
        <v>74</v>
      </c>
      <c r="M397" t="s">
        <v>78</v>
      </c>
      <c r="N397" t="s">
        <v>108</v>
      </c>
      <c r="O397" t="s">
        <v>74</v>
      </c>
      <c r="P397" t="s">
        <v>74</v>
      </c>
      <c r="Q397" t="s">
        <v>74</v>
      </c>
      <c r="R397" t="s">
        <v>74</v>
      </c>
      <c r="S397" t="s">
        <v>74</v>
      </c>
      <c r="T397" t="s">
        <v>74</v>
      </c>
      <c r="U397" t="s">
        <v>8038</v>
      </c>
      <c r="V397" t="s">
        <v>8039</v>
      </c>
      <c r="W397" t="s">
        <v>8040</v>
      </c>
      <c r="X397" t="s">
        <v>8041</v>
      </c>
      <c r="Y397" t="s">
        <v>8042</v>
      </c>
      <c r="Z397" t="s">
        <v>8043</v>
      </c>
      <c r="AA397" t="s">
        <v>8044</v>
      </c>
      <c r="AB397" t="s">
        <v>8045</v>
      </c>
      <c r="AC397" t="s">
        <v>8046</v>
      </c>
      <c r="AD397" t="s">
        <v>8047</v>
      </c>
      <c r="AE397" t="s">
        <v>8048</v>
      </c>
      <c r="AF397" t="s">
        <v>74</v>
      </c>
      <c r="AG397">
        <v>86</v>
      </c>
      <c r="AH397">
        <v>9</v>
      </c>
      <c r="AI397">
        <v>9</v>
      </c>
      <c r="AJ397">
        <v>3</v>
      </c>
      <c r="AK397">
        <v>14</v>
      </c>
      <c r="AL397" t="s">
        <v>839</v>
      </c>
      <c r="AM397" t="s">
        <v>840</v>
      </c>
      <c r="AN397" t="s">
        <v>841</v>
      </c>
      <c r="AO397" t="s">
        <v>1844</v>
      </c>
      <c r="AP397" t="s">
        <v>1845</v>
      </c>
      <c r="AQ397" t="s">
        <v>74</v>
      </c>
      <c r="AR397" t="s">
        <v>1832</v>
      </c>
      <c r="AS397" t="s">
        <v>1846</v>
      </c>
      <c r="AT397" t="s">
        <v>8049</v>
      </c>
      <c r="AU397">
        <v>2019</v>
      </c>
      <c r="AV397">
        <v>13</v>
      </c>
      <c r="AW397">
        <v>7</v>
      </c>
      <c r="AX397" t="s">
        <v>74</v>
      </c>
      <c r="AY397" t="s">
        <v>74</v>
      </c>
      <c r="AZ397" t="s">
        <v>74</v>
      </c>
      <c r="BA397" t="s">
        <v>74</v>
      </c>
      <c r="BB397">
        <v>1801</v>
      </c>
      <c r="BC397">
        <v>1817</v>
      </c>
      <c r="BD397" t="s">
        <v>74</v>
      </c>
      <c r="BE397" t="s">
        <v>8050</v>
      </c>
      <c r="BF397" t="str">
        <f>HYPERLINK("http://dx.doi.org/10.5194/tc-13-1801-2019","http://dx.doi.org/10.5194/tc-13-1801-2019")</f>
        <v>http://dx.doi.org/10.5194/tc-13-1801-2019</v>
      </c>
      <c r="BG397" t="s">
        <v>74</v>
      </c>
      <c r="BH397" t="s">
        <v>74</v>
      </c>
      <c r="BI397">
        <v>17</v>
      </c>
      <c r="BJ397" t="s">
        <v>310</v>
      </c>
      <c r="BK397" t="s">
        <v>101</v>
      </c>
      <c r="BL397" t="s">
        <v>311</v>
      </c>
      <c r="BM397" t="s">
        <v>8051</v>
      </c>
      <c r="BN397" t="s">
        <v>74</v>
      </c>
      <c r="BO397" t="s">
        <v>2270</v>
      </c>
      <c r="BP397" t="s">
        <v>74</v>
      </c>
      <c r="BQ397" t="s">
        <v>74</v>
      </c>
      <c r="BR397" t="s">
        <v>103</v>
      </c>
      <c r="BS397" t="s">
        <v>8052</v>
      </c>
      <c r="BT397" t="str">
        <f>HYPERLINK("https%3A%2F%2Fwww.webofscience.com%2Fwos%2Fwoscc%2Ffull-record%2FWOS:000474461000002","View Full Record in Web of Science")</f>
        <v>View Full Record in Web of Science</v>
      </c>
    </row>
    <row r="398" spans="1:72" x14ac:dyDescent="0.15">
      <c r="A398" t="s">
        <v>72</v>
      </c>
      <c r="B398" t="s">
        <v>8053</v>
      </c>
      <c r="C398" t="s">
        <v>74</v>
      </c>
      <c r="D398" t="s">
        <v>74</v>
      </c>
      <c r="E398" t="s">
        <v>74</v>
      </c>
      <c r="F398" t="s">
        <v>8054</v>
      </c>
      <c r="G398" t="s">
        <v>74</v>
      </c>
      <c r="H398" t="s">
        <v>74</v>
      </c>
      <c r="I398" t="s">
        <v>8055</v>
      </c>
      <c r="J398" t="s">
        <v>1179</v>
      </c>
      <c r="K398" t="s">
        <v>74</v>
      </c>
      <c r="L398" t="s">
        <v>74</v>
      </c>
      <c r="M398" t="s">
        <v>78</v>
      </c>
      <c r="N398" t="s">
        <v>108</v>
      </c>
      <c r="O398" t="s">
        <v>74</v>
      </c>
      <c r="P398" t="s">
        <v>74</v>
      </c>
      <c r="Q398" t="s">
        <v>74</v>
      </c>
      <c r="R398" t="s">
        <v>74</v>
      </c>
      <c r="S398" t="s">
        <v>74</v>
      </c>
      <c r="T398" t="s">
        <v>74</v>
      </c>
      <c r="U398" t="s">
        <v>8056</v>
      </c>
      <c r="V398" t="s">
        <v>8057</v>
      </c>
      <c r="W398" t="s">
        <v>8058</v>
      </c>
      <c r="X398" t="s">
        <v>8059</v>
      </c>
      <c r="Y398" t="s">
        <v>8060</v>
      </c>
      <c r="Z398" t="s">
        <v>8061</v>
      </c>
      <c r="AA398" t="s">
        <v>8062</v>
      </c>
      <c r="AB398" t="s">
        <v>8063</v>
      </c>
      <c r="AC398" t="s">
        <v>8064</v>
      </c>
      <c r="AD398" t="s">
        <v>8065</v>
      </c>
      <c r="AE398" t="s">
        <v>8066</v>
      </c>
      <c r="AF398" t="s">
        <v>74</v>
      </c>
      <c r="AG398">
        <v>60</v>
      </c>
      <c r="AH398">
        <v>26</v>
      </c>
      <c r="AI398">
        <v>26</v>
      </c>
      <c r="AJ398">
        <v>0</v>
      </c>
      <c r="AK398">
        <v>8</v>
      </c>
      <c r="AL398" t="s">
        <v>839</v>
      </c>
      <c r="AM398" t="s">
        <v>840</v>
      </c>
      <c r="AN398" t="s">
        <v>841</v>
      </c>
      <c r="AO398" t="s">
        <v>1191</v>
      </c>
      <c r="AP398" t="s">
        <v>1192</v>
      </c>
      <c r="AQ398" t="s">
        <v>74</v>
      </c>
      <c r="AR398" t="s">
        <v>1193</v>
      </c>
      <c r="AS398" t="s">
        <v>1194</v>
      </c>
      <c r="AT398" t="s">
        <v>8067</v>
      </c>
      <c r="AU398">
        <v>2019</v>
      </c>
      <c r="AV398">
        <v>12</v>
      </c>
      <c r="AW398">
        <v>7</v>
      </c>
      <c r="AX398" t="s">
        <v>74</v>
      </c>
      <c r="AY398" t="s">
        <v>74</v>
      </c>
      <c r="AZ398" t="s">
        <v>74</v>
      </c>
      <c r="BA398" t="s">
        <v>74</v>
      </c>
      <c r="BB398">
        <v>2635</v>
      </c>
      <c r="BC398">
        <v>2656</v>
      </c>
      <c r="BD398" t="s">
        <v>74</v>
      </c>
      <c r="BE398" t="s">
        <v>8068</v>
      </c>
      <c r="BF398" t="str">
        <f>HYPERLINK("http://dx.doi.org/10.5194/gmd-12-2635-2019","http://dx.doi.org/10.5194/gmd-12-2635-2019")</f>
        <v>http://dx.doi.org/10.5194/gmd-12-2635-2019</v>
      </c>
      <c r="BG398" t="s">
        <v>74</v>
      </c>
      <c r="BH398" t="s">
        <v>74</v>
      </c>
      <c r="BI398">
        <v>22</v>
      </c>
      <c r="BJ398" t="s">
        <v>471</v>
      </c>
      <c r="BK398" t="s">
        <v>101</v>
      </c>
      <c r="BL398" t="s">
        <v>472</v>
      </c>
      <c r="BM398" t="s">
        <v>8069</v>
      </c>
      <c r="BN398" t="s">
        <v>74</v>
      </c>
      <c r="BO398" t="s">
        <v>2565</v>
      </c>
      <c r="BP398" t="s">
        <v>74</v>
      </c>
      <c r="BQ398" t="s">
        <v>74</v>
      </c>
      <c r="BR398" t="s">
        <v>103</v>
      </c>
      <c r="BS398" t="s">
        <v>8070</v>
      </c>
      <c r="BT398" t="str">
        <f>HYPERLINK("https%3A%2F%2Fwww.webofscience.com%2Fwos%2Fwoscc%2Ffull-record%2FWOS:000474285800001","View Full Record in Web of Science")</f>
        <v>View Full Record in Web of Science</v>
      </c>
    </row>
    <row r="399" spans="1:72" x14ac:dyDescent="0.15">
      <c r="A399" t="s">
        <v>72</v>
      </c>
      <c r="B399" t="s">
        <v>8071</v>
      </c>
      <c r="C399" t="s">
        <v>74</v>
      </c>
      <c r="D399" t="s">
        <v>74</v>
      </c>
      <c r="E399" t="s">
        <v>74</v>
      </c>
      <c r="F399" t="s">
        <v>8072</v>
      </c>
      <c r="G399" t="s">
        <v>74</v>
      </c>
      <c r="H399" t="s">
        <v>74</v>
      </c>
      <c r="I399" t="s">
        <v>8073</v>
      </c>
      <c r="J399" t="s">
        <v>8074</v>
      </c>
      <c r="K399" t="s">
        <v>74</v>
      </c>
      <c r="L399" t="s">
        <v>74</v>
      </c>
      <c r="M399" t="s">
        <v>78</v>
      </c>
      <c r="N399" t="s">
        <v>108</v>
      </c>
      <c r="O399" t="s">
        <v>74</v>
      </c>
      <c r="P399" t="s">
        <v>74</v>
      </c>
      <c r="Q399" t="s">
        <v>74</v>
      </c>
      <c r="R399" t="s">
        <v>74</v>
      </c>
      <c r="S399" t="s">
        <v>74</v>
      </c>
      <c r="T399" t="s">
        <v>8075</v>
      </c>
      <c r="U399" t="s">
        <v>8076</v>
      </c>
      <c r="V399" t="s">
        <v>8077</v>
      </c>
      <c r="W399" t="s">
        <v>8078</v>
      </c>
      <c r="X399" t="s">
        <v>8079</v>
      </c>
      <c r="Y399" t="s">
        <v>8080</v>
      </c>
      <c r="Z399" t="s">
        <v>8081</v>
      </c>
      <c r="AA399" t="s">
        <v>8082</v>
      </c>
      <c r="AB399" t="s">
        <v>8083</v>
      </c>
      <c r="AC399" t="s">
        <v>74</v>
      </c>
      <c r="AD399" t="s">
        <v>74</v>
      </c>
      <c r="AE399" t="s">
        <v>74</v>
      </c>
      <c r="AF399" t="s">
        <v>74</v>
      </c>
      <c r="AG399">
        <v>47</v>
      </c>
      <c r="AH399">
        <v>21</v>
      </c>
      <c r="AI399">
        <v>21</v>
      </c>
      <c r="AJ399">
        <v>1</v>
      </c>
      <c r="AK399">
        <v>27</v>
      </c>
      <c r="AL399" t="s">
        <v>1140</v>
      </c>
      <c r="AM399" t="s">
        <v>1141</v>
      </c>
      <c r="AN399" t="s">
        <v>1142</v>
      </c>
      <c r="AO399" t="s">
        <v>8084</v>
      </c>
      <c r="AP399" t="s">
        <v>8085</v>
      </c>
      <c r="AQ399" t="s">
        <v>74</v>
      </c>
      <c r="AR399" t="s">
        <v>8086</v>
      </c>
      <c r="AS399" t="s">
        <v>8087</v>
      </c>
      <c r="AT399" t="s">
        <v>2334</v>
      </c>
      <c r="AU399">
        <v>2020</v>
      </c>
      <c r="AV399">
        <v>23</v>
      </c>
      <c r="AW399">
        <v>1</v>
      </c>
      <c r="AX399" t="s">
        <v>74</v>
      </c>
      <c r="AY399" t="s">
        <v>74</v>
      </c>
      <c r="AZ399" t="s">
        <v>74</v>
      </c>
      <c r="BA399" t="s">
        <v>74</v>
      </c>
      <c r="BB399">
        <v>83</v>
      </c>
      <c r="BC399">
        <v>93</v>
      </c>
      <c r="BD399" t="s">
        <v>74</v>
      </c>
      <c r="BE399" t="s">
        <v>8088</v>
      </c>
      <c r="BF399" t="str">
        <f>HYPERLINK("http://dx.doi.org/10.1111/acv.12522","http://dx.doi.org/10.1111/acv.12522")</f>
        <v>http://dx.doi.org/10.1111/acv.12522</v>
      </c>
      <c r="BG399" t="s">
        <v>74</v>
      </c>
      <c r="BH399" t="s">
        <v>6119</v>
      </c>
      <c r="BI399">
        <v>11</v>
      </c>
      <c r="BJ399" t="s">
        <v>3802</v>
      </c>
      <c r="BK399" t="s">
        <v>101</v>
      </c>
      <c r="BL399" t="s">
        <v>1646</v>
      </c>
      <c r="BM399" t="s">
        <v>8089</v>
      </c>
      <c r="BN399" t="s">
        <v>74</v>
      </c>
      <c r="BO399" t="s">
        <v>2003</v>
      </c>
      <c r="BP399" t="s">
        <v>74</v>
      </c>
      <c r="BQ399" t="s">
        <v>74</v>
      </c>
      <c r="BR399" t="s">
        <v>103</v>
      </c>
      <c r="BS399" t="s">
        <v>8090</v>
      </c>
      <c r="BT399" t="str">
        <f>HYPERLINK("https%3A%2F%2Fwww.webofscience.com%2Fwos%2Fwoscc%2Ffull-record%2FWOS:000474144400001","View Full Record in Web of Science")</f>
        <v>View Full Record in Web of Science</v>
      </c>
    </row>
    <row r="400" spans="1:72" x14ac:dyDescent="0.15">
      <c r="A400" t="s">
        <v>72</v>
      </c>
      <c r="B400" t="s">
        <v>8091</v>
      </c>
      <c r="C400" t="s">
        <v>74</v>
      </c>
      <c r="D400" t="s">
        <v>74</v>
      </c>
      <c r="E400" t="s">
        <v>74</v>
      </c>
      <c r="F400" t="s">
        <v>8092</v>
      </c>
      <c r="G400" t="s">
        <v>74</v>
      </c>
      <c r="H400" t="s">
        <v>74</v>
      </c>
      <c r="I400" t="s">
        <v>8093</v>
      </c>
      <c r="J400" t="s">
        <v>6771</v>
      </c>
      <c r="K400" t="s">
        <v>74</v>
      </c>
      <c r="L400" t="s">
        <v>74</v>
      </c>
      <c r="M400" t="s">
        <v>78</v>
      </c>
      <c r="N400" t="s">
        <v>108</v>
      </c>
      <c r="O400" t="s">
        <v>74</v>
      </c>
      <c r="P400" t="s">
        <v>74</v>
      </c>
      <c r="Q400" t="s">
        <v>74</v>
      </c>
      <c r="R400" t="s">
        <v>74</v>
      </c>
      <c r="S400" t="s">
        <v>74</v>
      </c>
      <c r="T400" t="s">
        <v>8094</v>
      </c>
      <c r="U400" t="s">
        <v>8095</v>
      </c>
      <c r="V400" t="s">
        <v>8096</v>
      </c>
      <c r="W400" t="s">
        <v>8097</v>
      </c>
      <c r="X400" t="s">
        <v>8098</v>
      </c>
      <c r="Y400" t="s">
        <v>8099</v>
      </c>
      <c r="Z400" t="s">
        <v>8100</v>
      </c>
      <c r="AA400" t="s">
        <v>8101</v>
      </c>
      <c r="AB400" t="s">
        <v>8102</v>
      </c>
      <c r="AC400" t="s">
        <v>8103</v>
      </c>
      <c r="AD400" t="s">
        <v>8104</v>
      </c>
      <c r="AE400" t="s">
        <v>8105</v>
      </c>
      <c r="AF400" t="s">
        <v>74</v>
      </c>
      <c r="AG400">
        <v>59</v>
      </c>
      <c r="AH400">
        <v>14</v>
      </c>
      <c r="AI400">
        <v>14</v>
      </c>
      <c r="AJ400">
        <v>1</v>
      </c>
      <c r="AK400">
        <v>11</v>
      </c>
      <c r="AL400" t="s">
        <v>638</v>
      </c>
      <c r="AM400" t="s">
        <v>439</v>
      </c>
      <c r="AN400" t="s">
        <v>639</v>
      </c>
      <c r="AO400" t="s">
        <v>6783</v>
      </c>
      <c r="AP400" t="s">
        <v>6784</v>
      </c>
      <c r="AQ400" t="s">
        <v>74</v>
      </c>
      <c r="AR400" t="s">
        <v>6785</v>
      </c>
      <c r="AS400" t="s">
        <v>6786</v>
      </c>
      <c r="AT400" t="s">
        <v>8067</v>
      </c>
      <c r="AU400">
        <v>2019</v>
      </c>
      <c r="AV400">
        <v>517</v>
      </c>
      <c r="AW400" t="s">
        <v>74</v>
      </c>
      <c r="AX400" t="s">
        <v>74</v>
      </c>
      <c r="AY400" t="s">
        <v>74</v>
      </c>
      <c r="AZ400" t="s">
        <v>74</v>
      </c>
      <c r="BA400" t="s">
        <v>74</v>
      </c>
      <c r="BB400">
        <v>44</v>
      </c>
      <c r="BC400">
        <v>57</v>
      </c>
      <c r="BD400" t="s">
        <v>74</v>
      </c>
      <c r="BE400" t="s">
        <v>8106</v>
      </c>
      <c r="BF400" t="str">
        <f>HYPERLINK("http://dx.doi.org/10.1016/j.chemgeo.2019.04.003","http://dx.doi.org/10.1016/j.chemgeo.2019.04.003")</f>
        <v>http://dx.doi.org/10.1016/j.chemgeo.2019.04.003</v>
      </c>
      <c r="BG400" t="s">
        <v>74</v>
      </c>
      <c r="BH400" t="s">
        <v>74</v>
      </c>
      <c r="BI400">
        <v>14</v>
      </c>
      <c r="BJ400" t="s">
        <v>190</v>
      </c>
      <c r="BK400" t="s">
        <v>101</v>
      </c>
      <c r="BL400" t="s">
        <v>190</v>
      </c>
      <c r="BM400" t="s">
        <v>8107</v>
      </c>
      <c r="BN400" t="s">
        <v>74</v>
      </c>
      <c r="BO400" t="s">
        <v>74</v>
      </c>
      <c r="BP400" t="s">
        <v>74</v>
      </c>
      <c r="BQ400" t="s">
        <v>74</v>
      </c>
      <c r="BR400" t="s">
        <v>103</v>
      </c>
      <c r="BS400" t="s">
        <v>8108</v>
      </c>
      <c r="BT400" t="str">
        <f>HYPERLINK("https%3A%2F%2Fwww.webofscience.com%2Fwos%2Fwoscc%2Ffull-record%2FWOS:000467806900005","View Full Record in Web of Science")</f>
        <v>View Full Record in Web of Science</v>
      </c>
    </row>
    <row r="401" spans="1:72" x14ac:dyDescent="0.15">
      <c r="A401" t="s">
        <v>72</v>
      </c>
      <c r="B401" t="s">
        <v>8109</v>
      </c>
      <c r="C401" t="s">
        <v>74</v>
      </c>
      <c r="D401" t="s">
        <v>74</v>
      </c>
      <c r="E401" t="s">
        <v>74</v>
      </c>
      <c r="F401" t="s">
        <v>8110</v>
      </c>
      <c r="G401" t="s">
        <v>74</v>
      </c>
      <c r="H401" t="s">
        <v>74</v>
      </c>
      <c r="I401" t="s">
        <v>8111</v>
      </c>
      <c r="J401" t="s">
        <v>1960</v>
      </c>
      <c r="K401" t="s">
        <v>74</v>
      </c>
      <c r="L401" t="s">
        <v>74</v>
      </c>
      <c r="M401" t="s">
        <v>78</v>
      </c>
      <c r="N401" t="s">
        <v>108</v>
      </c>
      <c r="O401" t="s">
        <v>74</v>
      </c>
      <c r="P401" t="s">
        <v>74</v>
      </c>
      <c r="Q401" t="s">
        <v>74</v>
      </c>
      <c r="R401" t="s">
        <v>74</v>
      </c>
      <c r="S401" t="s">
        <v>74</v>
      </c>
      <c r="T401" t="s">
        <v>8112</v>
      </c>
      <c r="U401" t="s">
        <v>8113</v>
      </c>
      <c r="V401" t="s">
        <v>8114</v>
      </c>
      <c r="W401" t="s">
        <v>8115</v>
      </c>
      <c r="X401" t="s">
        <v>8116</v>
      </c>
      <c r="Y401" t="s">
        <v>8117</v>
      </c>
      <c r="Z401" t="s">
        <v>8118</v>
      </c>
      <c r="AA401" t="s">
        <v>8119</v>
      </c>
      <c r="AB401" t="s">
        <v>8120</v>
      </c>
      <c r="AC401" t="s">
        <v>8121</v>
      </c>
      <c r="AD401" t="s">
        <v>8122</v>
      </c>
      <c r="AE401" t="s">
        <v>8123</v>
      </c>
      <c r="AF401" t="s">
        <v>74</v>
      </c>
      <c r="AG401">
        <v>31</v>
      </c>
      <c r="AH401">
        <v>20</v>
      </c>
      <c r="AI401">
        <v>23</v>
      </c>
      <c r="AJ401">
        <v>2</v>
      </c>
      <c r="AK401">
        <v>41</v>
      </c>
      <c r="AL401" t="s">
        <v>1973</v>
      </c>
      <c r="AM401" t="s">
        <v>1974</v>
      </c>
      <c r="AN401" t="s">
        <v>1975</v>
      </c>
      <c r="AO401" t="s">
        <v>1976</v>
      </c>
      <c r="AP401" t="s">
        <v>1977</v>
      </c>
      <c r="AQ401" t="s">
        <v>74</v>
      </c>
      <c r="AR401" t="s">
        <v>1978</v>
      </c>
      <c r="AS401" t="s">
        <v>1979</v>
      </c>
      <c r="AT401" t="s">
        <v>8124</v>
      </c>
      <c r="AU401">
        <v>2019</v>
      </c>
      <c r="AV401">
        <v>621</v>
      </c>
      <c r="AW401" t="s">
        <v>74</v>
      </c>
      <c r="AX401" t="s">
        <v>74</v>
      </c>
      <c r="AY401" t="s">
        <v>74</v>
      </c>
      <c r="AZ401" t="s">
        <v>74</v>
      </c>
      <c r="BA401" t="s">
        <v>74</v>
      </c>
      <c r="BB401">
        <v>221</v>
      </c>
      <c r="BC401">
        <v>227</v>
      </c>
      <c r="BD401" t="s">
        <v>74</v>
      </c>
      <c r="BE401" t="s">
        <v>8125</v>
      </c>
      <c r="BF401" t="str">
        <f>HYPERLINK("http://dx.doi.org/10.3354/meps12981","http://dx.doi.org/10.3354/meps12981")</f>
        <v>http://dx.doi.org/10.3354/meps12981</v>
      </c>
      <c r="BG401" t="s">
        <v>74</v>
      </c>
      <c r="BH401" t="s">
        <v>74</v>
      </c>
      <c r="BI401">
        <v>7</v>
      </c>
      <c r="BJ401" t="s">
        <v>1982</v>
      </c>
      <c r="BK401" t="s">
        <v>101</v>
      </c>
      <c r="BL401" t="s">
        <v>1983</v>
      </c>
      <c r="BM401" t="s">
        <v>8126</v>
      </c>
      <c r="BN401" t="s">
        <v>74</v>
      </c>
      <c r="BO401" t="s">
        <v>1648</v>
      </c>
      <c r="BP401" t="s">
        <v>74</v>
      </c>
      <c r="BQ401" t="s">
        <v>74</v>
      </c>
      <c r="BR401" t="s">
        <v>103</v>
      </c>
      <c r="BS401" t="s">
        <v>8127</v>
      </c>
      <c r="BT401" t="str">
        <f>HYPERLINK("https%3A%2F%2Fwww.webofscience.com%2Fwos%2Fwoscc%2Ffull-record%2FWOS:000485734200016","View Full Record in Web of Science")</f>
        <v>View Full Record in Web of Science</v>
      </c>
    </row>
    <row r="402" spans="1:72" x14ac:dyDescent="0.15">
      <c r="A402" t="s">
        <v>72</v>
      </c>
      <c r="B402" t="s">
        <v>8128</v>
      </c>
      <c r="C402" t="s">
        <v>74</v>
      </c>
      <c r="D402" t="s">
        <v>74</v>
      </c>
      <c r="E402" t="s">
        <v>74</v>
      </c>
      <c r="F402" t="s">
        <v>8129</v>
      </c>
      <c r="G402" t="s">
        <v>74</v>
      </c>
      <c r="H402" t="s">
        <v>74</v>
      </c>
      <c r="I402" t="s">
        <v>8130</v>
      </c>
      <c r="J402" t="s">
        <v>855</v>
      </c>
      <c r="K402" t="s">
        <v>74</v>
      </c>
      <c r="L402" t="s">
        <v>74</v>
      </c>
      <c r="M402" t="s">
        <v>78</v>
      </c>
      <c r="N402" t="s">
        <v>108</v>
      </c>
      <c r="O402" t="s">
        <v>74</v>
      </c>
      <c r="P402" t="s">
        <v>74</v>
      </c>
      <c r="Q402" t="s">
        <v>74</v>
      </c>
      <c r="R402" t="s">
        <v>74</v>
      </c>
      <c r="S402" t="s">
        <v>74</v>
      </c>
      <c r="T402" t="s">
        <v>8131</v>
      </c>
      <c r="U402" t="s">
        <v>8132</v>
      </c>
      <c r="V402" t="s">
        <v>8133</v>
      </c>
      <c r="W402" t="s">
        <v>8134</v>
      </c>
      <c r="X402" t="s">
        <v>8135</v>
      </c>
      <c r="Y402" t="s">
        <v>8136</v>
      </c>
      <c r="Z402" t="s">
        <v>8137</v>
      </c>
      <c r="AA402" t="s">
        <v>8138</v>
      </c>
      <c r="AB402" t="s">
        <v>8139</v>
      </c>
      <c r="AC402" t="s">
        <v>8140</v>
      </c>
      <c r="AD402" t="s">
        <v>8140</v>
      </c>
      <c r="AE402" t="s">
        <v>8141</v>
      </c>
      <c r="AF402" t="s">
        <v>74</v>
      </c>
      <c r="AG402">
        <v>90</v>
      </c>
      <c r="AH402">
        <v>25</v>
      </c>
      <c r="AI402">
        <v>25</v>
      </c>
      <c r="AJ402">
        <v>2</v>
      </c>
      <c r="AK402">
        <v>17</v>
      </c>
      <c r="AL402" t="s">
        <v>868</v>
      </c>
      <c r="AM402" t="s">
        <v>869</v>
      </c>
      <c r="AN402" t="s">
        <v>870</v>
      </c>
      <c r="AO402" t="s">
        <v>74</v>
      </c>
      <c r="AP402" t="s">
        <v>871</v>
      </c>
      <c r="AQ402" t="s">
        <v>74</v>
      </c>
      <c r="AR402" t="s">
        <v>872</v>
      </c>
      <c r="AS402" t="s">
        <v>873</v>
      </c>
      <c r="AT402" t="s">
        <v>8124</v>
      </c>
      <c r="AU402">
        <v>2019</v>
      </c>
      <c r="AV402">
        <v>6</v>
      </c>
      <c r="AW402" t="s">
        <v>74</v>
      </c>
      <c r="AX402" t="s">
        <v>74</v>
      </c>
      <c r="AY402" t="s">
        <v>74</v>
      </c>
      <c r="AZ402" t="s">
        <v>74</v>
      </c>
      <c r="BA402" t="s">
        <v>74</v>
      </c>
      <c r="BB402" t="s">
        <v>74</v>
      </c>
      <c r="BC402" t="s">
        <v>74</v>
      </c>
      <c r="BD402">
        <v>383</v>
      </c>
      <c r="BE402" t="s">
        <v>8142</v>
      </c>
      <c r="BF402" t="str">
        <f>HYPERLINK("http://dx.doi.org/10.3389/fmars.2019.00383","http://dx.doi.org/10.3389/fmars.2019.00383")</f>
        <v>http://dx.doi.org/10.3389/fmars.2019.00383</v>
      </c>
      <c r="BG402" t="s">
        <v>74</v>
      </c>
      <c r="BH402" t="s">
        <v>74</v>
      </c>
      <c r="BI402">
        <v>16</v>
      </c>
      <c r="BJ402" t="s">
        <v>876</v>
      </c>
      <c r="BK402" t="s">
        <v>101</v>
      </c>
      <c r="BL402" t="s">
        <v>877</v>
      </c>
      <c r="BM402" t="s">
        <v>8143</v>
      </c>
      <c r="BN402" t="s">
        <v>74</v>
      </c>
      <c r="BO402" t="s">
        <v>313</v>
      </c>
      <c r="BP402" t="s">
        <v>74</v>
      </c>
      <c r="BQ402" t="s">
        <v>74</v>
      </c>
      <c r="BR402" t="s">
        <v>103</v>
      </c>
      <c r="BS402" t="s">
        <v>8144</v>
      </c>
      <c r="BT402" t="str">
        <f>HYPERLINK("https%3A%2F%2Fwww.webofscience.com%2Fwos%2Fwoscc%2Ffull-record%2FWOS:000473766800001","View Full Record in Web of Science")</f>
        <v>View Full Record in Web of Science</v>
      </c>
    </row>
    <row r="403" spans="1:72" x14ac:dyDescent="0.15">
      <c r="A403" t="s">
        <v>72</v>
      </c>
      <c r="B403" t="s">
        <v>8145</v>
      </c>
      <c r="C403" t="s">
        <v>74</v>
      </c>
      <c r="D403" t="s">
        <v>74</v>
      </c>
      <c r="E403" t="s">
        <v>74</v>
      </c>
      <c r="F403" t="s">
        <v>8146</v>
      </c>
      <c r="G403" t="s">
        <v>74</v>
      </c>
      <c r="H403" t="s">
        <v>74</v>
      </c>
      <c r="I403" t="s">
        <v>8147</v>
      </c>
      <c r="J403" t="s">
        <v>8148</v>
      </c>
      <c r="K403" t="s">
        <v>74</v>
      </c>
      <c r="L403" t="s">
        <v>74</v>
      </c>
      <c r="M403" t="s">
        <v>78</v>
      </c>
      <c r="N403" t="s">
        <v>108</v>
      </c>
      <c r="O403" t="s">
        <v>74</v>
      </c>
      <c r="P403" t="s">
        <v>74</v>
      </c>
      <c r="Q403" t="s">
        <v>74</v>
      </c>
      <c r="R403" t="s">
        <v>74</v>
      </c>
      <c r="S403" t="s">
        <v>74</v>
      </c>
      <c r="T403" t="s">
        <v>8149</v>
      </c>
      <c r="U403" t="s">
        <v>8150</v>
      </c>
      <c r="V403" t="s">
        <v>8151</v>
      </c>
      <c r="W403" t="s">
        <v>8152</v>
      </c>
      <c r="X403" t="s">
        <v>8153</v>
      </c>
      <c r="Y403" t="s">
        <v>8154</v>
      </c>
      <c r="Z403" t="s">
        <v>8155</v>
      </c>
      <c r="AA403" t="s">
        <v>8156</v>
      </c>
      <c r="AB403" t="s">
        <v>8157</v>
      </c>
      <c r="AC403" t="s">
        <v>74</v>
      </c>
      <c r="AD403" t="s">
        <v>74</v>
      </c>
      <c r="AE403" t="s">
        <v>74</v>
      </c>
      <c r="AF403" t="s">
        <v>74</v>
      </c>
      <c r="AG403">
        <v>54</v>
      </c>
      <c r="AH403">
        <v>16</v>
      </c>
      <c r="AI403">
        <v>16</v>
      </c>
      <c r="AJ403">
        <v>0</v>
      </c>
      <c r="AK403">
        <v>8</v>
      </c>
      <c r="AL403" t="s">
        <v>1274</v>
      </c>
      <c r="AM403" t="s">
        <v>1275</v>
      </c>
      <c r="AN403" t="s">
        <v>1276</v>
      </c>
      <c r="AO403" t="s">
        <v>8158</v>
      </c>
      <c r="AP403" t="s">
        <v>8159</v>
      </c>
      <c r="AQ403" t="s">
        <v>74</v>
      </c>
      <c r="AR403" t="s">
        <v>8160</v>
      </c>
      <c r="AS403" t="s">
        <v>8161</v>
      </c>
      <c r="AT403" t="s">
        <v>8124</v>
      </c>
      <c r="AU403">
        <v>2019</v>
      </c>
      <c r="AV403">
        <v>64</v>
      </c>
      <c r="AW403">
        <v>9</v>
      </c>
      <c r="AX403" t="s">
        <v>74</v>
      </c>
      <c r="AY403" t="s">
        <v>74</v>
      </c>
      <c r="AZ403" t="s">
        <v>74</v>
      </c>
      <c r="BA403" t="s">
        <v>74</v>
      </c>
      <c r="BB403">
        <v>1013</v>
      </c>
      <c r="BC403">
        <v>1037</v>
      </c>
      <c r="BD403" t="s">
        <v>74</v>
      </c>
      <c r="BE403" t="s">
        <v>8162</v>
      </c>
      <c r="BF403" t="str">
        <f>HYPERLINK("http://dx.doi.org/10.1080/02626667.2019.1600700","http://dx.doi.org/10.1080/02626667.2019.1600700")</f>
        <v>http://dx.doi.org/10.1080/02626667.2019.1600700</v>
      </c>
      <c r="BG403" t="s">
        <v>74</v>
      </c>
      <c r="BH403" t="s">
        <v>74</v>
      </c>
      <c r="BI403">
        <v>25</v>
      </c>
      <c r="BJ403" t="s">
        <v>8163</v>
      </c>
      <c r="BK403" t="s">
        <v>3718</v>
      </c>
      <c r="BL403" t="s">
        <v>8163</v>
      </c>
      <c r="BM403" t="s">
        <v>8164</v>
      </c>
      <c r="BN403" t="s">
        <v>74</v>
      </c>
      <c r="BO403" t="s">
        <v>74</v>
      </c>
      <c r="BP403" t="s">
        <v>74</v>
      </c>
      <c r="BQ403" t="s">
        <v>74</v>
      </c>
      <c r="BR403" t="s">
        <v>103</v>
      </c>
      <c r="BS403" t="s">
        <v>8165</v>
      </c>
      <c r="BT403" t="str">
        <f>HYPERLINK("https%3A%2F%2Fwww.webofscience.com%2Fwos%2Fwoscc%2Ffull-record%2FWOS:000472756200001","View Full Record in Web of Science")</f>
        <v>View Full Record in Web of Science</v>
      </c>
    </row>
    <row r="404" spans="1:72" x14ac:dyDescent="0.15">
      <c r="A404" t="s">
        <v>72</v>
      </c>
      <c r="B404" t="s">
        <v>8166</v>
      </c>
      <c r="C404" t="s">
        <v>74</v>
      </c>
      <c r="D404" t="s">
        <v>74</v>
      </c>
      <c r="E404" t="s">
        <v>74</v>
      </c>
      <c r="F404" t="s">
        <v>8167</v>
      </c>
      <c r="G404" t="s">
        <v>74</v>
      </c>
      <c r="H404" t="s">
        <v>74</v>
      </c>
      <c r="I404" t="s">
        <v>8168</v>
      </c>
      <c r="J404" t="s">
        <v>855</v>
      </c>
      <c r="K404" t="s">
        <v>74</v>
      </c>
      <c r="L404" t="s">
        <v>74</v>
      </c>
      <c r="M404" t="s">
        <v>78</v>
      </c>
      <c r="N404" t="s">
        <v>79</v>
      </c>
      <c r="O404" t="s">
        <v>74</v>
      </c>
      <c r="P404" t="s">
        <v>74</v>
      </c>
      <c r="Q404" t="s">
        <v>74</v>
      </c>
      <c r="R404" t="s">
        <v>74</v>
      </c>
      <c r="S404" t="s">
        <v>74</v>
      </c>
      <c r="T404" t="s">
        <v>8169</v>
      </c>
      <c r="U404" t="s">
        <v>8170</v>
      </c>
      <c r="V404" t="s">
        <v>8171</v>
      </c>
      <c r="W404" t="s">
        <v>8172</v>
      </c>
      <c r="X404" t="s">
        <v>8173</v>
      </c>
      <c r="Y404" t="s">
        <v>8174</v>
      </c>
      <c r="Z404" t="s">
        <v>8175</v>
      </c>
      <c r="AA404" t="s">
        <v>8176</v>
      </c>
      <c r="AB404" t="s">
        <v>8177</v>
      </c>
      <c r="AC404" t="s">
        <v>8178</v>
      </c>
      <c r="AD404" t="s">
        <v>8179</v>
      </c>
      <c r="AE404" t="s">
        <v>8180</v>
      </c>
      <c r="AF404" t="s">
        <v>74</v>
      </c>
      <c r="AG404">
        <v>316</v>
      </c>
      <c r="AH404">
        <v>115</v>
      </c>
      <c r="AI404">
        <v>122</v>
      </c>
      <c r="AJ404">
        <v>16</v>
      </c>
      <c r="AK404">
        <v>184</v>
      </c>
      <c r="AL404" t="s">
        <v>868</v>
      </c>
      <c r="AM404" t="s">
        <v>869</v>
      </c>
      <c r="AN404" t="s">
        <v>870</v>
      </c>
      <c r="AO404" t="s">
        <v>74</v>
      </c>
      <c r="AP404" t="s">
        <v>871</v>
      </c>
      <c r="AQ404" t="s">
        <v>74</v>
      </c>
      <c r="AR404" t="s">
        <v>872</v>
      </c>
      <c r="AS404" t="s">
        <v>873</v>
      </c>
      <c r="AT404" t="s">
        <v>8124</v>
      </c>
      <c r="AU404">
        <v>2019</v>
      </c>
      <c r="AV404">
        <v>6</v>
      </c>
      <c r="AW404" t="s">
        <v>74</v>
      </c>
      <c r="AX404" t="s">
        <v>74</v>
      </c>
      <c r="AY404" t="s">
        <v>74</v>
      </c>
      <c r="AZ404" t="s">
        <v>74</v>
      </c>
      <c r="BA404" t="s">
        <v>74</v>
      </c>
      <c r="BB404" t="s">
        <v>74</v>
      </c>
      <c r="BC404" t="s">
        <v>74</v>
      </c>
      <c r="BD404">
        <v>317</v>
      </c>
      <c r="BE404" t="s">
        <v>8181</v>
      </c>
      <c r="BF404" t="str">
        <f>HYPERLINK("http://dx.doi.org/10.3389/fmars.2019.00317","http://dx.doi.org/10.3389/fmars.2019.00317")</f>
        <v>http://dx.doi.org/10.3389/fmars.2019.00317</v>
      </c>
      <c r="BG404" t="s">
        <v>74</v>
      </c>
      <c r="BH404" t="s">
        <v>74</v>
      </c>
      <c r="BI404">
        <v>26</v>
      </c>
      <c r="BJ404" t="s">
        <v>876</v>
      </c>
      <c r="BK404" t="s">
        <v>3718</v>
      </c>
      <c r="BL404" t="s">
        <v>877</v>
      </c>
      <c r="BM404" t="s">
        <v>8182</v>
      </c>
      <c r="BN404" t="s">
        <v>74</v>
      </c>
      <c r="BO404" t="s">
        <v>2313</v>
      </c>
      <c r="BP404" t="s">
        <v>1784</v>
      </c>
      <c r="BQ404" t="s">
        <v>1785</v>
      </c>
      <c r="BR404" t="s">
        <v>103</v>
      </c>
      <c r="BS404" t="s">
        <v>8183</v>
      </c>
      <c r="BT404" t="str">
        <f>HYPERLINK("https%3A%2F%2Fwww.webofscience.com%2Fwos%2Fwoscc%2Ffull-record%2FWOS:000473765200001","View Full Record in Web of Science")</f>
        <v>View Full Record in Web of Science</v>
      </c>
    </row>
    <row r="405" spans="1:72" x14ac:dyDescent="0.15">
      <c r="A405" t="s">
        <v>72</v>
      </c>
      <c r="B405" t="s">
        <v>8184</v>
      </c>
      <c r="C405" t="s">
        <v>74</v>
      </c>
      <c r="D405" t="s">
        <v>74</v>
      </c>
      <c r="E405" t="s">
        <v>74</v>
      </c>
      <c r="F405" t="s">
        <v>8185</v>
      </c>
      <c r="G405" t="s">
        <v>74</v>
      </c>
      <c r="H405" t="s">
        <v>74</v>
      </c>
      <c r="I405" t="s">
        <v>8186</v>
      </c>
      <c r="J405" t="s">
        <v>8187</v>
      </c>
      <c r="K405" t="s">
        <v>74</v>
      </c>
      <c r="L405" t="s">
        <v>74</v>
      </c>
      <c r="M405" t="s">
        <v>78</v>
      </c>
      <c r="N405" t="s">
        <v>108</v>
      </c>
      <c r="O405" t="s">
        <v>74</v>
      </c>
      <c r="P405" t="s">
        <v>74</v>
      </c>
      <c r="Q405" t="s">
        <v>74</v>
      </c>
      <c r="R405" t="s">
        <v>74</v>
      </c>
      <c r="S405" t="s">
        <v>74</v>
      </c>
      <c r="T405" t="s">
        <v>74</v>
      </c>
      <c r="U405" t="s">
        <v>8188</v>
      </c>
      <c r="V405" t="s">
        <v>8189</v>
      </c>
      <c r="W405" t="s">
        <v>8190</v>
      </c>
      <c r="X405" t="s">
        <v>8191</v>
      </c>
      <c r="Y405" t="s">
        <v>8192</v>
      </c>
      <c r="Z405" t="s">
        <v>8193</v>
      </c>
      <c r="AA405" t="s">
        <v>8194</v>
      </c>
      <c r="AB405" t="s">
        <v>8195</v>
      </c>
      <c r="AC405" t="s">
        <v>8196</v>
      </c>
      <c r="AD405" t="s">
        <v>8196</v>
      </c>
      <c r="AE405" t="s">
        <v>8197</v>
      </c>
      <c r="AF405" t="s">
        <v>74</v>
      </c>
      <c r="AG405">
        <v>95</v>
      </c>
      <c r="AH405">
        <v>103</v>
      </c>
      <c r="AI405">
        <v>116</v>
      </c>
      <c r="AJ405">
        <v>9</v>
      </c>
      <c r="AK405">
        <v>119</v>
      </c>
      <c r="AL405" t="s">
        <v>998</v>
      </c>
      <c r="AM405" t="s">
        <v>657</v>
      </c>
      <c r="AN405" t="s">
        <v>999</v>
      </c>
      <c r="AO405" t="s">
        <v>8198</v>
      </c>
      <c r="AP405" t="s">
        <v>8199</v>
      </c>
      <c r="AQ405" t="s">
        <v>74</v>
      </c>
      <c r="AR405" t="s">
        <v>8187</v>
      </c>
      <c r="AS405" t="s">
        <v>8200</v>
      </c>
      <c r="AT405" t="s">
        <v>8124</v>
      </c>
      <c r="AU405">
        <v>2019</v>
      </c>
      <c r="AV405">
        <v>571</v>
      </c>
      <c r="AW405">
        <v>7763</v>
      </c>
      <c r="AX405" t="s">
        <v>74</v>
      </c>
      <c r="AY405" t="s">
        <v>74</v>
      </c>
      <c r="AZ405" t="s">
        <v>74</v>
      </c>
      <c r="BA405" t="s">
        <v>74</v>
      </c>
      <c r="BB405">
        <v>99</v>
      </c>
      <c r="BC405" t="s">
        <v>3569</v>
      </c>
      <c r="BD405" t="s">
        <v>74</v>
      </c>
      <c r="BE405" t="s">
        <v>8201</v>
      </c>
      <c r="BF405" t="str">
        <f>HYPERLINK("http://dx.doi.org/10.1038/s41586-019-1332-y","http://dx.doi.org/10.1038/s41586-019-1332-y")</f>
        <v>http://dx.doi.org/10.1038/s41586-019-1332-y</v>
      </c>
      <c r="BG405" t="s">
        <v>74</v>
      </c>
      <c r="BH405" t="s">
        <v>74</v>
      </c>
      <c r="BI405">
        <v>18</v>
      </c>
      <c r="BJ405" t="s">
        <v>1004</v>
      </c>
      <c r="BK405" t="s">
        <v>101</v>
      </c>
      <c r="BL405" t="s">
        <v>1005</v>
      </c>
      <c r="BM405" t="s">
        <v>8202</v>
      </c>
      <c r="BN405">
        <v>31270485</v>
      </c>
      <c r="BO405" t="s">
        <v>74</v>
      </c>
      <c r="BP405" t="s">
        <v>74</v>
      </c>
      <c r="BQ405" t="s">
        <v>74</v>
      </c>
      <c r="BR405" t="s">
        <v>103</v>
      </c>
      <c r="BS405" t="s">
        <v>8203</v>
      </c>
      <c r="BT405" t="str">
        <f>HYPERLINK("https%3A%2F%2Fwww.webofscience.com%2Fwos%2Fwoscc%2Ffull-record%2FWOS:000473755200037","View Full Record in Web of Science")</f>
        <v>View Full Record in Web of Science</v>
      </c>
    </row>
    <row r="406" spans="1:72" x14ac:dyDescent="0.15">
      <c r="A406" t="s">
        <v>72</v>
      </c>
      <c r="B406" t="s">
        <v>8204</v>
      </c>
      <c r="C406" t="s">
        <v>74</v>
      </c>
      <c r="D406" t="s">
        <v>74</v>
      </c>
      <c r="E406" t="s">
        <v>74</v>
      </c>
      <c r="F406" t="s">
        <v>8205</v>
      </c>
      <c r="G406" t="s">
        <v>74</v>
      </c>
      <c r="H406" t="s">
        <v>74</v>
      </c>
      <c r="I406" t="s">
        <v>8206</v>
      </c>
      <c r="J406" t="s">
        <v>8207</v>
      </c>
      <c r="K406" t="s">
        <v>74</v>
      </c>
      <c r="L406" t="s">
        <v>74</v>
      </c>
      <c r="M406" t="s">
        <v>78</v>
      </c>
      <c r="N406" t="s">
        <v>108</v>
      </c>
      <c r="O406" t="s">
        <v>74</v>
      </c>
      <c r="P406" t="s">
        <v>74</v>
      </c>
      <c r="Q406" t="s">
        <v>74</v>
      </c>
      <c r="R406" t="s">
        <v>74</v>
      </c>
      <c r="S406" t="s">
        <v>74</v>
      </c>
      <c r="T406" t="s">
        <v>8208</v>
      </c>
      <c r="U406" t="s">
        <v>8209</v>
      </c>
      <c r="V406" t="s">
        <v>8210</v>
      </c>
      <c r="W406" t="s">
        <v>8211</v>
      </c>
      <c r="X406" t="s">
        <v>8212</v>
      </c>
      <c r="Y406" t="s">
        <v>8213</v>
      </c>
      <c r="Z406" t="s">
        <v>8214</v>
      </c>
      <c r="AA406" t="s">
        <v>8215</v>
      </c>
      <c r="AB406" t="s">
        <v>8216</v>
      </c>
      <c r="AC406" t="s">
        <v>8217</v>
      </c>
      <c r="AD406" t="s">
        <v>8218</v>
      </c>
      <c r="AE406" t="s">
        <v>8219</v>
      </c>
      <c r="AF406" t="s">
        <v>74</v>
      </c>
      <c r="AG406">
        <v>10</v>
      </c>
      <c r="AH406">
        <v>0</v>
      </c>
      <c r="AI406">
        <v>0</v>
      </c>
      <c r="AJ406">
        <v>0</v>
      </c>
      <c r="AK406">
        <v>3</v>
      </c>
      <c r="AL406" t="s">
        <v>1274</v>
      </c>
      <c r="AM406" t="s">
        <v>1275</v>
      </c>
      <c r="AN406" t="s">
        <v>1276</v>
      </c>
      <c r="AO406" t="s">
        <v>74</v>
      </c>
      <c r="AP406" t="s">
        <v>8220</v>
      </c>
      <c r="AQ406" t="s">
        <v>74</v>
      </c>
      <c r="AR406" t="s">
        <v>8221</v>
      </c>
      <c r="AS406" t="s">
        <v>8222</v>
      </c>
      <c r="AT406" t="s">
        <v>6959</v>
      </c>
      <c r="AU406">
        <v>2019</v>
      </c>
      <c r="AV406">
        <v>4</v>
      </c>
      <c r="AW406">
        <v>2</v>
      </c>
      <c r="AX406" t="s">
        <v>74</v>
      </c>
      <c r="AY406" t="s">
        <v>74</v>
      </c>
      <c r="AZ406" t="s">
        <v>74</v>
      </c>
      <c r="BA406" t="s">
        <v>74</v>
      </c>
      <c r="BB406">
        <v>3954</v>
      </c>
      <c r="BC406">
        <v>3955</v>
      </c>
      <c r="BD406" t="s">
        <v>74</v>
      </c>
      <c r="BE406" t="s">
        <v>8223</v>
      </c>
      <c r="BF406" t="str">
        <f>HYPERLINK("http://dx.doi.org/10.1080/23802359.2019.1688123","http://dx.doi.org/10.1080/23802359.2019.1688123")</f>
        <v>http://dx.doi.org/10.1080/23802359.2019.1688123</v>
      </c>
      <c r="BG406" t="s">
        <v>74</v>
      </c>
      <c r="BH406" t="s">
        <v>74</v>
      </c>
      <c r="BI406">
        <v>2</v>
      </c>
      <c r="BJ406" t="s">
        <v>8224</v>
      </c>
      <c r="BK406" t="s">
        <v>101</v>
      </c>
      <c r="BL406" t="s">
        <v>8224</v>
      </c>
      <c r="BM406" t="s">
        <v>8225</v>
      </c>
      <c r="BN406">
        <v>33366267</v>
      </c>
      <c r="BO406" t="s">
        <v>331</v>
      </c>
      <c r="BP406" t="s">
        <v>74</v>
      </c>
      <c r="BQ406" t="s">
        <v>74</v>
      </c>
      <c r="BR406" t="s">
        <v>103</v>
      </c>
      <c r="BS406" t="s">
        <v>8226</v>
      </c>
      <c r="BT406" t="str">
        <f>HYPERLINK("https%3A%2F%2Fwww.webofscience.com%2Fwos%2Fwoscc%2Ffull-record%2FWOS:000496176900001","View Full Record in Web of Science")</f>
        <v>View Full Record in Web of Science</v>
      </c>
    </row>
    <row r="407" spans="1:72" x14ac:dyDescent="0.15">
      <c r="A407" t="s">
        <v>72</v>
      </c>
      <c r="B407" t="s">
        <v>8227</v>
      </c>
      <c r="C407" t="s">
        <v>74</v>
      </c>
      <c r="D407" t="s">
        <v>74</v>
      </c>
      <c r="E407" t="s">
        <v>74</v>
      </c>
      <c r="F407" t="s">
        <v>8228</v>
      </c>
      <c r="G407" t="s">
        <v>74</v>
      </c>
      <c r="H407" t="s">
        <v>74</v>
      </c>
      <c r="I407" t="s">
        <v>8229</v>
      </c>
      <c r="J407" t="s">
        <v>8207</v>
      </c>
      <c r="K407" t="s">
        <v>74</v>
      </c>
      <c r="L407" t="s">
        <v>74</v>
      </c>
      <c r="M407" t="s">
        <v>78</v>
      </c>
      <c r="N407" t="s">
        <v>108</v>
      </c>
      <c r="O407" t="s">
        <v>74</v>
      </c>
      <c r="P407" t="s">
        <v>74</v>
      </c>
      <c r="Q407" t="s">
        <v>74</v>
      </c>
      <c r="R407" t="s">
        <v>74</v>
      </c>
      <c r="S407" t="s">
        <v>74</v>
      </c>
      <c r="T407" t="s">
        <v>8230</v>
      </c>
      <c r="U407" t="s">
        <v>74</v>
      </c>
      <c r="V407" t="s">
        <v>8231</v>
      </c>
      <c r="W407" t="s">
        <v>8232</v>
      </c>
      <c r="X407" t="s">
        <v>8233</v>
      </c>
      <c r="Y407" t="s">
        <v>8234</v>
      </c>
      <c r="Z407" t="s">
        <v>8235</v>
      </c>
      <c r="AA407" t="s">
        <v>8236</v>
      </c>
      <c r="AB407" t="s">
        <v>8237</v>
      </c>
      <c r="AC407" t="s">
        <v>8238</v>
      </c>
      <c r="AD407" t="s">
        <v>8239</v>
      </c>
      <c r="AE407" t="s">
        <v>8240</v>
      </c>
      <c r="AF407" t="s">
        <v>74</v>
      </c>
      <c r="AG407">
        <v>10</v>
      </c>
      <c r="AH407">
        <v>2</v>
      </c>
      <c r="AI407">
        <v>2</v>
      </c>
      <c r="AJ407">
        <v>0</v>
      </c>
      <c r="AK407">
        <v>0</v>
      </c>
      <c r="AL407" t="s">
        <v>1274</v>
      </c>
      <c r="AM407" t="s">
        <v>1275</v>
      </c>
      <c r="AN407" t="s">
        <v>1276</v>
      </c>
      <c r="AO407" t="s">
        <v>74</v>
      </c>
      <c r="AP407" t="s">
        <v>8220</v>
      </c>
      <c r="AQ407" t="s">
        <v>74</v>
      </c>
      <c r="AR407" t="s">
        <v>8221</v>
      </c>
      <c r="AS407" t="s">
        <v>8222</v>
      </c>
      <c r="AT407" t="s">
        <v>6959</v>
      </c>
      <c r="AU407">
        <v>2019</v>
      </c>
      <c r="AV407">
        <v>4</v>
      </c>
      <c r="AW407">
        <v>2</v>
      </c>
      <c r="AX407" t="s">
        <v>74</v>
      </c>
      <c r="AY407" t="s">
        <v>74</v>
      </c>
      <c r="AZ407" t="s">
        <v>74</v>
      </c>
      <c r="BA407" t="s">
        <v>74</v>
      </c>
      <c r="BB407">
        <v>3914</v>
      </c>
      <c r="BC407">
        <v>3915</v>
      </c>
      <c r="BD407" t="s">
        <v>74</v>
      </c>
      <c r="BE407" t="s">
        <v>8241</v>
      </c>
      <c r="BF407" t="str">
        <f>HYPERLINK("http://dx.doi.org/10.1080/23802359.2019.1688112","http://dx.doi.org/10.1080/23802359.2019.1688112")</f>
        <v>http://dx.doi.org/10.1080/23802359.2019.1688112</v>
      </c>
      <c r="BG407" t="s">
        <v>74</v>
      </c>
      <c r="BH407" t="s">
        <v>74</v>
      </c>
      <c r="BI407">
        <v>2</v>
      </c>
      <c r="BJ407" t="s">
        <v>8224</v>
      </c>
      <c r="BK407" t="s">
        <v>101</v>
      </c>
      <c r="BL407" t="s">
        <v>8224</v>
      </c>
      <c r="BM407" t="s">
        <v>8242</v>
      </c>
      <c r="BN407">
        <v>33366249</v>
      </c>
      <c r="BO407" t="s">
        <v>331</v>
      </c>
      <c r="BP407" t="s">
        <v>74</v>
      </c>
      <c r="BQ407" t="s">
        <v>74</v>
      </c>
      <c r="BR407" t="s">
        <v>103</v>
      </c>
      <c r="BS407" t="s">
        <v>8243</v>
      </c>
      <c r="BT407" t="str">
        <f>HYPERLINK("https%3A%2F%2Fwww.webofscience.com%2Fwos%2Fwoscc%2Ffull-record%2FWOS:000495578800001","View Full Record in Web of Science")</f>
        <v>View Full Record in Web of Science</v>
      </c>
    </row>
    <row r="408" spans="1:72" x14ac:dyDescent="0.15">
      <c r="A408" t="s">
        <v>72</v>
      </c>
      <c r="B408" t="s">
        <v>8244</v>
      </c>
      <c r="C408" t="s">
        <v>74</v>
      </c>
      <c r="D408" t="s">
        <v>74</v>
      </c>
      <c r="E408" t="s">
        <v>74</v>
      </c>
      <c r="F408" t="s">
        <v>8245</v>
      </c>
      <c r="G408" t="s">
        <v>74</v>
      </c>
      <c r="H408" t="s">
        <v>74</v>
      </c>
      <c r="I408" t="s">
        <v>8246</v>
      </c>
      <c r="J408" t="s">
        <v>8207</v>
      </c>
      <c r="K408" t="s">
        <v>74</v>
      </c>
      <c r="L408" t="s">
        <v>74</v>
      </c>
      <c r="M408" t="s">
        <v>78</v>
      </c>
      <c r="N408" t="s">
        <v>108</v>
      </c>
      <c r="O408" t="s">
        <v>74</v>
      </c>
      <c r="P408" t="s">
        <v>74</v>
      </c>
      <c r="Q408" t="s">
        <v>74</v>
      </c>
      <c r="R408" t="s">
        <v>74</v>
      </c>
      <c r="S408" t="s">
        <v>74</v>
      </c>
      <c r="T408" t="s">
        <v>8247</v>
      </c>
      <c r="U408" t="s">
        <v>8248</v>
      </c>
      <c r="V408" t="s">
        <v>8249</v>
      </c>
      <c r="W408" t="s">
        <v>8250</v>
      </c>
      <c r="X408" t="s">
        <v>8251</v>
      </c>
      <c r="Y408" t="s">
        <v>8252</v>
      </c>
      <c r="Z408" t="s">
        <v>8253</v>
      </c>
      <c r="AA408" t="s">
        <v>8254</v>
      </c>
      <c r="AB408" t="s">
        <v>8255</v>
      </c>
      <c r="AC408" t="s">
        <v>8256</v>
      </c>
      <c r="AD408" t="s">
        <v>8257</v>
      </c>
      <c r="AE408" t="s">
        <v>8258</v>
      </c>
      <c r="AF408" t="s">
        <v>74</v>
      </c>
      <c r="AG408">
        <v>12</v>
      </c>
      <c r="AH408">
        <v>1</v>
      </c>
      <c r="AI408">
        <v>1</v>
      </c>
      <c r="AJ408">
        <v>1</v>
      </c>
      <c r="AK408">
        <v>8</v>
      </c>
      <c r="AL408" t="s">
        <v>1274</v>
      </c>
      <c r="AM408" t="s">
        <v>1275</v>
      </c>
      <c r="AN408" t="s">
        <v>1276</v>
      </c>
      <c r="AO408" t="s">
        <v>74</v>
      </c>
      <c r="AP408" t="s">
        <v>8220</v>
      </c>
      <c r="AQ408" t="s">
        <v>74</v>
      </c>
      <c r="AR408" t="s">
        <v>8221</v>
      </c>
      <c r="AS408" t="s">
        <v>8222</v>
      </c>
      <c r="AT408" t="s">
        <v>6959</v>
      </c>
      <c r="AU408">
        <v>2019</v>
      </c>
      <c r="AV408">
        <v>4</v>
      </c>
      <c r="AW408">
        <v>2</v>
      </c>
      <c r="AX408" t="s">
        <v>74</v>
      </c>
      <c r="AY408" t="s">
        <v>74</v>
      </c>
      <c r="AZ408" t="s">
        <v>74</v>
      </c>
      <c r="BA408" t="s">
        <v>74</v>
      </c>
      <c r="BB408">
        <v>3161</v>
      </c>
      <c r="BC408">
        <v>3162</v>
      </c>
      <c r="BD408" t="s">
        <v>74</v>
      </c>
      <c r="BE408" t="s">
        <v>8259</v>
      </c>
      <c r="BF408" t="str">
        <f>HYPERLINK("http://dx.doi.org/10.1080/23802359.2019.1666689","http://dx.doi.org/10.1080/23802359.2019.1666689")</f>
        <v>http://dx.doi.org/10.1080/23802359.2019.1666689</v>
      </c>
      <c r="BG408" t="s">
        <v>74</v>
      </c>
      <c r="BH408" t="s">
        <v>74</v>
      </c>
      <c r="BI408">
        <v>2</v>
      </c>
      <c r="BJ408" t="s">
        <v>8224</v>
      </c>
      <c r="BK408" t="s">
        <v>101</v>
      </c>
      <c r="BL408" t="s">
        <v>8224</v>
      </c>
      <c r="BM408" t="s">
        <v>8260</v>
      </c>
      <c r="BN408">
        <v>33365899</v>
      </c>
      <c r="BO408" t="s">
        <v>331</v>
      </c>
      <c r="BP408" t="s">
        <v>74</v>
      </c>
      <c r="BQ408" t="s">
        <v>74</v>
      </c>
      <c r="BR408" t="s">
        <v>103</v>
      </c>
      <c r="BS408" t="s">
        <v>8261</v>
      </c>
      <c r="BT408" t="str">
        <f>HYPERLINK("https%3A%2F%2Fwww.webofscience.com%2Fwos%2Fwoscc%2Ffull-record%2FWOS:000487223900001","View Full Record in Web of Science")</f>
        <v>View Full Record in Web of Science</v>
      </c>
    </row>
    <row r="409" spans="1:72" x14ac:dyDescent="0.15">
      <c r="A409" t="s">
        <v>72</v>
      </c>
      <c r="B409" t="s">
        <v>8262</v>
      </c>
      <c r="C409" t="s">
        <v>74</v>
      </c>
      <c r="D409" t="s">
        <v>74</v>
      </c>
      <c r="E409" t="s">
        <v>74</v>
      </c>
      <c r="F409" t="s">
        <v>8263</v>
      </c>
      <c r="G409" t="s">
        <v>74</v>
      </c>
      <c r="H409" t="s">
        <v>74</v>
      </c>
      <c r="I409" t="s">
        <v>8264</v>
      </c>
      <c r="J409" t="s">
        <v>8207</v>
      </c>
      <c r="K409" t="s">
        <v>74</v>
      </c>
      <c r="L409" t="s">
        <v>74</v>
      </c>
      <c r="M409" t="s">
        <v>78</v>
      </c>
      <c r="N409" t="s">
        <v>108</v>
      </c>
      <c r="O409" t="s">
        <v>74</v>
      </c>
      <c r="P409" t="s">
        <v>74</v>
      </c>
      <c r="Q409" t="s">
        <v>74</v>
      </c>
      <c r="R409" t="s">
        <v>74</v>
      </c>
      <c r="S409" t="s">
        <v>74</v>
      </c>
      <c r="T409" t="s">
        <v>8265</v>
      </c>
      <c r="U409" t="s">
        <v>8266</v>
      </c>
      <c r="V409" t="s">
        <v>8267</v>
      </c>
      <c r="W409" t="s">
        <v>8268</v>
      </c>
      <c r="X409" t="s">
        <v>8269</v>
      </c>
      <c r="Y409" t="s">
        <v>8270</v>
      </c>
      <c r="Z409" t="s">
        <v>8271</v>
      </c>
      <c r="AA409" t="s">
        <v>74</v>
      </c>
      <c r="AB409" t="s">
        <v>74</v>
      </c>
      <c r="AC409" t="s">
        <v>8269</v>
      </c>
      <c r="AD409" t="s">
        <v>8269</v>
      </c>
      <c r="AE409" t="s">
        <v>8272</v>
      </c>
      <c r="AF409" t="s">
        <v>74</v>
      </c>
      <c r="AG409">
        <v>11</v>
      </c>
      <c r="AH409">
        <v>5</v>
      </c>
      <c r="AI409">
        <v>5</v>
      </c>
      <c r="AJ409">
        <v>1</v>
      </c>
      <c r="AK409">
        <v>3</v>
      </c>
      <c r="AL409" t="s">
        <v>1274</v>
      </c>
      <c r="AM409" t="s">
        <v>1275</v>
      </c>
      <c r="AN409" t="s">
        <v>1276</v>
      </c>
      <c r="AO409" t="s">
        <v>8220</v>
      </c>
      <c r="AP409" t="s">
        <v>74</v>
      </c>
      <c r="AQ409" t="s">
        <v>74</v>
      </c>
      <c r="AR409" t="s">
        <v>8221</v>
      </c>
      <c r="AS409" t="s">
        <v>8222</v>
      </c>
      <c r="AT409" t="s">
        <v>6959</v>
      </c>
      <c r="AU409">
        <v>2019</v>
      </c>
      <c r="AV409">
        <v>4</v>
      </c>
      <c r="AW409">
        <v>2</v>
      </c>
      <c r="AX409" t="s">
        <v>74</v>
      </c>
      <c r="AY409" t="s">
        <v>74</v>
      </c>
      <c r="AZ409" t="s">
        <v>74</v>
      </c>
      <c r="BA409" t="s">
        <v>74</v>
      </c>
      <c r="BB409">
        <v>2515</v>
      </c>
      <c r="BC409">
        <v>2516</v>
      </c>
      <c r="BD409" t="s">
        <v>74</v>
      </c>
      <c r="BE409" t="s">
        <v>8273</v>
      </c>
      <c r="BF409" t="str">
        <f>HYPERLINK("http://dx.doi.org/10.1080/23802359.2019.1640093","http://dx.doi.org/10.1080/23802359.2019.1640093")</f>
        <v>http://dx.doi.org/10.1080/23802359.2019.1640093</v>
      </c>
      <c r="BG409" t="s">
        <v>74</v>
      </c>
      <c r="BH409" t="s">
        <v>74</v>
      </c>
      <c r="BI409">
        <v>2</v>
      </c>
      <c r="BJ409" t="s">
        <v>8224</v>
      </c>
      <c r="BK409" t="s">
        <v>101</v>
      </c>
      <c r="BL409" t="s">
        <v>8224</v>
      </c>
      <c r="BM409" t="s">
        <v>8274</v>
      </c>
      <c r="BN409">
        <v>33365606</v>
      </c>
      <c r="BO409" t="s">
        <v>331</v>
      </c>
      <c r="BP409" t="s">
        <v>74</v>
      </c>
      <c r="BQ409" t="s">
        <v>74</v>
      </c>
      <c r="BR409" t="s">
        <v>103</v>
      </c>
      <c r="BS409" t="s">
        <v>8275</v>
      </c>
      <c r="BT409" t="str">
        <f>HYPERLINK("https%3A%2F%2Fwww.webofscience.com%2Fwos%2Fwoscc%2Ffull-record%2FWOS:000475334600001","View Full Record in Web of Science")</f>
        <v>View Full Record in Web of Science</v>
      </c>
    </row>
    <row r="410" spans="1:72" x14ac:dyDescent="0.15">
      <c r="A410" t="s">
        <v>72</v>
      </c>
      <c r="B410" t="s">
        <v>8276</v>
      </c>
      <c r="C410" t="s">
        <v>74</v>
      </c>
      <c r="D410" t="s">
        <v>74</v>
      </c>
      <c r="E410" t="s">
        <v>74</v>
      </c>
      <c r="F410" t="s">
        <v>8277</v>
      </c>
      <c r="G410" t="s">
        <v>74</v>
      </c>
      <c r="H410" t="s">
        <v>74</v>
      </c>
      <c r="I410" t="s">
        <v>8278</v>
      </c>
      <c r="J410" t="s">
        <v>8207</v>
      </c>
      <c r="K410" t="s">
        <v>74</v>
      </c>
      <c r="L410" t="s">
        <v>74</v>
      </c>
      <c r="M410" t="s">
        <v>78</v>
      </c>
      <c r="N410" t="s">
        <v>108</v>
      </c>
      <c r="O410" t="s">
        <v>74</v>
      </c>
      <c r="P410" t="s">
        <v>74</v>
      </c>
      <c r="Q410" t="s">
        <v>74</v>
      </c>
      <c r="R410" t="s">
        <v>74</v>
      </c>
      <c r="S410" t="s">
        <v>74</v>
      </c>
      <c r="T410" t="s">
        <v>8279</v>
      </c>
      <c r="U410" t="s">
        <v>8280</v>
      </c>
      <c r="V410" t="s">
        <v>8281</v>
      </c>
      <c r="W410" t="s">
        <v>8282</v>
      </c>
      <c r="X410" t="s">
        <v>8283</v>
      </c>
      <c r="Y410" t="s">
        <v>8284</v>
      </c>
      <c r="Z410" t="s">
        <v>8285</v>
      </c>
      <c r="AA410" t="s">
        <v>74</v>
      </c>
      <c r="AB410" t="s">
        <v>274</v>
      </c>
      <c r="AC410" t="s">
        <v>8286</v>
      </c>
      <c r="AD410" t="s">
        <v>276</v>
      </c>
      <c r="AE410" t="s">
        <v>8287</v>
      </c>
      <c r="AF410" t="s">
        <v>74</v>
      </c>
      <c r="AG410">
        <v>8</v>
      </c>
      <c r="AH410">
        <v>3</v>
      </c>
      <c r="AI410">
        <v>3</v>
      </c>
      <c r="AJ410">
        <v>1</v>
      </c>
      <c r="AK410">
        <v>2</v>
      </c>
      <c r="AL410" t="s">
        <v>1274</v>
      </c>
      <c r="AM410" t="s">
        <v>1275</v>
      </c>
      <c r="AN410" t="s">
        <v>1276</v>
      </c>
      <c r="AO410" t="s">
        <v>8220</v>
      </c>
      <c r="AP410" t="s">
        <v>74</v>
      </c>
      <c r="AQ410" t="s">
        <v>74</v>
      </c>
      <c r="AR410" t="s">
        <v>8221</v>
      </c>
      <c r="AS410" t="s">
        <v>8222</v>
      </c>
      <c r="AT410" t="s">
        <v>6959</v>
      </c>
      <c r="AU410">
        <v>2019</v>
      </c>
      <c r="AV410">
        <v>4</v>
      </c>
      <c r="AW410">
        <v>2</v>
      </c>
      <c r="AX410" t="s">
        <v>74</v>
      </c>
      <c r="AY410" t="s">
        <v>74</v>
      </c>
      <c r="AZ410" t="s">
        <v>74</v>
      </c>
      <c r="BA410" t="s">
        <v>74</v>
      </c>
      <c r="BB410">
        <v>2303</v>
      </c>
      <c r="BC410">
        <v>2304</v>
      </c>
      <c r="BD410" t="s">
        <v>74</v>
      </c>
      <c r="BE410" t="s">
        <v>8288</v>
      </c>
      <c r="BF410" t="str">
        <f>HYPERLINK("http://dx.doi.org/10.1080/23802359.2019.1627945","http://dx.doi.org/10.1080/23802359.2019.1627945")</f>
        <v>http://dx.doi.org/10.1080/23802359.2019.1627945</v>
      </c>
      <c r="BG410" t="s">
        <v>74</v>
      </c>
      <c r="BH410" t="s">
        <v>74</v>
      </c>
      <c r="BI410">
        <v>2</v>
      </c>
      <c r="BJ410" t="s">
        <v>8224</v>
      </c>
      <c r="BK410" t="s">
        <v>101</v>
      </c>
      <c r="BL410" t="s">
        <v>8224</v>
      </c>
      <c r="BM410" t="s">
        <v>8289</v>
      </c>
      <c r="BN410">
        <v>33365516</v>
      </c>
      <c r="BO410" t="s">
        <v>331</v>
      </c>
      <c r="BP410" t="s">
        <v>74</v>
      </c>
      <c r="BQ410" t="s">
        <v>74</v>
      </c>
      <c r="BR410" t="s">
        <v>103</v>
      </c>
      <c r="BS410" t="s">
        <v>8290</v>
      </c>
      <c r="BT410" t="str">
        <f>HYPERLINK("https%3A%2F%2Fwww.webofscience.com%2Fwos%2Fwoscc%2Ffull-record%2FWOS:000475325300001","View Full Record in Web of Science")</f>
        <v>View Full Record in Web of Science</v>
      </c>
    </row>
    <row r="411" spans="1:72" x14ac:dyDescent="0.15">
      <c r="A411" t="s">
        <v>72</v>
      </c>
      <c r="B411" t="s">
        <v>8291</v>
      </c>
      <c r="C411" t="s">
        <v>74</v>
      </c>
      <c r="D411" t="s">
        <v>74</v>
      </c>
      <c r="E411" t="s">
        <v>74</v>
      </c>
      <c r="F411" t="s">
        <v>8292</v>
      </c>
      <c r="G411" t="s">
        <v>74</v>
      </c>
      <c r="H411" t="s">
        <v>74</v>
      </c>
      <c r="I411" t="s">
        <v>8293</v>
      </c>
      <c r="J411" t="s">
        <v>8294</v>
      </c>
      <c r="K411" t="s">
        <v>74</v>
      </c>
      <c r="L411" t="s">
        <v>74</v>
      </c>
      <c r="M411" t="s">
        <v>78</v>
      </c>
      <c r="N411" t="s">
        <v>108</v>
      </c>
      <c r="O411" t="s">
        <v>74</v>
      </c>
      <c r="P411" t="s">
        <v>74</v>
      </c>
      <c r="Q411" t="s">
        <v>74</v>
      </c>
      <c r="R411" t="s">
        <v>74</v>
      </c>
      <c r="S411" t="s">
        <v>74</v>
      </c>
      <c r="T411" t="s">
        <v>8295</v>
      </c>
      <c r="U411" t="s">
        <v>8296</v>
      </c>
      <c r="V411" t="s">
        <v>8297</v>
      </c>
      <c r="W411" t="s">
        <v>8298</v>
      </c>
      <c r="X411" t="s">
        <v>8299</v>
      </c>
      <c r="Y411" t="s">
        <v>8300</v>
      </c>
      <c r="Z411" t="s">
        <v>8301</v>
      </c>
      <c r="AA411" t="s">
        <v>8302</v>
      </c>
      <c r="AB411" t="s">
        <v>8303</v>
      </c>
      <c r="AC411" t="s">
        <v>8304</v>
      </c>
      <c r="AD411" t="s">
        <v>8305</v>
      </c>
      <c r="AE411" t="s">
        <v>8306</v>
      </c>
      <c r="AF411" t="s">
        <v>74</v>
      </c>
      <c r="AG411">
        <v>48</v>
      </c>
      <c r="AH411">
        <v>19</v>
      </c>
      <c r="AI411">
        <v>19</v>
      </c>
      <c r="AJ411">
        <v>0</v>
      </c>
      <c r="AK411">
        <v>8</v>
      </c>
      <c r="AL411" t="s">
        <v>1274</v>
      </c>
      <c r="AM411" t="s">
        <v>1275</v>
      </c>
      <c r="AN411" t="s">
        <v>1276</v>
      </c>
      <c r="AO411" t="s">
        <v>8307</v>
      </c>
      <c r="AP411" t="s">
        <v>74</v>
      </c>
      <c r="AQ411" t="s">
        <v>74</v>
      </c>
      <c r="AR411" t="s">
        <v>8308</v>
      </c>
      <c r="AS411" t="s">
        <v>8309</v>
      </c>
      <c r="AT411" t="s">
        <v>6959</v>
      </c>
      <c r="AU411">
        <v>2019</v>
      </c>
      <c r="AV411">
        <v>15</v>
      </c>
      <c r="AW411">
        <v>2</v>
      </c>
      <c r="AX411" t="s">
        <v>74</v>
      </c>
      <c r="AY411" t="s">
        <v>74</v>
      </c>
      <c r="AZ411" t="s">
        <v>74</v>
      </c>
      <c r="BA411" t="s">
        <v>74</v>
      </c>
      <c r="BB411">
        <v>49</v>
      </c>
      <c r="BC411">
        <v>59</v>
      </c>
      <c r="BD411" t="s">
        <v>74</v>
      </c>
      <c r="BE411" t="s">
        <v>8310</v>
      </c>
      <c r="BF411" t="str">
        <f>HYPERLINK("http://dx.doi.org/10.1080/17445647.2018.1543618","http://dx.doi.org/10.1080/17445647.2018.1543618")</f>
        <v>http://dx.doi.org/10.1080/17445647.2018.1543618</v>
      </c>
      <c r="BG411" t="s">
        <v>74</v>
      </c>
      <c r="BH411" t="s">
        <v>74</v>
      </c>
      <c r="BI411">
        <v>11</v>
      </c>
      <c r="BJ411" t="s">
        <v>8311</v>
      </c>
      <c r="BK411" t="s">
        <v>3718</v>
      </c>
      <c r="BL411" t="s">
        <v>8312</v>
      </c>
      <c r="BM411" t="s">
        <v>8313</v>
      </c>
      <c r="BN411" t="s">
        <v>74</v>
      </c>
      <c r="BO411" t="s">
        <v>402</v>
      </c>
      <c r="BP411" t="s">
        <v>74</v>
      </c>
      <c r="BQ411" t="s">
        <v>74</v>
      </c>
      <c r="BR411" t="s">
        <v>103</v>
      </c>
      <c r="BS411" t="s">
        <v>8314</v>
      </c>
      <c r="BT411" t="str">
        <f>HYPERLINK("https%3A%2F%2Fwww.webofscience.com%2Fwos%2Fwoscc%2Ffull-record%2FWOS:000465114800001","View Full Record in Web of Science")</f>
        <v>View Full Record in Web of Science</v>
      </c>
    </row>
    <row r="412" spans="1:72" x14ac:dyDescent="0.15">
      <c r="A412" t="s">
        <v>72</v>
      </c>
      <c r="B412" t="s">
        <v>8315</v>
      </c>
      <c r="C412" t="s">
        <v>74</v>
      </c>
      <c r="D412" t="s">
        <v>74</v>
      </c>
      <c r="E412" t="s">
        <v>74</v>
      </c>
      <c r="F412" t="s">
        <v>8316</v>
      </c>
      <c r="G412" t="s">
        <v>74</v>
      </c>
      <c r="H412" t="s">
        <v>74</v>
      </c>
      <c r="I412" t="s">
        <v>8317</v>
      </c>
      <c r="J412" t="s">
        <v>2249</v>
      </c>
      <c r="K412" t="s">
        <v>74</v>
      </c>
      <c r="L412" t="s">
        <v>74</v>
      </c>
      <c r="M412" t="s">
        <v>78</v>
      </c>
      <c r="N412" t="s">
        <v>108</v>
      </c>
      <c r="O412" t="s">
        <v>74</v>
      </c>
      <c r="P412" t="s">
        <v>74</v>
      </c>
      <c r="Q412" t="s">
        <v>74</v>
      </c>
      <c r="R412" t="s">
        <v>74</v>
      </c>
      <c r="S412" t="s">
        <v>74</v>
      </c>
      <c r="T412" t="s">
        <v>74</v>
      </c>
      <c r="U412" t="s">
        <v>8318</v>
      </c>
      <c r="V412" t="s">
        <v>8319</v>
      </c>
      <c r="W412" t="s">
        <v>8320</v>
      </c>
      <c r="X412" t="s">
        <v>8321</v>
      </c>
      <c r="Y412" t="s">
        <v>8322</v>
      </c>
      <c r="Z412" t="s">
        <v>8323</v>
      </c>
      <c r="AA412" t="s">
        <v>8324</v>
      </c>
      <c r="AB412" t="s">
        <v>8325</v>
      </c>
      <c r="AC412" t="s">
        <v>8326</v>
      </c>
      <c r="AD412" t="s">
        <v>8327</v>
      </c>
      <c r="AE412" t="s">
        <v>8328</v>
      </c>
      <c r="AF412" t="s">
        <v>74</v>
      </c>
      <c r="AG412">
        <v>67</v>
      </c>
      <c r="AH412">
        <v>29</v>
      </c>
      <c r="AI412">
        <v>31</v>
      </c>
      <c r="AJ412">
        <v>3</v>
      </c>
      <c r="AK412">
        <v>15</v>
      </c>
      <c r="AL412" t="s">
        <v>839</v>
      </c>
      <c r="AM412" t="s">
        <v>840</v>
      </c>
      <c r="AN412" t="s">
        <v>841</v>
      </c>
      <c r="AO412" t="s">
        <v>2261</v>
      </c>
      <c r="AP412" t="s">
        <v>2262</v>
      </c>
      <c r="AQ412" t="s">
        <v>74</v>
      </c>
      <c r="AR412" t="s">
        <v>2263</v>
      </c>
      <c r="AS412" t="s">
        <v>2264</v>
      </c>
      <c r="AT412" t="s">
        <v>8329</v>
      </c>
      <c r="AU412">
        <v>2019</v>
      </c>
      <c r="AV412">
        <v>19</v>
      </c>
      <c r="AW412">
        <v>13</v>
      </c>
      <c r="AX412" t="s">
        <v>74</v>
      </c>
      <c r="AY412" t="s">
        <v>74</v>
      </c>
      <c r="AZ412" t="s">
        <v>74</v>
      </c>
      <c r="BA412" t="s">
        <v>74</v>
      </c>
      <c r="BB412">
        <v>8407</v>
      </c>
      <c r="BC412">
        <v>8424</v>
      </c>
      <c r="BD412" t="s">
        <v>74</v>
      </c>
      <c r="BE412" t="s">
        <v>8330</v>
      </c>
      <c r="BF412" t="str">
        <f>HYPERLINK("http://dx.doi.org/10.5194/acp-19-8407-2019","http://dx.doi.org/10.5194/acp-19-8407-2019")</f>
        <v>http://dx.doi.org/10.5194/acp-19-8407-2019</v>
      </c>
      <c r="BG412" t="s">
        <v>74</v>
      </c>
      <c r="BH412" t="s">
        <v>74</v>
      </c>
      <c r="BI412">
        <v>18</v>
      </c>
      <c r="BJ412" t="s">
        <v>2267</v>
      </c>
      <c r="BK412" t="s">
        <v>101</v>
      </c>
      <c r="BL412" t="s">
        <v>2268</v>
      </c>
      <c r="BM412" t="s">
        <v>8331</v>
      </c>
      <c r="BN412" t="s">
        <v>74</v>
      </c>
      <c r="BO412" t="s">
        <v>850</v>
      </c>
      <c r="BP412" t="s">
        <v>74</v>
      </c>
      <c r="BQ412" t="s">
        <v>74</v>
      </c>
      <c r="BR412" t="s">
        <v>103</v>
      </c>
      <c r="BS412" t="s">
        <v>8332</v>
      </c>
      <c r="BT412" t="str">
        <f>HYPERLINK("https%3A%2F%2Fwww.webofscience.com%2Fwos%2Fwoscc%2Ffull-record%2FWOS:000530852700004","View Full Record in Web of Science")</f>
        <v>View Full Record in Web of Science</v>
      </c>
    </row>
    <row r="413" spans="1:72" x14ac:dyDescent="0.15">
      <c r="A413" t="s">
        <v>72</v>
      </c>
      <c r="B413" t="s">
        <v>8333</v>
      </c>
      <c r="C413" t="s">
        <v>74</v>
      </c>
      <c r="D413" t="s">
        <v>74</v>
      </c>
      <c r="E413" t="s">
        <v>74</v>
      </c>
      <c r="F413" t="s">
        <v>8334</v>
      </c>
      <c r="G413" t="s">
        <v>74</v>
      </c>
      <c r="H413" t="s">
        <v>74</v>
      </c>
      <c r="I413" t="s">
        <v>8335</v>
      </c>
      <c r="J413" t="s">
        <v>3630</v>
      </c>
      <c r="K413" t="s">
        <v>74</v>
      </c>
      <c r="L413" t="s">
        <v>74</v>
      </c>
      <c r="M413" t="s">
        <v>78</v>
      </c>
      <c r="N413" t="s">
        <v>108</v>
      </c>
      <c r="O413" t="s">
        <v>74</v>
      </c>
      <c r="P413" t="s">
        <v>74</v>
      </c>
      <c r="Q413" t="s">
        <v>74</v>
      </c>
      <c r="R413" t="s">
        <v>74</v>
      </c>
      <c r="S413" t="s">
        <v>74</v>
      </c>
      <c r="T413" t="s">
        <v>8336</v>
      </c>
      <c r="U413" t="s">
        <v>8337</v>
      </c>
      <c r="V413" t="s">
        <v>8338</v>
      </c>
      <c r="W413" t="s">
        <v>8339</v>
      </c>
      <c r="X413" t="s">
        <v>8340</v>
      </c>
      <c r="Y413" t="s">
        <v>8341</v>
      </c>
      <c r="Z413" t="s">
        <v>8342</v>
      </c>
      <c r="AA413" t="s">
        <v>8343</v>
      </c>
      <c r="AB413" t="s">
        <v>8344</v>
      </c>
      <c r="AC413" t="s">
        <v>8345</v>
      </c>
      <c r="AD413" t="s">
        <v>8346</v>
      </c>
      <c r="AE413" t="s">
        <v>8347</v>
      </c>
      <c r="AF413" t="s">
        <v>74</v>
      </c>
      <c r="AG413">
        <v>52</v>
      </c>
      <c r="AH413">
        <v>12</v>
      </c>
      <c r="AI413">
        <v>12</v>
      </c>
      <c r="AJ413">
        <v>2</v>
      </c>
      <c r="AK413">
        <v>11</v>
      </c>
      <c r="AL413" t="s">
        <v>3615</v>
      </c>
      <c r="AM413" t="s">
        <v>3616</v>
      </c>
      <c r="AN413" t="s">
        <v>3617</v>
      </c>
      <c r="AO413" t="s">
        <v>3643</v>
      </c>
      <c r="AP413" t="s">
        <v>74</v>
      </c>
      <c r="AQ413" t="s">
        <v>74</v>
      </c>
      <c r="AR413" t="s">
        <v>3644</v>
      </c>
      <c r="AS413" t="s">
        <v>3645</v>
      </c>
      <c r="AT413" t="s">
        <v>8329</v>
      </c>
      <c r="AU413">
        <v>2019</v>
      </c>
      <c r="AV413">
        <v>11</v>
      </c>
      <c r="AW413">
        <v>14</v>
      </c>
      <c r="AX413" t="s">
        <v>74</v>
      </c>
      <c r="AY413" t="s">
        <v>74</v>
      </c>
      <c r="AZ413" t="s">
        <v>74</v>
      </c>
      <c r="BA413" t="s">
        <v>74</v>
      </c>
      <c r="BB413" t="s">
        <v>74</v>
      </c>
      <c r="BC413" t="s">
        <v>74</v>
      </c>
      <c r="BD413">
        <v>1686</v>
      </c>
      <c r="BE413" t="s">
        <v>8348</v>
      </c>
      <c r="BF413" t="str">
        <f>HYPERLINK("http://dx.doi.org/10.3390/rs11141686","http://dx.doi.org/10.3390/rs11141686")</f>
        <v>http://dx.doi.org/10.3390/rs11141686</v>
      </c>
      <c r="BG413" t="s">
        <v>74</v>
      </c>
      <c r="BH413" t="s">
        <v>74</v>
      </c>
      <c r="BI413">
        <v>17</v>
      </c>
      <c r="BJ413" t="s">
        <v>3647</v>
      </c>
      <c r="BK413" t="s">
        <v>101</v>
      </c>
      <c r="BL413" t="s">
        <v>3648</v>
      </c>
      <c r="BM413" t="s">
        <v>8349</v>
      </c>
      <c r="BN413" t="s">
        <v>74</v>
      </c>
      <c r="BO413" t="s">
        <v>1197</v>
      </c>
      <c r="BP413" t="s">
        <v>74</v>
      </c>
      <c r="BQ413" t="s">
        <v>74</v>
      </c>
      <c r="BR413" t="s">
        <v>103</v>
      </c>
      <c r="BS413" t="s">
        <v>8350</v>
      </c>
      <c r="BT413" t="str">
        <f>HYPERLINK("https%3A%2F%2Fwww.webofscience.com%2Fwos%2Fwoscc%2Ffull-record%2FWOS:000480527800056","View Full Record in Web of Science")</f>
        <v>View Full Record in Web of Science</v>
      </c>
    </row>
    <row r="414" spans="1:72" x14ac:dyDescent="0.15">
      <c r="A414" t="s">
        <v>72</v>
      </c>
      <c r="B414" t="s">
        <v>8351</v>
      </c>
      <c r="C414" t="s">
        <v>74</v>
      </c>
      <c r="D414" t="s">
        <v>74</v>
      </c>
      <c r="E414" t="s">
        <v>74</v>
      </c>
      <c r="F414" t="s">
        <v>8352</v>
      </c>
      <c r="G414" t="s">
        <v>74</v>
      </c>
      <c r="H414" t="s">
        <v>74</v>
      </c>
      <c r="I414" t="s">
        <v>8353</v>
      </c>
      <c r="J414" t="s">
        <v>3977</v>
      </c>
      <c r="K414" t="s">
        <v>74</v>
      </c>
      <c r="L414" t="s">
        <v>74</v>
      </c>
      <c r="M414" t="s">
        <v>78</v>
      </c>
      <c r="N414" t="s">
        <v>108</v>
      </c>
      <c r="O414" t="s">
        <v>74</v>
      </c>
      <c r="P414" t="s">
        <v>74</v>
      </c>
      <c r="Q414" t="s">
        <v>74</v>
      </c>
      <c r="R414" t="s">
        <v>74</v>
      </c>
      <c r="S414" t="s">
        <v>74</v>
      </c>
      <c r="T414" t="s">
        <v>8354</v>
      </c>
      <c r="U414" t="s">
        <v>8355</v>
      </c>
      <c r="V414" t="s">
        <v>8356</v>
      </c>
      <c r="W414" t="s">
        <v>8357</v>
      </c>
      <c r="X414" t="s">
        <v>8358</v>
      </c>
      <c r="Y414" t="s">
        <v>8359</v>
      </c>
      <c r="Z414" t="s">
        <v>8360</v>
      </c>
      <c r="AA414" t="s">
        <v>8361</v>
      </c>
      <c r="AB414" t="s">
        <v>8362</v>
      </c>
      <c r="AC414" t="s">
        <v>8363</v>
      </c>
      <c r="AD414" t="s">
        <v>8364</v>
      </c>
      <c r="AE414" t="s">
        <v>8365</v>
      </c>
      <c r="AF414" t="s">
        <v>74</v>
      </c>
      <c r="AG414">
        <v>35</v>
      </c>
      <c r="AH414">
        <v>5</v>
      </c>
      <c r="AI414">
        <v>6</v>
      </c>
      <c r="AJ414">
        <v>1</v>
      </c>
      <c r="AK414">
        <v>14</v>
      </c>
      <c r="AL414" t="s">
        <v>3615</v>
      </c>
      <c r="AM414" t="s">
        <v>3616</v>
      </c>
      <c r="AN414" t="s">
        <v>3617</v>
      </c>
      <c r="AO414" t="s">
        <v>74</v>
      </c>
      <c r="AP414" t="s">
        <v>3990</v>
      </c>
      <c r="AQ414" t="s">
        <v>74</v>
      </c>
      <c r="AR414" t="s">
        <v>3991</v>
      </c>
      <c r="AS414" t="s">
        <v>3992</v>
      </c>
      <c r="AT414" t="s">
        <v>8329</v>
      </c>
      <c r="AU414">
        <v>2019</v>
      </c>
      <c r="AV414">
        <v>9</v>
      </c>
      <c r="AW414">
        <v>14</v>
      </c>
      <c r="AX414" t="s">
        <v>74</v>
      </c>
      <c r="AY414" t="s">
        <v>74</v>
      </c>
      <c r="AZ414" t="s">
        <v>74</v>
      </c>
      <c r="BA414" t="s">
        <v>74</v>
      </c>
      <c r="BB414" t="s">
        <v>74</v>
      </c>
      <c r="BC414" t="s">
        <v>74</v>
      </c>
      <c r="BD414">
        <v>2935</v>
      </c>
      <c r="BE414" t="s">
        <v>8366</v>
      </c>
      <c r="BF414" t="str">
        <f>HYPERLINK("http://dx.doi.org/10.3390/app9142935","http://dx.doi.org/10.3390/app9142935")</f>
        <v>http://dx.doi.org/10.3390/app9142935</v>
      </c>
      <c r="BG414" t="s">
        <v>74</v>
      </c>
      <c r="BH414" t="s">
        <v>74</v>
      </c>
      <c r="BI414">
        <v>13</v>
      </c>
      <c r="BJ414" t="s">
        <v>3995</v>
      </c>
      <c r="BK414" t="s">
        <v>101</v>
      </c>
      <c r="BL414" t="s">
        <v>3996</v>
      </c>
      <c r="BM414" t="s">
        <v>8367</v>
      </c>
      <c r="BN414" t="s">
        <v>74</v>
      </c>
      <c r="BO414" t="s">
        <v>2270</v>
      </c>
      <c r="BP414" t="s">
        <v>74</v>
      </c>
      <c r="BQ414" t="s">
        <v>74</v>
      </c>
      <c r="BR414" t="s">
        <v>103</v>
      </c>
      <c r="BS414" t="s">
        <v>8368</v>
      </c>
      <c r="BT414" t="str">
        <f>HYPERLINK("https%3A%2F%2Fwww.webofscience.com%2Fwos%2Fwoscc%2Ffull-record%2FWOS:000479026900159","View Full Record in Web of Science")</f>
        <v>View Full Record in Web of Science</v>
      </c>
    </row>
    <row r="415" spans="1:72" x14ac:dyDescent="0.15">
      <c r="A415" t="s">
        <v>72</v>
      </c>
      <c r="B415" t="s">
        <v>8369</v>
      </c>
      <c r="C415" t="s">
        <v>74</v>
      </c>
      <c r="D415" t="s">
        <v>74</v>
      </c>
      <c r="E415" t="s">
        <v>74</v>
      </c>
      <c r="F415" t="s">
        <v>8370</v>
      </c>
      <c r="G415" t="s">
        <v>74</v>
      </c>
      <c r="H415" t="s">
        <v>74</v>
      </c>
      <c r="I415" t="s">
        <v>8371</v>
      </c>
      <c r="J415" t="s">
        <v>1565</v>
      </c>
      <c r="K415" t="s">
        <v>74</v>
      </c>
      <c r="L415" t="s">
        <v>74</v>
      </c>
      <c r="M415" t="s">
        <v>78</v>
      </c>
      <c r="N415" t="s">
        <v>108</v>
      </c>
      <c r="O415" t="s">
        <v>74</v>
      </c>
      <c r="P415" t="s">
        <v>74</v>
      </c>
      <c r="Q415" t="s">
        <v>74</v>
      </c>
      <c r="R415" t="s">
        <v>74</v>
      </c>
      <c r="S415" t="s">
        <v>74</v>
      </c>
      <c r="T415" t="s">
        <v>74</v>
      </c>
      <c r="U415" t="s">
        <v>8372</v>
      </c>
      <c r="V415" t="s">
        <v>8373</v>
      </c>
      <c r="W415" t="s">
        <v>8374</v>
      </c>
      <c r="X415" t="s">
        <v>8375</v>
      </c>
      <c r="Y415" t="s">
        <v>8376</v>
      </c>
      <c r="Z415" t="s">
        <v>8377</v>
      </c>
      <c r="AA415" t="s">
        <v>8378</v>
      </c>
      <c r="AB415" t="s">
        <v>8379</v>
      </c>
      <c r="AC415" t="s">
        <v>8380</v>
      </c>
      <c r="AD415" t="s">
        <v>8381</v>
      </c>
      <c r="AE415" t="s">
        <v>8382</v>
      </c>
      <c r="AF415" t="s">
        <v>74</v>
      </c>
      <c r="AG415">
        <v>49</v>
      </c>
      <c r="AH415">
        <v>18</v>
      </c>
      <c r="AI415">
        <v>18</v>
      </c>
      <c r="AJ415">
        <v>9</v>
      </c>
      <c r="AK415">
        <v>86</v>
      </c>
      <c r="AL415" t="s">
        <v>1577</v>
      </c>
      <c r="AM415" t="s">
        <v>183</v>
      </c>
      <c r="AN415" t="s">
        <v>1578</v>
      </c>
      <c r="AO415" t="s">
        <v>1579</v>
      </c>
      <c r="AP415" t="s">
        <v>1580</v>
      </c>
      <c r="AQ415" t="s">
        <v>74</v>
      </c>
      <c r="AR415" t="s">
        <v>1581</v>
      </c>
      <c r="AS415" t="s">
        <v>1582</v>
      </c>
      <c r="AT415" t="s">
        <v>8329</v>
      </c>
      <c r="AU415">
        <v>2019</v>
      </c>
      <c r="AV415">
        <v>53</v>
      </c>
      <c r="AW415">
        <v>13</v>
      </c>
      <c r="AX415" t="s">
        <v>74</v>
      </c>
      <c r="AY415" t="s">
        <v>74</v>
      </c>
      <c r="AZ415" t="s">
        <v>74</v>
      </c>
      <c r="BA415" t="s">
        <v>74</v>
      </c>
      <c r="BB415">
        <v>7355</v>
      </c>
      <c r="BC415">
        <v>7362</v>
      </c>
      <c r="BD415" t="s">
        <v>74</v>
      </c>
      <c r="BE415" t="s">
        <v>8383</v>
      </c>
      <c r="BF415" t="str">
        <f>HYPERLINK("http://dx.doi.org/10.1021/acs.est.8b06659","http://dx.doi.org/10.1021/acs.est.8b06659")</f>
        <v>http://dx.doi.org/10.1021/acs.est.8b06659</v>
      </c>
      <c r="BG415" t="s">
        <v>74</v>
      </c>
      <c r="BH415" t="s">
        <v>74</v>
      </c>
      <c r="BI415">
        <v>8</v>
      </c>
      <c r="BJ415" t="s">
        <v>1585</v>
      </c>
      <c r="BK415" t="s">
        <v>101</v>
      </c>
      <c r="BL415" t="s">
        <v>1586</v>
      </c>
      <c r="BM415" t="s">
        <v>8384</v>
      </c>
      <c r="BN415">
        <v>31081627</v>
      </c>
      <c r="BO415" t="s">
        <v>1648</v>
      </c>
      <c r="BP415" t="s">
        <v>74</v>
      </c>
      <c r="BQ415" t="s">
        <v>74</v>
      </c>
      <c r="BR415" t="s">
        <v>103</v>
      </c>
      <c r="BS415" t="s">
        <v>8385</v>
      </c>
      <c r="BT415" t="str">
        <f>HYPERLINK("https%3A%2F%2Fwww.webofscience.com%2Fwos%2Fwoscc%2Ffull-record%2FWOS:000474478300018","View Full Record in Web of Science")</f>
        <v>View Full Record in Web of Science</v>
      </c>
    </row>
    <row r="416" spans="1:72" x14ac:dyDescent="0.15">
      <c r="A416" t="s">
        <v>72</v>
      </c>
      <c r="B416" t="s">
        <v>8386</v>
      </c>
      <c r="C416" t="s">
        <v>74</v>
      </c>
      <c r="D416" t="s">
        <v>74</v>
      </c>
      <c r="E416" t="s">
        <v>74</v>
      </c>
      <c r="F416" t="s">
        <v>8387</v>
      </c>
      <c r="G416" t="s">
        <v>74</v>
      </c>
      <c r="H416" t="s">
        <v>74</v>
      </c>
      <c r="I416" t="s">
        <v>8388</v>
      </c>
      <c r="J416" t="s">
        <v>1653</v>
      </c>
      <c r="K416" t="s">
        <v>74</v>
      </c>
      <c r="L416" t="s">
        <v>74</v>
      </c>
      <c r="M416" t="s">
        <v>78</v>
      </c>
      <c r="N416" t="s">
        <v>108</v>
      </c>
      <c r="O416" t="s">
        <v>74</v>
      </c>
      <c r="P416" t="s">
        <v>74</v>
      </c>
      <c r="Q416" t="s">
        <v>74</v>
      </c>
      <c r="R416" t="s">
        <v>74</v>
      </c>
      <c r="S416" t="s">
        <v>74</v>
      </c>
      <c r="T416" t="s">
        <v>8389</v>
      </c>
      <c r="U416" t="s">
        <v>8390</v>
      </c>
      <c r="V416" t="s">
        <v>8391</v>
      </c>
      <c r="W416" t="s">
        <v>8392</v>
      </c>
      <c r="X416" t="s">
        <v>8393</v>
      </c>
      <c r="Y416" t="s">
        <v>8394</v>
      </c>
      <c r="Z416" t="s">
        <v>8395</v>
      </c>
      <c r="AA416" t="s">
        <v>8396</v>
      </c>
      <c r="AB416" t="s">
        <v>8397</v>
      </c>
      <c r="AC416" t="s">
        <v>8398</v>
      </c>
      <c r="AD416" t="s">
        <v>8399</v>
      </c>
      <c r="AE416" t="s">
        <v>8400</v>
      </c>
      <c r="AF416" t="s">
        <v>74</v>
      </c>
      <c r="AG416">
        <v>51</v>
      </c>
      <c r="AH416">
        <v>5</v>
      </c>
      <c r="AI416">
        <v>7</v>
      </c>
      <c r="AJ416">
        <v>2</v>
      </c>
      <c r="AK416">
        <v>50</v>
      </c>
      <c r="AL416" t="s">
        <v>1140</v>
      </c>
      <c r="AM416" t="s">
        <v>1141</v>
      </c>
      <c r="AN416" t="s">
        <v>1142</v>
      </c>
      <c r="AO416" t="s">
        <v>1665</v>
      </c>
      <c r="AP416" t="s">
        <v>1666</v>
      </c>
      <c r="AQ416" t="s">
        <v>74</v>
      </c>
      <c r="AR416" t="s">
        <v>1667</v>
      </c>
      <c r="AS416" t="s">
        <v>1668</v>
      </c>
      <c r="AT416" t="s">
        <v>1251</v>
      </c>
      <c r="AU416">
        <v>2019</v>
      </c>
      <c r="AV416">
        <v>50</v>
      </c>
      <c r="AW416">
        <v>10</v>
      </c>
      <c r="AX416" t="s">
        <v>74</v>
      </c>
      <c r="AY416" t="s">
        <v>74</v>
      </c>
      <c r="AZ416" t="s">
        <v>74</v>
      </c>
      <c r="BA416" t="s">
        <v>74</v>
      </c>
      <c r="BB416">
        <v>2867</v>
      </c>
      <c r="BC416">
        <v>2878</v>
      </c>
      <c r="BD416" t="s">
        <v>74</v>
      </c>
      <c r="BE416" t="s">
        <v>8401</v>
      </c>
      <c r="BF416" t="str">
        <f>HYPERLINK("http://dx.doi.org/10.1111/are.14240","http://dx.doi.org/10.1111/are.14240")</f>
        <v>http://dx.doi.org/10.1111/are.14240</v>
      </c>
      <c r="BG416" t="s">
        <v>74</v>
      </c>
      <c r="BH416" t="s">
        <v>6119</v>
      </c>
      <c r="BI416">
        <v>12</v>
      </c>
      <c r="BJ416" t="s">
        <v>732</v>
      </c>
      <c r="BK416" t="s">
        <v>101</v>
      </c>
      <c r="BL416" t="s">
        <v>732</v>
      </c>
      <c r="BM416" t="s">
        <v>8402</v>
      </c>
      <c r="BN416" t="s">
        <v>74</v>
      </c>
      <c r="BO416" t="s">
        <v>366</v>
      </c>
      <c r="BP416" t="s">
        <v>74</v>
      </c>
      <c r="BQ416" t="s">
        <v>74</v>
      </c>
      <c r="BR416" t="s">
        <v>103</v>
      </c>
      <c r="BS416" t="s">
        <v>8403</v>
      </c>
      <c r="BT416" t="str">
        <f>HYPERLINK("https%3A%2F%2Fwww.webofscience.com%2Fwos%2Fwoscc%2Ffull-record%2FWOS:000473964700001","View Full Record in Web of Science")</f>
        <v>View Full Record in Web of Science</v>
      </c>
    </row>
    <row r="417" spans="1:72" x14ac:dyDescent="0.15">
      <c r="A417" t="s">
        <v>72</v>
      </c>
      <c r="B417" t="s">
        <v>8404</v>
      </c>
      <c r="C417" t="s">
        <v>74</v>
      </c>
      <c r="D417" t="s">
        <v>74</v>
      </c>
      <c r="E417" t="s">
        <v>74</v>
      </c>
      <c r="F417" t="s">
        <v>8405</v>
      </c>
      <c r="G417" t="s">
        <v>74</v>
      </c>
      <c r="H417" t="s">
        <v>74</v>
      </c>
      <c r="I417" t="s">
        <v>8406</v>
      </c>
      <c r="J417" t="s">
        <v>6605</v>
      </c>
      <c r="K417" t="s">
        <v>74</v>
      </c>
      <c r="L417" t="s">
        <v>74</v>
      </c>
      <c r="M417" t="s">
        <v>78</v>
      </c>
      <c r="N417" t="s">
        <v>108</v>
      </c>
      <c r="O417" t="s">
        <v>74</v>
      </c>
      <c r="P417" t="s">
        <v>74</v>
      </c>
      <c r="Q417" t="s">
        <v>74</v>
      </c>
      <c r="R417" t="s">
        <v>74</v>
      </c>
      <c r="S417" t="s">
        <v>74</v>
      </c>
      <c r="T417" t="s">
        <v>8407</v>
      </c>
      <c r="U417" t="s">
        <v>8408</v>
      </c>
      <c r="V417" t="s">
        <v>8409</v>
      </c>
      <c r="W417" t="s">
        <v>8410</v>
      </c>
      <c r="X417" t="s">
        <v>8411</v>
      </c>
      <c r="Y417" t="s">
        <v>8412</v>
      </c>
      <c r="Z417" t="s">
        <v>8413</v>
      </c>
      <c r="AA417" t="s">
        <v>8414</v>
      </c>
      <c r="AB417" t="s">
        <v>8415</v>
      </c>
      <c r="AC417" t="s">
        <v>8416</v>
      </c>
      <c r="AD417" t="s">
        <v>8417</v>
      </c>
      <c r="AE417" t="s">
        <v>8418</v>
      </c>
      <c r="AF417" t="s">
        <v>74</v>
      </c>
      <c r="AG417">
        <v>36</v>
      </c>
      <c r="AH417">
        <v>55</v>
      </c>
      <c r="AI417">
        <v>59</v>
      </c>
      <c r="AJ417">
        <v>0</v>
      </c>
      <c r="AK417">
        <v>9</v>
      </c>
      <c r="AL417" t="s">
        <v>6618</v>
      </c>
      <c r="AM417" t="s">
        <v>183</v>
      </c>
      <c r="AN417" t="s">
        <v>6619</v>
      </c>
      <c r="AO417" t="s">
        <v>6620</v>
      </c>
      <c r="AP417" t="s">
        <v>74</v>
      </c>
      <c r="AQ417" t="s">
        <v>74</v>
      </c>
      <c r="AR417" t="s">
        <v>6622</v>
      </c>
      <c r="AS417" t="s">
        <v>6623</v>
      </c>
      <c r="AT417" t="s">
        <v>8329</v>
      </c>
      <c r="AU417">
        <v>2019</v>
      </c>
      <c r="AV417">
        <v>116</v>
      </c>
      <c r="AW417">
        <v>27</v>
      </c>
      <c r="AX417" t="s">
        <v>74</v>
      </c>
      <c r="AY417" t="s">
        <v>74</v>
      </c>
      <c r="AZ417" t="s">
        <v>74</v>
      </c>
      <c r="BA417" t="s">
        <v>74</v>
      </c>
      <c r="BB417">
        <v>13233</v>
      </c>
      <c r="BC417">
        <v>13238</v>
      </c>
      <c r="BD417" t="s">
        <v>74</v>
      </c>
      <c r="BE417" t="s">
        <v>8419</v>
      </c>
      <c r="BF417" t="str">
        <f>HYPERLINK("http://dx.doi.org/10.1073/pnas.1904087116","http://dx.doi.org/10.1073/pnas.1904087116")</f>
        <v>http://dx.doi.org/10.1073/pnas.1904087116</v>
      </c>
      <c r="BG417" t="s">
        <v>74</v>
      </c>
      <c r="BH417" t="s">
        <v>74</v>
      </c>
      <c r="BI417">
        <v>6</v>
      </c>
      <c r="BJ417" t="s">
        <v>1004</v>
      </c>
      <c r="BK417" t="s">
        <v>101</v>
      </c>
      <c r="BL417" t="s">
        <v>1005</v>
      </c>
      <c r="BM417" t="s">
        <v>8420</v>
      </c>
      <c r="BN417">
        <v>31213535</v>
      </c>
      <c r="BO417" t="s">
        <v>8421</v>
      </c>
      <c r="BP417" t="s">
        <v>74</v>
      </c>
      <c r="BQ417" t="s">
        <v>74</v>
      </c>
      <c r="BR417" t="s">
        <v>103</v>
      </c>
      <c r="BS417" t="s">
        <v>8422</v>
      </c>
      <c r="BT417" t="str">
        <f>HYPERLINK("https%3A%2F%2Fwww.webofscience.com%2Fwos%2Fwoscc%2Ffull-record%2FWOS:000473427900019","View Full Record in Web of Science")</f>
        <v>View Full Record in Web of Science</v>
      </c>
    </row>
    <row r="418" spans="1:72" x14ac:dyDescent="0.15">
      <c r="A418" t="s">
        <v>72</v>
      </c>
      <c r="B418" t="s">
        <v>8423</v>
      </c>
      <c r="C418" t="s">
        <v>74</v>
      </c>
      <c r="D418" t="s">
        <v>74</v>
      </c>
      <c r="E418" t="s">
        <v>74</v>
      </c>
      <c r="F418" t="s">
        <v>8424</v>
      </c>
      <c r="G418" t="s">
        <v>74</v>
      </c>
      <c r="H418" t="s">
        <v>74</v>
      </c>
      <c r="I418" t="s">
        <v>8425</v>
      </c>
      <c r="J418" t="s">
        <v>989</v>
      </c>
      <c r="K418" t="s">
        <v>74</v>
      </c>
      <c r="L418" t="s">
        <v>74</v>
      </c>
      <c r="M418" t="s">
        <v>78</v>
      </c>
      <c r="N418" t="s">
        <v>108</v>
      </c>
      <c r="O418" t="s">
        <v>74</v>
      </c>
      <c r="P418" t="s">
        <v>74</v>
      </c>
      <c r="Q418" t="s">
        <v>74</v>
      </c>
      <c r="R418" t="s">
        <v>74</v>
      </c>
      <c r="S418" t="s">
        <v>74</v>
      </c>
      <c r="T418" t="s">
        <v>74</v>
      </c>
      <c r="U418" t="s">
        <v>8426</v>
      </c>
      <c r="V418" t="s">
        <v>8427</v>
      </c>
      <c r="W418" t="s">
        <v>8428</v>
      </c>
      <c r="X418" t="s">
        <v>8429</v>
      </c>
      <c r="Y418" t="s">
        <v>8430</v>
      </c>
      <c r="Z418" t="s">
        <v>8431</v>
      </c>
      <c r="AA418" t="s">
        <v>8432</v>
      </c>
      <c r="AB418" t="s">
        <v>8433</v>
      </c>
      <c r="AC418" t="s">
        <v>8434</v>
      </c>
      <c r="AD418" t="s">
        <v>8435</v>
      </c>
      <c r="AE418" t="s">
        <v>8436</v>
      </c>
      <c r="AF418" t="s">
        <v>74</v>
      </c>
      <c r="AG418">
        <v>63</v>
      </c>
      <c r="AH418">
        <v>48</v>
      </c>
      <c r="AI418">
        <v>52</v>
      </c>
      <c r="AJ418">
        <v>0</v>
      </c>
      <c r="AK418">
        <v>14</v>
      </c>
      <c r="AL418" t="s">
        <v>1019</v>
      </c>
      <c r="AM418" t="s">
        <v>1020</v>
      </c>
      <c r="AN418" t="s">
        <v>1021</v>
      </c>
      <c r="AO418" t="s">
        <v>1000</v>
      </c>
      <c r="AP418" t="s">
        <v>74</v>
      </c>
      <c r="AQ418" t="s">
        <v>74</v>
      </c>
      <c r="AR418" t="s">
        <v>1001</v>
      </c>
      <c r="AS418" t="s">
        <v>1002</v>
      </c>
      <c r="AT418" t="s">
        <v>8329</v>
      </c>
      <c r="AU418">
        <v>2019</v>
      </c>
      <c r="AV418">
        <v>9</v>
      </c>
      <c r="AW418" t="s">
        <v>74</v>
      </c>
      <c r="AX418" t="s">
        <v>74</v>
      </c>
      <c r="AY418" t="s">
        <v>74</v>
      </c>
      <c r="AZ418" t="s">
        <v>74</v>
      </c>
      <c r="BA418" t="s">
        <v>74</v>
      </c>
      <c r="BB418" t="s">
        <v>74</v>
      </c>
      <c r="BC418" t="s">
        <v>74</v>
      </c>
      <c r="BD418">
        <v>9554</v>
      </c>
      <c r="BE418" t="s">
        <v>8437</v>
      </c>
      <c r="BF418" t="str">
        <f>HYPERLINK("http://dx.doi.org/10.1038/s41598-019-45840-6","http://dx.doi.org/10.1038/s41598-019-45840-6")</f>
        <v>http://dx.doi.org/10.1038/s41598-019-45840-6</v>
      </c>
      <c r="BG418" t="s">
        <v>74</v>
      </c>
      <c r="BH418" t="s">
        <v>74</v>
      </c>
      <c r="BI418">
        <v>14</v>
      </c>
      <c r="BJ418" t="s">
        <v>1004</v>
      </c>
      <c r="BK418" t="s">
        <v>101</v>
      </c>
      <c r="BL418" t="s">
        <v>1005</v>
      </c>
      <c r="BM418" t="s">
        <v>8438</v>
      </c>
      <c r="BN418">
        <v>31266976</v>
      </c>
      <c r="BO418" t="s">
        <v>313</v>
      </c>
      <c r="BP418" t="s">
        <v>74</v>
      </c>
      <c r="BQ418" t="s">
        <v>74</v>
      </c>
      <c r="BR418" t="s">
        <v>103</v>
      </c>
      <c r="BS418" t="s">
        <v>8439</v>
      </c>
      <c r="BT418" t="str">
        <f>HYPERLINK("https%3A%2F%2Fwww.webofscience.com%2Fwos%2Fwoscc%2Ffull-record%2FWOS:000473417000045","View Full Record in Web of Science")</f>
        <v>View Full Record in Web of Science</v>
      </c>
    </row>
    <row r="419" spans="1:72" x14ac:dyDescent="0.15">
      <c r="A419" t="s">
        <v>72</v>
      </c>
      <c r="B419" t="s">
        <v>8440</v>
      </c>
      <c r="C419" t="s">
        <v>74</v>
      </c>
      <c r="D419" t="s">
        <v>74</v>
      </c>
      <c r="E419" t="s">
        <v>74</v>
      </c>
      <c r="F419" t="s">
        <v>8441</v>
      </c>
      <c r="G419" t="s">
        <v>74</v>
      </c>
      <c r="H419" t="s">
        <v>74</v>
      </c>
      <c r="I419" t="s">
        <v>8442</v>
      </c>
      <c r="J419" t="s">
        <v>1832</v>
      </c>
      <c r="K419" t="s">
        <v>74</v>
      </c>
      <c r="L419" t="s">
        <v>74</v>
      </c>
      <c r="M419" t="s">
        <v>78</v>
      </c>
      <c r="N419" t="s">
        <v>108</v>
      </c>
      <c r="O419" t="s">
        <v>74</v>
      </c>
      <c r="P419" t="s">
        <v>74</v>
      </c>
      <c r="Q419" t="s">
        <v>74</v>
      </c>
      <c r="R419" t="s">
        <v>74</v>
      </c>
      <c r="S419" t="s">
        <v>74</v>
      </c>
      <c r="T419" t="s">
        <v>74</v>
      </c>
      <c r="U419" t="s">
        <v>8443</v>
      </c>
      <c r="V419" t="s">
        <v>8444</v>
      </c>
      <c r="W419" t="s">
        <v>8445</v>
      </c>
      <c r="X419" t="s">
        <v>8446</v>
      </c>
      <c r="Y419" t="s">
        <v>8447</v>
      </c>
      <c r="Z419" t="s">
        <v>8448</v>
      </c>
      <c r="AA419" t="s">
        <v>8449</v>
      </c>
      <c r="AB419" t="s">
        <v>8450</v>
      </c>
      <c r="AC419" t="s">
        <v>8451</v>
      </c>
      <c r="AD419" t="s">
        <v>3082</v>
      </c>
      <c r="AE419" t="s">
        <v>8452</v>
      </c>
      <c r="AF419" t="s">
        <v>74</v>
      </c>
      <c r="AG419">
        <v>44</v>
      </c>
      <c r="AH419">
        <v>6</v>
      </c>
      <c r="AI419">
        <v>8</v>
      </c>
      <c r="AJ419">
        <v>1</v>
      </c>
      <c r="AK419">
        <v>2</v>
      </c>
      <c r="AL419" t="s">
        <v>839</v>
      </c>
      <c r="AM419" t="s">
        <v>840</v>
      </c>
      <c r="AN419" t="s">
        <v>841</v>
      </c>
      <c r="AO419" t="s">
        <v>1844</v>
      </c>
      <c r="AP419" t="s">
        <v>1845</v>
      </c>
      <c r="AQ419" t="s">
        <v>74</v>
      </c>
      <c r="AR419" t="s">
        <v>1832</v>
      </c>
      <c r="AS419" t="s">
        <v>1846</v>
      </c>
      <c r="AT419" t="s">
        <v>8453</v>
      </c>
      <c r="AU419">
        <v>2019</v>
      </c>
      <c r="AV419">
        <v>13</v>
      </c>
      <c r="AW419">
        <v>6</v>
      </c>
      <c r="AX419" t="s">
        <v>74</v>
      </c>
      <c r="AY419" t="s">
        <v>74</v>
      </c>
      <c r="AZ419" t="s">
        <v>74</v>
      </c>
      <c r="BA419" t="s">
        <v>74</v>
      </c>
      <c r="BB419">
        <v>1753</v>
      </c>
      <c r="BC419">
        <v>1766</v>
      </c>
      <c r="BD419" t="s">
        <v>74</v>
      </c>
      <c r="BE419" t="s">
        <v>8454</v>
      </c>
      <c r="BF419" t="str">
        <f>HYPERLINK("http://dx.doi.org/10.5194/tc-13-1753-2019","http://dx.doi.org/10.5194/tc-13-1753-2019")</f>
        <v>http://dx.doi.org/10.5194/tc-13-1753-2019</v>
      </c>
      <c r="BG419" t="s">
        <v>74</v>
      </c>
      <c r="BH419" t="s">
        <v>74</v>
      </c>
      <c r="BI419">
        <v>14</v>
      </c>
      <c r="BJ419" t="s">
        <v>310</v>
      </c>
      <c r="BK419" t="s">
        <v>101</v>
      </c>
      <c r="BL419" t="s">
        <v>311</v>
      </c>
      <c r="BM419" t="s">
        <v>8455</v>
      </c>
      <c r="BN419" t="s">
        <v>74</v>
      </c>
      <c r="BO419" t="s">
        <v>2270</v>
      </c>
      <c r="BP419" t="s">
        <v>74</v>
      </c>
      <c r="BQ419" t="s">
        <v>74</v>
      </c>
      <c r="BR419" t="s">
        <v>103</v>
      </c>
      <c r="BS419" t="s">
        <v>8456</v>
      </c>
      <c r="BT419" t="str">
        <f>HYPERLINK("https%3A%2F%2Fwww.webofscience.com%2Fwos%2Fwoscc%2Ffull-record%2FWOS:000531487200001","View Full Record in Web of Science")</f>
        <v>View Full Record in Web of Science</v>
      </c>
    </row>
    <row r="420" spans="1:72" x14ac:dyDescent="0.15">
      <c r="A420" t="s">
        <v>72</v>
      </c>
      <c r="B420" t="s">
        <v>8457</v>
      </c>
      <c r="C420" t="s">
        <v>74</v>
      </c>
      <c r="D420" t="s">
        <v>74</v>
      </c>
      <c r="E420" t="s">
        <v>74</v>
      </c>
      <c r="F420" t="s">
        <v>8458</v>
      </c>
      <c r="G420" t="s">
        <v>74</v>
      </c>
      <c r="H420" t="s">
        <v>74</v>
      </c>
      <c r="I420" t="s">
        <v>8459</v>
      </c>
      <c r="J420" t="s">
        <v>8460</v>
      </c>
      <c r="K420" t="s">
        <v>74</v>
      </c>
      <c r="L420" t="s">
        <v>74</v>
      </c>
      <c r="M420" t="s">
        <v>78</v>
      </c>
      <c r="N420" t="s">
        <v>108</v>
      </c>
      <c r="O420" t="s">
        <v>74</v>
      </c>
      <c r="P420" t="s">
        <v>74</v>
      </c>
      <c r="Q420" t="s">
        <v>74</v>
      </c>
      <c r="R420" t="s">
        <v>74</v>
      </c>
      <c r="S420" t="s">
        <v>74</v>
      </c>
      <c r="T420" t="s">
        <v>8461</v>
      </c>
      <c r="U420" t="s">
        <v>8462</v>
      </c>
      <c r="V420" t="s">
        <v>8463</v>
      </c>
      <c r="W420" t="s">
        <v>8464</v>
      </c>
      <c r="X420" t="s">
        <v>8465</v>
      </c>
      <c r="Y420" t="s">
        <v>8466</v>
      </c>
      <c r="Z420" t="s">
        <v>8467</v>
      </c>
      <c r="AA420" t="s">
        <v>8468</v>
      </c>
      <c r="AB420" t="s">
        <v>8469</v>
      </c>
      <c r="AC420" t="s">
        <v>74</v>
      </c>
      <c r="AD420" t="s">
        <v>74</v>
      </c>
      <c r="AE420" t="s">
        <v>74</v>
      </c>
      <c r="AF420" t="s">
        <v>74</v>
      </c>
      <c r="AG420">
        <v>73</v>
      </c>
      <c r="AH420">
        <v>9</v>
      </c>
      <c r="AI420">
        <v>9</v>
      </c>
      <c r="AJ420">
        <v>0</v>
      </c>
      <c r="AK420">
        <v>1</v>
      </c>
      <c r="AL420" t="s">
        <v>8460</v>
      </c>
      <c r="AM420" t="s">
        <v>8470</v>
      </c>
      <c r="AN420" t="s">
        <v>8471</v>
      </c>
      <c r="AO420" t="s">
        <v>8472</v>
      </c>
      <c r="AP420" t="s">
        <v>8473</v>
      </c>
      <c r="AQ420" t="s">
        <v>74</v>
      </c>
      <c r="AR420" t="s">
        <v>8474</v>
      </c>
      <c r="AS420" t="s">
        <v>8475</v>
      </c>
      <c r="AT420" t="s">
        <v>7543</v>
      </c>
      <c r="AU420">
        <v>2019</v>
      </c>
      <c r="AV420">
        <v>67</v>
      </c>
      <c r="AW420">
        <v>5</v>
      </c>
      <c r="AX420" t="s">
        <v>74</v>
      </c>
      <c r="AY420" t="s">
        <v>8476</v>
      </c>
      <c r="AZ420" t="s">
        <v>74</v>
      </c>
      <c r="BA420" t="s">
        <v>74</v>
      </c>
      <c r="BB420" t="s">
        <v>8477</v>
      </c>
      <c r="BC420" t="s">
        <v>8478</v>
      </c>
      <c r="BD420" t="s">
        <v>74</v>
      </c>
      <c r="BE420" t="s">
        <v>8479</v>
      </c>
      <c r="BF420" t="str">
        <f>HYPERLINK("http://dx.doi.org/10.15517/rbt.v67iS5.38937","http://dx.doi.org/10.15517/rbt.v67iS5.38937")</f>
        <v>http://dx.doi.org/10.15517/rbt.v67iS5.38937</v>
      </c>
      <c r="BG420" t="s">
        <v>74</v>
      </c>
      <c r="BH420" t="s">
        <v>74</v>
      </c>
      <c r="BI420">
        <v>17</v>
      </c>
      <c r="BJ420" t="s">
        <v>1558</v>
      </c>
      <c r="BK420" t="s">
        <v>101</v>
      </c>
      <c r="BL420" t="s">
        <v>1559</v>
      </c>
      <c r="BM420" t="s">
        <v>8480</v>
      </c>
      <c r="BN420" t="s">
        <v>74</v>
      </c>
      <c r="BO420" t="s">
        <v>1041</v>
      </c>
      <c r="BP420" t="s">
        <v>74</v>
      </c>
      <c r="BQ420" t="s">
        <v>74</v>
      </c>
      <c r="BR420" t="s">
        <v>103</v>
      </c>
      <c r="BS420" t="s">
        <v>8481</v>
      </c>
      <c r="BT420" t="str">
        <f>HYPERLINK("https%3A%2F%2Fwww.webofscience.com%2Fwos%2Fwoscc%2Ffull-record%2FWOS:000518893400011","View Full Record in Web of Science")</f>
        <v>View Full Record in Web of Science</v>
      </c>
    </row>
    <row r="421" spans="1:72" x14ac:dyDescent="0.15">
      <c r="A421" t="s">
        <v>72</v>
      </c>
      <c r="B421" t="s">
        <v>8482</v>
      </c>
      <c r="C421" t="s">
        <v>74</v>
      </c>
      <c r="D421" t="s">
        <v>74</v>
      </c>
      <c r="E421" t="s">
        <v>74</v>
      </c>
      <c r="F421" t="s">
        <v>8483</v>
      </c>
      <c r="G421" t="s">
        <v>74</v>
      </c>
      <c r="H421" t="s">
        <v>74</v>
      </c>
      <c r="I421" t="s">
        <v>8484</v>
      </c>
      <c r="J421" t="s">
        <v>7376</v>
      </c>
      <c r="K421" t="s">
        <v>74</v>
      </c>
      <c r="L421" t="s">
        <v>74</v>
      </c>
      <c r="M421" t="s">
        <v>78</v>
      </c>
      <c r="N421" t="s">
        <v>108</v>
      </c>
      <c r="O421" t="s">
        <v>74</v>
      </c>
      <c r="P421" t="s">
        <v>74</v>
      </c>
      <c r="Q421" t="s">
        <v>74</v>
      </c>
      <c r="R421" t="s">
        <v>74</v>
      </c>
      <c r="S421" t="s">
        <v>74</v>
      </c>
      <c r="T421" t="s">
        <v>8485</v>
      </c>
      <c r="U421" t="s">
        <v>8486</v>
      </c>
      <c r="V421" t="s">
        <v>8487</v>
      </c>
      <c r="W421" t="s">
        <v>8488</v>
      </c>
      <c r="X421" t="s">
        <v>8489</v>
      </c>
      <c r="Y421" t="s">
        <v>8490</v>
      </c>
      <c r="Z421" t="s">
        <v>8491</v>
      </c>
      <c r="AA421" t="s">
        <v>8492</v>
      </c>
      <c r="AB421" t="s">
        <v>8493</v>
      </c>
      <c r="AC421" t="s">
        <v>8494</v>
      </c>
      <c r="AD421" t="s">
        <v>8495</v>
      </c>
      <c r="AE421" t="s">
        <v>8496</v>
      </c>
      <c r="AF421" t="s">
        <v>74</v>
      </c>
      <c r="AG421">
        <v>33</v>
      </c>
      <c r="AH421">
        <v>10</v>
      </c>
      <c r="AI421">
        <v>11</v>
      </c>
      <c r="AJ421">
        <v>2</v>
      </c>
      <c r="AK421">
        <v>10</v>
      </c>
      <c r="AL421" t="s">
        <v>1140</v>
      </c>
      <c r="AM421" t="s">
        <v>1141</v>
      </c>
      <c r="AN421" t="s">
        <v>1142</v>
      </c>
      <c r="AO421" t="s">
        <v>7387</v>
      </c>
      <c r="AP421" t="s">
        <v>7388</v>
      </c>
      <c r="AQ421" t="s">
        <v>74</v>
      </c>
      <c r="AR421" t="s">
        <v>7389</v>
      </c>
      <c r="AS421" t="s">
        <v>7390</v>
      </c>
      <c r="AT421" t="s">
        <v>7543</v>
      </c>
      <c r="AU421">
        <v>2019</v>
      </c>
      <c r="AV421">
        <v>35</v>
      </c>
      <c r="AW421">
        <v>3</v>
      </c>
      <c r="AX421" t="s">
        <v>74</v>
      </c>
      <c r="AY421" t="s">
        <v>74</v>
      </c>
      <c r="AZ421" t="s">
        <v>74</v>
      </c>
      <c r="BA421" t="s">
        <v>74</v>
      </c>
      <c r="BB421">
        <v>934</v>
      </c>
      <c r="BC421">
        <v>956</v>
      </c>
      <c r="BD421" t="s">
        <v>74</v>
      </c>
      <c r="BE421" t="s">
        <v>8497</v>
      </c>
      <c r="BF421" t="str">
        <f>HYPERLINK("http://dx.doi.org/10.1111/mms.12581","http://dx.doi.org/10.1111/mms.12581")</f>
        <v>http://dx.doi.org/10.1111/mms.12581</v>
      </c>
      <c r="BG421" t="s">
        <v>74</v>
      </c>
      <c r="BH421" t="s">
        <v>74</v>
      </c>
      <c r="BI421">
        <v>23</v>
      </c>
      <c r="BJ421" t="s">
        <v>3091</v>
      </c>
      <c r="BK421" t="s">
        <v>101</v>
      </c>
      <c r="BL421" t="s">
        <v>3091</v>
      </c>
      <c r="BM421" t="s">
        <v>8498</v>
      </c>
      <c r="BN421" t="s">
        <v>74</v>
      </c>
      <c r="BO421" t="s">
        <v>1417</v>
      </c>
      <c r="BP421" t="s">
        <v>74</v>
      </c>
      <c r="BQ421" t="s">
        <v>74</v>
      </c>
      <c r="BR421" t="s">
        <v>103</v>
      </c>
      <c r="BS421" t="s">
        <v>8499</v>
      </c>
      <c r="BT421" t="str">
        <f>HYPERLINK("https%3A%2F%2Fwww.webofscience.com%2Fwos%2Fwoscc%2Ffull-record%2FWOS:000511602300010","View Full Record in Web of Science")</f>
        <v>View Full Record in Web of Science</v>
      </c>
    </row>
    <row r="422" spans="1:72" x14ac:dyDescent="0.15">
      <c r="A422" t="s">
        <v>72</v>
      </c>
      <c r="B422" t="s">
        <v>8500</v>
      </c>
      <c r="C422" t="s">
        <v>74</v>
      </c>
      <c r="D422" t="s">
        <v>74</v>
      </c>
      <c r="E422" t="s">
        <v>74</v>
      </c>
      <c r="F422" t="s">
        <v>8501</v>
      </c>
      <c r="G422" t="s">
        <v>74</v>
      </c>
      <c r="H422" t="s">
        <v>74</v>
      </c>
      <c r="I422" t="s">
        <v>8502</v>
      </c>
      <c r="J422" t="s">
        <v>8503</v>
      </c>
      <c r="K422" t="s">
        <v>74</v>
      </c>
      <c r="L422" t="s">
        <v>74</v>
      </c>
      <c r="M422" t="s">
        <v>78</v>
      </c>
      <c r="N422" t="s">
        <v>108</v>
      </c>
      <c r="O422" t="s">
        <v>74</v>
      </c>
      <c r="P422" t="s">
        <v>74</v>
      </c>
      <c r="Q422" t="s">
        <v>74</v>
      </c>
      <c r="R422" t="s">
        <v>74</v>
      </c>
      <c r="S422" t="s">
        <v>74</v>
      </c>
      <c r="T422" t="s">
        <v>8504</v>
      </c>
      <c r="U422" t="s">
        <v>74</v>
      </c>
      <c r="V422" t="s">
        <v>8505</v>
      </c>
      <c r="W422" t="s">
        <v>8506</v>
      </c>
      <c r="X422" t="s">
        <v>8507</v>
      </c>
      <c r="Y422" t="s">
        <v>8508</v>
      </c>
      <c r="Z422" t="s">
        <v>8509</v>
      </c>
      <c r="AA422" t="s">
        <v>8510</v>
      </c>
      <c r="AB422" t="s">
        <v>8511</v>
      </c>
      <c r="AC422" t="s">
        <v>8512</v>
      </c>
      <c r="AD422" t="s">
        <v>8513</v>
      </c>
      <c r="AE422" t="s">
        <v>8514</v>
      </c>
      <c r="AF422" t="s">
        <v>74</v>
      </c>
      <c r="AG422">
        <v>21</v>
      </c>
      <c r="AH422">
        <v>4</v>
      </c>
      <c r="AI422">
        <v>4</v>
      </c>
      <c r="AJ422">
        <v>0</v>
      </c>
      <c r="AK422">
        <v>12</v>
      </c>
      <c r="AL422" t="s">
        <v>302</v>
      </c>
      <c r="AM422" t="s">
        <v>4016</v>
      </c>
      <c r="AN422" t="s">
        <v>4542</v>
      </c>
      <c r="AO422" t="s">
        <v>8515</v>
      </c>
      <c r="AP422" t="s">
        <v>8516</v>
      </c>
      <c r="AQ422" t="s">
        <v>74</v>
      </c>
      <c r="AR422" t="s">
        <v>8517</v>
      </c>
      <c r="AS422" t="s">
        <v>8518</v>
      </c>
      <c r="AT422" t="s">
        <v>7543</v>
      </c>
      <c r="AU422">
        <v>2019</v>
      </c>
      <c r="AV422">
        <v>55</v>
      </c>
      <c r="AW422">
        <v>4</v>
      </c>
      <c r="AX422" t="s">
        <v>74</v>
      </c>
      <c r="AY422" t="s">
        <v>74</v>
      </c>
      <c r="AZ422" t="s">
        <v>74</v>
      </c>
      <c r="BA422" t="s">
        <v>74</v>
      </c>
      <c r="BB422">
        <v>241</v>
      </c>
      <c r="BC422">
        <v>244</v>
      </c>
      <c r="BD422" t="s">
        <v>74</v>
      </c>
      <c r="BE422" t="s">
        <v>8519</v>
      </c>
      <c r="BF422" t="str">
        <f>HYPERLINK("http://dx.doi.org/10.1017/S003224741800044X","http://dx.doi.org/10.1017/S003224741800044X")</f>
        <v>http://dx.doi.org/10.1017/S003224741800044X</v>
      </c>
      <c r="BG422" t="s">
        <v>74</v>
      </c>
      <c r="BH422" t="s">
        <v>74</v>
      </c>
      <c r="BI422">
        <v>4</v>
      </c>
      <c r="BJ422" t="s">
        <v>7452</v>
      </c>
      <c r="BK422" t="s">
        <v>101</v>
      </c>
      <c r="BL422" t="s">
        <v>799</v>
      </c>
      <c r="BM422" t="s">
        <v>8520</v>
      </c>
      <c r="BN422" t="s">
        <v>74</v>
      </c>
      <c r="BO422" t="s">
        <v>1648</v>
      </c>
      <c r="BP422" t="s">
        <v>74</v>
      </c>
      <c r="BQ422" t="s">
        <v>74</v>
      </c>
      <c r="BR422" t="s">
        <v>103</v>
      </c>
      <c r="BS422" t="s">
        <v>8521</v>
      </c>
      <c r="BT422" t="str">
        <f>HYPERLINK("https%3A%2F%2Fwww.webofscience.com%2Fwos%2Fwoscc%2Ffull-record%2FWOS:000501820000009","View Full Record in Web of Science")</f>
        <v>View Full Record in Web of Science</v>
      </c>
    </row>
    <row r="423" spans="1:72" x14ac:dyDescent="0.15">
      <c r="A423" t="s">
        <v>72</v>
      </c>
      <c r="B423" t="s">
        <v>8522</v>
      </c>
      <c r="C423" t="s">
        <v>74</v>
      </c>
      <c r="D423" t="s">
        <v>74</v>
      </c>
      <c r="E423" t="s">
        <v>74</v>
      </c>
      <c r="F423" t="s">
        <v>8523</v>
      </c>
      <c r="G423" t="s">
        <v>74</v>
      </c>
      <c r="H423" t="s">
        <v>74</v>
      </c>
      <c r="I423" t="s">
        <v>8524</v>
      </c>
      <c r="J423" t="s">
        <v>8503</v>
      </c>
      <c r="K423" t="s">
        <v>74</v>
      </c>
      <c r="L423" t="s">
        <v>74</v>
      </c>
      <c r="M423" t="s">
        <v>78</v>
      </c>
      <c r="N423" t="s">
        <v>108</v>
      </c>
      <c r="O423" t="s">
        <v>74</v>
      </c>
      <c r="P423" t="s">
        <v>74</v>
      </c>
      <c r="Q423" t="s">
        <v>74</v>
      </c>
      <c r="R423" t="s">
        <v>74</v>
      </c>
      <c r="S423" t="s">
        <v>74</v>
      </c>
      <c r="T423" t="s">
        <v>8525</v>
      </c>
      <c r="U423" t="s">
        <v>8526</v>
      </c>
      <c r="V423" t="s">
        <v>8527</v>
      </c>
      <c r="W423" t="s">
        <v>8528</v>
      </c>
      <c r="X423" t="s">
        <v>8529</v>
      </c>
      <c r="Y423" t="s">
        <v>8530</v>
      </c>
      <c r="Z423" t="s">
        <v>8531</v>
      </c>
      <c r="AA423" t="s">
        <v>74</v>
      </c>
      <c r="AB423" t="s">
        <v>74</v>
      </c>
      <c r="AC423" t="s">
        <v>8532</v>
      </c>
      <c r="AD423" t="s">
        <v>8533</v>
      </c>
      <c r="AE423" t="s">
        <v>8534</v>
      </c>
      <c r="AF423" t="s">
        <v>74</v>
      </c>
      <c r="AG423">
        <v>106</v>
      </c>
      <c r="AH423">
        <v>1</v>
      </c>
      <c r="AI423">
        <v>1</v>
      </c>
      <c r="AJ423">
        <v>0</v>
      </c>
      <c r="AK423">
        <v>2</v>
      </c>
      <c r="AL423" t="s">
        <v>302</v>
      </c>
      <c r="AM423" t="s">
        <v>4016</v>
      </c>
      <c r="AN423" t="s">
        <v>4542</v>
      </c>
      <c r="AO423" t="s">
        <v>8515</v>
      </c>
      <c r="AP423" t="s">
        <v>8516</v>
      </c>
      <c r="AQ423" t="s">
        <v>74</v>
      </c>
      <c r="AR423" t="s">
        <v>8517</v>
      </c>
      <c r="AS423" t="s">
        <v>8518</v>
      </c>
      <c r="AT423" t="s">
        <v>7543</v>
      </c>
      <c r="AU423">
        <v>2019</v>
      </c>
      <c r="AV423">
        <v>55</v>
      </c>
      <c r="AW423">
        <v>4</v>
      </c>
      <c r="AX423" t="s">
        <v>74</v>
      </c>
      <c r="AY423" t="s">
        <v>74</v>
      </c>
      <c r="AZ423" t="s">
        <v>74</v>
      </c>
      <c r="BA423" t="s">
        <v>74</v>
      </c>
      <c r="BB423">
        <v>251</v>
      </c>
      <c r="BC423">
        <v>273</v>
      </c>
      <c r="BD423" t="s">
        <v>74</v>
      </c>
      <c r="BE423" t="s">
        <v>8535</v>
      </c>
      <c r="BF423" t="str">
        <f>HYPERLINK("http://dx.doi.org/10.1017/S0032247419000056","http://dx.doi.org/10.1017/S0032247419000056")</f>
        <v>http://dx.doi.org/10.1017/S0032247419000056</v>
      </c>
      <c r="BG423" t="s">
        <v>74</v>
      </c>
      <c r="BH423" t="s">
        <v>74</v>
      </c>
      <c r="BI423">
        <v>23</v>
      </c>
      <c r="BJ423" t="s">
        <v>7452</v>
      </c>
      <c r="BK423" t="s">
        <v>3718</v>
      </c>
      <c r="BL423" t="s">
        <v>799</v>
      </c>
      <c r="BM423" t="s">
        <v>8520</v>
      </c>
      <c r="BN423" t="s">
        <v>74</v>
      </c>
      <c r="BO423" t="s">
        <v>537</v>
      </c>
      <c r="BP423" t="s">
        <v>74</v>
      </c>
      <c r="BQ423" t="s">
        <v>74</v>
      </c>
      <c r="BR423" t="s">
        <v>103</v>
      </c>
      <c r="BS423" t="s">
        <v>8536</v>
      </c>
      <c r="BT423" t="str">
        <f>HYPERLINK("https%3A%2F%2Fwww.webofscience.com%2Fwos%2Fwoscc%2Ffull-record%2FWOS:000501820000011","View Full Record in Web of Science")</f>
        <v>View Full Record in Web of Science</v>
      </c>
    </row>
    <row r="424" spans="1:72" x14ac:dyDescent="0.15">
      <c r="A424" t="s">
        <v>72</v>
      </c>
      <c r="B424" t="s">
        <v>8537</v>
      </c>
      <c r="C424" t="s">
        <v>74</v>
      </c>
      <c r="D424" t="s">
        <v>74</v>
      </c>
      <c r="E424" t="s">
        <v>74</v>
      </c>
      <c r="F424" t="s">
        <v>8538</v>
      </c>
      <c r="G424" t="s">
        <v>74</v>
      </c>
      <c r="H424" t="s">
        <v>74</v>
      </c>
      <c r="I424" t="s">
        <v>8539</v>
      </c>
      <c r="J424" t="s">
        <v>8503</v>
      </c>
      <c r="K424" t="s">
        <v>74</v>
      </c>
      <c r="L424" t="s">
        <v>74</v>
      </c>
      <c r="M424" t="s">
        <v>78</v>
      </c>
      <c r="N424" t="s">
        <v>108</v>
      </c>
      <c r="O424" t="s">
        <v>74</v>
      </c>
      <c r="P424" t="s">
        <v>74</v>
      </c>
      <c r="Q424" t="s">
        <v>74</v>
      </c>
      <c r="R424" t="s">
        <v>74</v>
      </c>
      <c r="S424" t="s">
        <v>74</v>
      </c>
      <c r="T424" t="s">
        <v>8540</v>
      </c>
      <c r="U424" t="s">
        <v>74</v>
      </c>
      <c r="V424" t="s">
        <v>8541</v>
      </c>
      <c r="W424" t="s">
        <v>8542</v>
      </c>
      <c r="X424" t="s">
        <v>8543</v>
      </c>
      <c r="Y424" t="s">
        <v>8544</v>
      </c>
      <c r="Z424" t="s">
        <v>8545</v>
      </c>
      <c r="AA424" t="s">
        <v>8546</v>
      </c>
      <c r="AB424" t="s">
        <v>8547</v>
      </c>
      <c r="AC424" t="s">
        <v>8548</v>
      </c>
      <c r="AD424" t="s">
        <v>8548</v>
      </c>
      <c r="AE424" t="s">
        <v>8549</v>
      </c>
      <c r="AF424" t="s">
        <v>74</v>
      </c>
      <c r="AG424">
        <v>37</v>
      </c>
      <c r="AH424">
        <v>4</v>
      </c>
      <c r="AI424">
        <v>4</v>
      </c>
      <c r="AJ424">
        <v>0</v>
      </c>
      <c r="AK424">
        <v>7</v>
      </c>
      <c r="AL424" t="s">
        <v>302</v>
      </c>
      <c r="AM424" t="s">
        <v>4016</v>
      </c>
      <c r="AN424" t="s">
        <v>4542</v>
      </c>
      <c r="AO424" t="s">
        <v>8515</v>
      </c>
      <c r="AP424" t="s">
        <v>8516</v>
      </c>
      <c r="AQ424" t="s">
        <v>74</v>
      </c>
      <c r="AR424" t="s">
        <v>8517</v>
      </c>
      <c r="AS424" t="s">
        <v>8518</v>
      </c>
      <c r="AT424" t="s">
        <v>7543</v>
      </c>
      <c r="AU424">
        <v>2019</v>
      </c>
      <c r="AV424">
        <v>55</v>
      </c>
      <c r="AW424">
        <v>4</v>
      </c>
      <c r="AX424" t="s">
        <v>74</v>
      </c>
      <c r="AY424" t="s">
        <v>74</v>
      </c>
      <c r="AZ424" t="s">
        <v>74</v>
      </c>
      <c r="BA424" t="s">
        <v>74</v>
      </c>
      <c r="BB424">
        <v>274</v>
      </c>
      <c r="BC424">
        <v>288</v>
      </c>
      <c r="BD424" t="s">
        <v>74</v>
      </c>
      <c r="BE424" t="s">
        <v>8550</v>
      </c>
      <c r="BF424" t="str">
        <f>HYPERLINK("http://dx.doi.org/10.1017/S0032247418000384","http://dx.doi.org/10.1017/S0032247418000384")</f>
        <v>http://dx.doi.org/10.1017/S0032247418000384</v>
      </c>
      <c r="BG424" t="s">
        <v>74</v>
      </c>
      <c r="BH424" t="s">
        <v>74</v>
      </c>
      <c r="BI424">
        <v>15</v>
      </c>
      <c r="BJ424" t="s">
        <v>7452</v>
      </c>
      <c r="BK424" t="s">
        <v>101</v>
      </c>
      <c r="BL424" t="s">
        <v>799</v>
      </c>
      <c r="BM424" t="s">
        <v>8520</v>
      </c>
      <c r="BN424" t="s">
        <v>74</v>
      </c>
      <c r="BO424" t="s">
        <v>579</v>
      </c>
      <c r="BP424" t="s">
        <v>74</v>
      </c>
      <c r="BQ424" t="s">
        <v>74</v>
      </c>
      <c r="BR424" t="s">
        <v>103</v>
      </c>
      <c r="BS424" t="s">
        <v>8551</v>
      </c>
      <c r="BT424" t="str">
        <f>HYPERLINK("https%3A%2F%2Fwww.webofscience.com%2Fwos%2Fwoscc%2Ffull-record%2FWOS:000501820000012","View Full Record in Web of Science")</f>
        <v>View Full Record in Web of Science</v>
      </c>
    </row>
    <row r="425" spans="1:72" x14ac:dyDescent="0.15">
      <c r="A425" t="s">
        <v>72</v>
      </c>
      <c r="B425" t="s">
        <v>8552</v>
      </c>
      <c r="C425" t="s">
        <v>74</v>
      </c>
      <c r="D425" t="s">
        <v>74</v>
      </c>
      <c r="E425" t="s">
        <v>74</v>
      </c>
      <c r="F425" t="s">
        <v>8553</v>
      </c>
      <c r="G425" t="s">
        <v>74</v>
      </c>
      <c r="H425" t="s">
        <v>74</v>
      </c>
      <c r="I425" t="s">
        <v>8554</v>
      </c>
      <c r="J425" t="s">
        <v>8555</v>
      </c>
      <c r="K425" t="s">
        <v>74</v>
      </c>
      <c r="L425" t="s">
        <v>74</v>
      </c>
      <c r="M425" t="s">
        <v>78</v>
      </c>
      <c r="N425" t="s">
        <v>108</v>
      </c>
      <c r="O425" t="s">
        <v>74</v>
      </c>
      <c r="P425" t="s">
        <v>74</v>
      </c>
      <c r="Q425" t="s">
        <v>74</v>
      </c>
      <c r="R425" t="s">
        <v>74</v>
      </c>
      <c r="S425" t="s">
        <v>74</v>
      </c>
      <c r="T425" t="s">
        <v>8556</v>
      </c>
      <c r="U425" t="s">
        <v>74</v>
      </c>
      <c r="V425" t="s">
        <v>8557</v>
      </c>
      <c r="W425" t="s">
        <v>8558</v>
      </c>
      <c r="X425" t="s">
        <v>8559</v>
      </c>
      <c r="Y425" t="s">
        <v>8560</v>
      </c>
      <c r="Z425" t="s">
        <v>8561</v>
      </c>
      <c r="AA425" t="s">
        <v>8562</v>
      </c>
      <c r="AB425" t="s">
        <v>8563</v>
      </c>
      <c r="AC425" t="s">
        <v>8564</v>
      </c>
      <c r="AD425" t="s">
        <v>8565</v>
      </c>
      <c r="AE425" t="s">
        <v>8566</v>
      </c>
      <c r="AF425" t="s">
        <v>74</v>
      </c>
      <c r="AG425">
        <v>20</v>
      </c>
      <c r="AH425">
        <v>10</v>
      </c>
      <c r="AI425">
        <v>11</v>
      </c>
      <c r="AJ425">
        <v>2</v>
      </c>
      <c r="AK425">
        <v>8</v>
      </c>
      <c r="AL425" t="s">
        <v>438</v>
      </c>
      <c r="AM425" t="s">
        <v>439</v>
      </c>
      <c r="AN425" t="s">
        <v>440</v>
      </c>
      <c r="AO425" t="s">
        <v>8567</v>
      </c>
      <c r="AP425" t="s">
        <v>74</v>
      </c>
      <c r="AQ425" t="s">
        <v>74</v>
      </c>
      <c r="AR425" t="s">
        <v>8555</v>
      </c>
      <c r="AS425" t="s">
        <v>8568</v>
      </c>
      <c r="AT425" t="s">
        <v>8569</v>
      </c>
      <c r="AU425">
        <v>2019</v>
      </c>
      <c r="AV425">
        <v>10</v>
      </c>
      <c r="AW425" t="s">
        <v>74</v>
      </c>
      <c r="AX425" t="s">
        <v>74</v>
      </c>
      <c r="AY425" t="s">
        <v>74</v>
      </c>
      <c r="AZ425" t="s">
        <v>74</v>
      </c>
      <c r="BA425" t="s">
        <v>74</v>
      </c>
      <c r="BB425" t="s">
        <v>74</v>
      </c>
      <c r="BC425" t="s">
        <v>74</v>
      </c>
      <c r="BD425">
        <v>100333</v>
      </c>
      <c r="BE425" t="s">
        <v>8570</v>
      </c>
      <c r="BF425" t="str">
        <f>HYPERLINK("http://dx.doi.org/10.1016/j.softx.2019.100333","http://dx.doi.org/10.1016/j.softx.2019.100333")</f>
        <v>http://dx.doi.org/10.1016/j.softx.2019.100333</v>
      </c>
      <c r="BG425" t="s">
        <v>74</v>
      </c>
      <c r="BH425" t="s">
        <v>74</v>
      </c>
      <c r="BI425">
        <v>6</v>
      </c>
      <c r="BJ425" t="s">
        <v>8571</v>
      </c>
      <c r="BK425" t="s">
        <v>101</v>
      </c>
      <c r="BL425" t="s">
        <v>8572</v>
      </c>
      <c r="BM425" t="s">
        <v>8573</v>
      </c>
      <c r="BN425">
        <v>32864407</v>
      </c>
      <c r="BO425" t="s">
        <v>136</v>
      </c>
      <c r="BP425" t="s">
        <v>74</v>
      </c>
      <c r="BQ425" t="s">
        <v>74</v>
      </c>
      <c r="BR425" t="s">
        <v>103</v>
      </c>
      <c r="BS425" t="s">
        <v>8574</v>
      </c>
      <c r="BT425" t="str">
        <f>HYPERLINK("https%3A%2F%2Fwww.webofscience.com%2Fwos%2Fwoscc%2Ffull-record%2FWOS:000504065000008","View Full Record in Web of Science")</f>
        <v>View Full Record in Web of Science</v>
      </c>
    </row>
    <row r="426" spans="1:72" x14ac:dyDescent="0.15">
      <c r="A426" t="s">
        <v>72</v>
      </c>
      <c r="B426" t="s">
        <v>8575</v>
      </c>
      <c r="C426" t="s">
        <v>74</v>
      </c>
      <c r="D426" t="s">
        <v>74</v>
      </c>
      <c r="E426" t="s">
        <v>74</v>
      </c>
      <c r="F426" t="s">
        <v>8576</v>
      </c>
      <c r="G426" t="s">
        <v>74</v>
      </c>
      <c r="H426" t="s">
        <v>74</v>
      </c>
      <c r="I426" t="s">
        <v>8577</v>
      </c>
      <c r="J426" t="s">
        <v>8578</v>
      </c>
      <c r="K426" t="s">
        <v>74</v>
      </c>
      <c r="L426" t="s">
        <v>74</v>
      </c>
      <c r="M426" t="s">
        <v>78</v>
      </c>
      <c r="N426" t="s">
        <v>108</v>
      </c>
      <c r="O426" t="s">
        <v>74</v>
      </c>
      <c r="P426" t="s">
        <v>74</v>
      </c>
      <c r="Q426" t="s">
        <v>74</v>
      </c>
      <c r="R426" t="s">
        <v>74</v>
      </c>
      <c r="S426" t="s">
        <v>74</v>
      </c>
      <c r="T426" t="s">
        <v>8579</v>
      </c>
      <c r="U426" t="s">
        <v>8580</v>
      </c>
      <c r="V426" t="s">
        <v>8581</v>
      </c>
      <c r="W426" t="s">
        <v>8582</v>
      </c>
      <c r="X426" t="s">
        <v>8583</v>
      </c>
      <c r="Y426" t="s">
        <v>8584</v>
      </c>
      <c r="Z426" t="s">
        <v>8585</v>
      </c>
      <c r="AA426" t="s">
        <v>8586</v>
      </c>
      <c r="AB426" t="s">
        <v>8587</v>
      </c>
      <c r="AC426" t="s">
        <v>74</v>
      </c>
      <c r="AD426" t="s">
        <v>74</v>
      </c>
      <c r="AE426" t="s">
        <v>74</v>
      </c>
      <c r="AF426" t="s">
        <v>74</v>
      </c>
      <c r="AG426">
        <v>34</v>
      </c>
      <c r="AH426">
        <v>13</v>
      </c>
      <c r="AI426">
        <v>15</v>
      </c>
      <c r="AJ426">
        <v>0</v>
      </c>
      <c r="AK426">
        <v>38</v>
      </c>
      <c r="AL426" t="s">
        <v>3084</v>
      </c>
      <c r="AM426" t="s">
        <v>93</v>
      </c>
      <c r="AN426" t="s">
        <v>3085</v>
      </c>
      <c r="AO426" t="s">
        <v>8588</v>
      </c>
      <c r="AP426" t="s">
        <v>8589</v>
      </c>
      <c r="AQ426" t="s">
        <v>74</v>
      </c>
      <c r="AR426" t="s">
        <v>8590</v>
      </c>
      <c r="AS426" t="s">
        <v>8591</v>
      </c>
      <c r="AT426" t="s">
        <v>7543</v>
      </c>
      <c r="AU426">
        <v>2019</v>
      </c>
      <c r="AV426">
        <v>41</v>
      </c>
      <c r="AW426">
        <v>4</v>
      </c>
      <c r="AX426" t="s">
        <v>74</v>
      </c>
      <c r="AY426" t="s">
        <v>74</v>
      </c>
      <c r="AZ426" t="s">
        <v>74</v>
      </c>
      <c r="BA426" t="s">
        <v>74</v>
      </c>
      <c r="BB426">
        <v>407</v>
      </c>
      <c r="BC426">
        <v>418</v>
      </c>
      <c r="BD426" t="s">
        <v>74</v>
      </c>
      <c r="BE426" t="s">
        <v>8592</v>
      </c>
      <c r="BF426" t="str">
        <f>HYPERLINK("http://dx.doi.org/10.1093/plankt/fbz037","http://dx.doi.org/10.1093/plankt/fbz037")</f>
        <v>http://dx.doi.org/10.1093/plankt/fbz037</v>
      </c>
      <c r="BG426" t="s">
        <v>74</v>
      </c>
      <c r="BH426" t="s">
        <v>74</v>
      </c>
      <c r="BI426">
        <v>12</v>
      </c>
      <c r="BJ426" t="s">
        <v>3596</v>
      </c>
      <c r="BK426" t="s">
        <v>101</v>
      </c>
      <c r="BL426" t="s">
        <v>3596</v>
      </c>
      <c r="BM426" t="s">
        <v>8593</v>
      </c>
      <c r="BN426" t="s">
        <v>74</v>
      </c>
      <c r="BO426" t="s">
        <v>74</v>
      </c>
      <c r="BP426" t="s">
        <v>74</v>
      </c>
      <c r="BQ426" t="s">
        <v>74</v>
      </c>
      <c r="BR426" t="s">
        <v>103</v>
      </c>
      <c r="BS426" t="s">
        <v>8594</v>
      </c>
      <c r="BT426" t="str">
        <f>HYPERLINK("https%3A%2F%2Fwww.webofscience.com%2Fwos%2Fwoscc%2Ffull-record%2FWOS:000493563200005","View Full Record in Web of Science")</f>
        <v>View Full Record in Web of Science</v>
      </c>
    </row>
    <row r="427" spans="1:72" x14ac:dyDescent="0.15">
      <c r="A427" t="s">
        <v>72</v>
      </c>
      <c r="B427" t="s">
        <v>8595</v>
      </c>
      <c r="C427" t="s">
        <v>74</v>
      </c>
      <c r="D427" t="s">
        <v>74</v>
      </c>
      <c r="E427" t="s">
        <v>74</v>
      </c>
      <c r="F427" t="s">
        <v>8596</v>
      </c>
      <c r="G427" t="s">
        <v>74</v>
      </c>
      <c r="H427" t="s">
        <v>74</v>
      </c>
      <c r="I427" t="s">
        <v>8597</v>
      </c>
      <c r="J427" t="s">
        <v>8578</v>
      </c>
      <c r="K427" t="s">
        <v>74</v>
      </c>
      <c r="L427" t="s">
        <v>74</v>
      </c>
      <c r="M427" t="s">
        <v>78</v>
      </c>
      <c r="N427" t="s">
        <v>108</v>
      </c>
      <c r="O427" t="s">
        <v>74</v>
      </c>
      <c r="P427" t="s">
        <v>74</v>
      </c>
      <c r="Q427" t="s">
        <v>74</v>
      </c>
      <c r="R427" t="s">
        <v>74</v>
      </c>
      <c r="S427" t="s">
        <v>74</v>
      </c>
      <c r="T427" t="s">
        <v>8598</v>
      </c>
      <c r="U427" t="s">
        <v>8599</v>
      </c>
      <c r="V427" t="s">
        <v>8600</v>
      </c>
      <c r="W427" t="s">
        <v>8601</v>
      </c>
      <c r="X427" t="s">
        <v>8602</v>
      </c>
      <c r="Y427" t="s">
        <v>8603</v>
      </c>
      <c r="Z427" t="s">
        <v>8604</v>
      </c>
      <c r="AA427" t="s">
        <v>8605</v>
      </c>
      <c r="AB427" t="s">
        <v>8606</v>
      </c>
      <c r="AC427" t="s">
        <v>8607</v>
      </c>
      <c r="AD427" t="s">
        <v>8607</v>
      </c>
      <c r="AE427" t="s">
        <v>8608</v>
      </c>
      <c r="AF427" t="s">
        <v>74</v>
      </c>
      <c r="AG427">
        <v>64</v>
      </c>
      <c r="AH427">
        <v>7</v>
      </c>
      <c r="AI427">
        <v>7</v>
      </c>
      <c r="AJ427">
        <v>1</v>
      </c>
      <c r="AK427">
        <v>3</v>
      </c>
      <c r="AL427" t="s">
        <v>3084</v>
      </c>
      <c r="AM427" t="s">
        <v>93</v>
      </c>
      <c r="AN427" t="s">
        <v>3085</v>
      </c>
      <c r="AO427" t="s">
        <v>8588</v>
      </c>
      <c r="AP427" t="s">
        <v>8589</v>
      </c>
      <c r="AQ427" t="s">
        <v>74</v>
      </c>
      <c r="AR427" t="s">
        <v>8590</v>
      </c>
      <c r="AS427" t="s">
        <v>8591</v>
      </c>
      <c r="AT427" t="s">
        <v>7543</v>
      </c>
      <c r="AU427">
        <v>2019</v>
      </c>
      <c r="AV427">
        <v>41</v>
      </c>
      <c r="AW427">
        <v>4</v>
      </c>
      <c r="AX427" t="s">
        <v>74</v>
      </c>
      <c r="AY427" t="s">
        <v>74</v>
      </c>
      <c r="AZ427" t="s">
        <v>74</v>
      </c>
      <c r="BA427" t="s">
        <v>74</v>
      </c>
      <c r="BB427">
        <v>491</v>
      </c>
      <c r="BC427">
        <v>505</v>
      </c>
      <c r="BD427" t="s">
        <v>74</v>
      </c>
      <c r="BE427" t="s">
        <v>8609</v>
      </c>
      <c r="BF427" t="str">
        <f>HYPERLINK("http://dx.doi.org/10.1093/plankt/fbz030","http://dx.doi.org/10.1093/plankt/fbz030")</f>
        <v>http://dx.doi.org/10.1093/plankt/fbz030</v>
      </c>
      <c r="BG427" t="s">
        <v>74</v>
      </c>
      <c r="BH427" t="s">
        <v>74</v>
      </c>
      <c r="BI427">
        <v>15</v>
      </c>
      <c r="BJ427" t="s">
        <v>3596</v>
      </c>
      <c r="BK427" t="s">
        <v>101</v>
      </c>
      <c r="BL427" t="s">
        <v>3596</v>
      </c>
      <c r="BM427" t="s">
        <v>8593</v>
      </c>
      <c r="BN427" t="s">
        <v>74</v>
      </c>
      <c r="BO427" t="s">
        <v>261</v>
      </c>
      <c r="BP427" t="s">
        <v>74</v>
      </c>
      <c r="BQ427" t="s">
        <v>74</v>
      </c>
      <c r="BR427" t="s">
        <v>103</v>
      </c>
      <c r="BS427" t="s">
        <v>8610</v>
      </c>
      <c r="BT427" t="str">
        <f>HYPERLINK("https%3A%2F%2Fwww.webofscience.com%2Fwos%2Fwoscc%2Ffull-record%2FWOS:000493563200011","View Full Record in Web of Science")</f>
        <v>View Full Record in Web of Science</v>
      </c>
    </row>
    <row r="428" spans="1:72" x14ac:dyDescent="0.15">
      <c r="A428" t="s">
        <v>72</v>
      </c>
      <c r="B428" t="s">
        <v>8611</v>
      </c>
      <c r="C428" t="s">
        <v>74</v>
      </c>
      <c r="D428" t="s">
        <v>74</v>
      </c>
      <c r="E428" t="s">
        <v>74</v>
      </c>
      <c r="F428" t="s">
        <v>8612</v>
      </c>
      <c r="G428" t="s">
        <v>74</v>
      </c>
      <c r="H428" t="s">
        <v>74</v>
      </c>
      <c r="I428" t="s">
        <v>8613</v>
      </c>
      <c r="J428" t="s">
        <v>8578</v>
      </c>
      <c r="K428" t="s">
        <v>74</v>
      </c>
      <c r="L428" t="s">
        <v>74</v>
      </c>
      <c r="M428" t="s">
        <v>78</v>
      </c>
      <c r="N428" t="s">
        <v>108</v>
      </c>
      <c r="O428" t="s">
        <v>74</v>
      </c>
      <c r="P428" t="s">
        <v>74</v>
      </c>
      <c r="Q428" t="s">
        <v>74</v>
      </c>
      <c r="R428" t="s">
        <v>74</v>
      </c>
      <c r="S428" t="s">
        <v>74</v>
      </c>
      <c r="T428" t="s">
        <v>8614</v>
      </c>
      <c r="U428" t="s">
        <v>8615</v>
      </c>
      <c r="V428" t="s">
        <v>8616</v>
      </c>
      <c r="W428" t="s">
        <v>8617</v>
      </c>
      <c r="X428" t="s">
        <v>5390</v>
      </c>
      <c r="Y428" t="s">
        <v>8618</v>
      </c>
      <c r="Z428" t="s">
        <v>8619</v>
      </c>
      <c r="AA428" t="s">
        <v>8620</v>
      </c>
      <c r="AB428" t="s">
        <v>8621</v>
      </c>
      <c r="AC428" t="s">
        <v>8622</v>
      </c>
      <c r="AD428" t="s">
        <v>8623</v>
      </c>
      <c r="AE428" t="s">
        <v>8624</v>
      </c>
      <c r="AF428" t="s">
        <v>74</v>
      </c>
      <c r="AG428">
        <v>63</v>
      </c>
      <c r="AH428">
        <v>15</v>
      </c>
      <c r="AI428">
        <v>18</v>
      </c>
      <c r="AJ428">
        <v>0</v>
      </c>
      <c r="AK428">
        <v>19</v>
      </c>
      <c r="AL428" t="s">
        <v>3084</v>
      </c>
      <c r="AM428" t="s">
        <v>93</v>
      </c>
      <c r="AN428" t="s">
        <v>3085</v>
      </c>
      <c r="AO428" t="s">
        <v>8588</v>
      </c>
      <c r="AP428" t="s">
        <v>8589</v>
      </c>
      <c r="AQ428" t="s">
        <v>74</v>
      </c>
      <c r="AR428" t="s">
        <v>8590</v>
      </c>
      <c r="AS428" t="s">
        <v>8591</v>
      </c>
      <c r="AT428" t="s">
        <v>7543</v>
      </c>
      <c r="AU428">
        <v>2019</v>
      </c>
      <c r="AV428">
        <v>41</v>
      </c>
      <c r="AW428">
        <v>4</v>
      </c>
      <c r="AX428" t="s">
        <v>74</v>
      </c>
      <c r="AY428" t="s">
        <v>74</v>
      </c>
      <c r="AZ428" t="s">
        <v>74</v>
      </c>
      <c r="BA428" t="s">
        <v>74</v>
      </c>
      <c r="BB428">
        <v>521</v>
      </c>
      <c r="BC428">
        <v>533</v>
      </c>
      <c r="BD428" t="s">
        <v>74</v>
      </c>
      <c r="BE428" t="s">
        <v>8625</v>
      </c>
      <c r="BF428" t="str">
        <f>HYPERLINK("http://dx.doi.org/10.1093/plankt/fbz033","http://dx.doi.org/10.1093/plankt/fbz033")</f>
        <v>http://dx.doi.org/10.1093/plankt/fbz033</v>
      </c>
      <c r="BG428" t="s">
        <v>74</v>
      </c>
      <c r="BH428" t="s">
        <v>74</v>
      </c>
      <c r="BI428">
        <v>13</v>
      </c>
      <c r="BJ428" t="s">
        <v>3596</v>
      </c>
      <c r="BK428" t="s">
        <v>101</v>
      </c>
      <c r="BL428" t="s">
        <v>3596</v>
      </c>
      <c r="BM428" t="s">
        <v>8593</v>
      </c>
      <c r="BN428" t="s">
        <v>74</v>
      </c>
      <c r="BO428" t="s">
        <v>261</v>
      </c>
      <c r="BP428" t="s">
        <v>74</v>
      </c>
      <c r="BQ428" t="s">
        <v>74</v>
      </c>
      <c r="BR428" t="s">
        <v>103</v>
      </c>
      <c r="BS428" t="s">
        <v>8626</v>
      </c>
      <c r="BT428" t="str">
        <f>HYPERLINK("https%3A%2F%2Fwww.webofscience.com%2Fwos%2Fwoscc%2Ffull-record%2FWOS:000493563200013","View Full Record in Web of Science")</f>
        <v>View Full Record in Web of Science</v>
      </c>
    </row>
    <row r="429" spans="1:72" x14ac:dyDescent="0.15">
      <c r="A429" t="s">
        <v>72</v>
      </c>
      <c r="B429" t="s">
        <v>8627</v>
      </c>
      <c r="C429" t="s">
        <v>74</v>
      </c>
      <c r="D429" t="s">
        <v>74</v>
      </c>
      <c r="E429" t="s">
        <v>74</v>
      </c>
      <c r="F429" t="s">
        <v>8628</v>
      </c>
      <c r="G429" t="s">
        <v>74</v>
      </c>
      <c r="H429" t="s">
        <v>74</v>
      </c>
      <c r="I429" t="s">
        <v>8629</v>
      </c>
      <c r="J429" t="s">
        <v>8630</v>
      </c>
      <c r="K429" t="s">
        <v>74</v>
      </c>
      <c r="L429" t="s">
        <v>74</v>
      </c>
      <c r="M429" t="s">
        <v>78</v>
      </c>
      <c r="N429" t="s">
        <v>108</v>
      </c>
      <c r="O429" t="s">
        <v>74</v>
      </c>
      <c r="P429" t="s">
        <v>74</v>
      </c>
      <c r="Q429" t="s">
        <v>74</v>
      </c>
      <c r="R429" t="s">
        <v>74</v>
      </c>
      <c r="S429" t="s">
        <v>74</v>
      </c>
      <c r="T429" t="s">
        <v>8631</v>
      </c>
      <c r="U429" t="s">
        <v>8632</v>
      </c>
      <c r="V429" t="s">
        <v>8633</v>
      </c>
      <c r="W429" t="s">
        <v>8634</v>
      </c>
      <c r="X429" t="s">
        <v>8635</v>
      </c>
      <c r="Y429" t="s">
        <v>8636</v>
      </c>
      <c r="Z429" t="s">
        <v>8637</v>
      </c>
      <c r="AA429" t="s">
        <v>8638</v>
      </c>
      <c r="AB429" t="s">
        <v>74</v>
      </c>
      <c r="AC429" t="s">
        <v>8639</v>
      </c>
      <c r="AD429" t="s">
        <v>8640</v>
      </c>
      <c r="AE429" t="s">
        <v>8641</v>
      </c>
      <c r="AF429" t="s">
        <v>74</v>
      </c>
      <c r="AG429">
        <v>82</v>
      </c>
      <c r="AH429">
        <v>19</v>
      </c>
      <c r="AI429">
        <v>22</v>
      </c>
      <c r="AJ429">
        <v>0</v>
      </c>
      <c r="AK429">
        <v>7</v>
      </c>
      <c r="AL429" t="s">
        <v>3084</v>
      </c>
      <c r="AM429" t="s">
        <v>93</v>
      </c>
      <c r="AN429" t="s">
        <v>3085</v>
      </c>
      <c r="AO429" t="s">
        <v>8642</v>
      </c>
      <c r="AP429" t="s">
        <v>8643</v>
      </c>
      <c r="AQ429" t="s">
        <v>74</v>
      </c>
      <c r="AR429" t="s">
        <v>8644</v>
      </c>
      <c r="AS429" t="s">
        <v>8645</v>
      </c>
      <c r="AT429" t="s">
        <v>7543</v>
      </c>
      <c r="AU429">
        <v>2019</v>
      </c>
      <c r="AV429">
        <v>186</v>
      </c>
      <c r="AW429">
        <v>3</v>
      </c>
      <c r="AX429" t="s">
        <v>74</v>
      </c>
      <c r="AY429" t="s">
        <v>74</v>
      </c>
      <c r="AZ429" t="s">
        <v>74</v>
      </c>
      <c r="BA429" t="s">
        <v>74</v>
      </c>
      <c r="BB429">
        <v>673</v>
      </c>
      <c r="BC429">
        <v>700</v>
      </c>
      <c r="BD429" t="s">
        <v>74</v>
      </c>
      <c r="BE429" t="s">
        <v>8646</v>
      </c>
      <c r="BF429" t="str">
        <f>HYPERLINK("http://dx.doi.org/10.1093/zoolinnean/zly085","http://dx.doi.org/10.1093/zoolinnean/zly085")</f>
        <v>http://dx.doi.org/10.1093/zoolinnean/zly085</v>
      </c>
      <c r="BG429" t="s">
        <v>74</v>
      </c>
      <c r="BH429" t="s">
        <v>74</v>
      </c>
      <c r="BI429">
        <v>28</v>
      </c>
      <c r="BJ429" t="s">
        <v>1348</v>
      </c>
      <c r="BK429" t="s">
        <v>101</v>
      </c>
      <c r="BL429" t="s">
        <v>1348</v>
      </c>
      <c r="BM429" t="s">
        <v>8647</v>
      </c>
      <c r="BN429" t="s">
        <v>74</v>
      </c>
      <c r="BO429" t="s">
        <v>74</v>
      </c>
      <c r="BP429" t="s">
        <v>74</v>
      </c>
      <c r="BQ429" t="s">
        <v>74</v>
      </c>
      <c r="BR429" t="s">
        <v>103</v>
      </c>
      <c r="BS429" t="s">
        <v>8648</v>
      </c>
      <c r="BT429" t="str">
        <f>HYPERLINK("https%3A%2F%2Fwww.webofscience.com%2Fwos%2Fwoscc%2Ffull-record%2FWOS:000493317700005","View Full Record in Web of Science")</f>
        <v>View Full Record in Web of Science</v>
      </c>
    </row>
    <row r="430" spans="1:72" x14ac:dyDescent="0.15">
      <c r="A430" t="s">
        <v>72</v>
      </c>
      <c r="B430" t="s">
        <v>8649</v>
      </c>
      <c r="C430" t="s">
        <v>74</v>
      </c>
      <c r="D430" t="s">
        <v>74</v>
      </c>
      <c r="E430" t="s">
        <v>74</v>
      </c>
      <c r="F430" t="s">
        <v>8650</v>
      </c>
      <c r="G430" t="s">
        <v>74</v>
      </c>
      <c r="H430" t="s">
        <v>74</v>
      </c>
      <c r="I430" t="s">
        <v>8651</v>
      </c>
      <c r="J430" t="s">
        <v>8652</v>
      </c>
      <c r="K430" t="s">
        <v>74</v>
      </c>
      <c r="L430" t="s">
        <v>74</v>
      </c>
      <c r="M430" t="s">
        <v>78</v>
      </c>
      <c r="N430" t="s">
        <v>108</v>
      </c>
      <c r="O430" t="s">
        <v>74</v>
      </c>
      <c r="P430" t="s">
        <v>74</v>
      </c>
      <c r="Q430" t="s">
        <v>74</v>
      </c>
      <c r="R430" t="s">
        <v>74</v>
      </c>
      <c r="S430" t="s">
        <v>74</v>
      </c>
      <c r="T430" t="s">
        <v>8653</v>
      </c>
      <c r="U430" t="s">
        <v>8654</v>
      </c>
      <c r="V430" t="s">
        <v>8655</v>
      </c>
      <c r="W430" t="s">
        <v>8656</v>
      </c>
      <c r="X430" t="s">
        <v>8657</v>
      </c>
      <c r="Y430" t="s">
        <v>7673</v>
      </c>
      <c r="Z430" t="s">
        <v>7674</v>
      </c>
      <c r="AA430" t="s">
        <v>8658</v>
      </c>
      <c r="AB430" t="s">
        <v>8659</v>
      </c>
      <c r="AC430" t="s">
        <v>8660</v>
      </c>
      <c r="AD430" t="s">
        <v>8661</v>
      </c>
      <c r="AE430" t="s">
        <v>8662</v>
      </c>
      <c r="AF430" t="s">
        <v>74</v>
      </c>
      <c r="AG430">
        <v>140</v>
      </c>
      <c r="AH430">
        <v>5</v>
      </c>
      <c r="AI430">
        <v>5</v>
      </c>
      <c r="AJ430">
        <v>0</v>
      </c>
      <c r="AK430">
        <v>8</v>
      </c>
      <c r="AL430" t="s">
        <v>3084</v>
      </c>
      <c r="AM430" t="s">
        <v>93</v>
      </c>
      <c r="AN430" t="s">
        <v>3085</v>
      </c>
      <c r="AO430" t="s">
        <v>8663</v>
      </c>
      <c r="AP430" t="s">
        <v>8664</v>
      </c>
      <c r="AQ430" t="s">
        <v>74</v>
      </c>
      <c r="AR430" t="s">
        <v>8665</v>
      </c>
      <c r="AS430" t="s">
        <v>8666</v>
      </c>
      <c r="AT430" t="s">
        <v>7543</v>
      </c>
      <c r="AU430">
        <v>2019</v>
      </c>
      <c r="AV430">
        <v>60</v>
      </c>
      <c r="AW430">
        <v>7</v>
      </c>
      <c r="AX430" t="s">
        <v>74</v>
      </c>
      <c r="AY430" t="s">
        <v>74</v>
      </c>
      <c r="AZ430" t="s">
        <v>74</v>
      </c>
      <c r="BA430" t="s">
        <v>74</v>
      </c>
      <c r="BB430">
        <v>1461</v>
      </c>
      <c r="BC430">
        <v>1487</v>
      </c>
      <c r="BD430" t="s">
        <v>74</v>
      </c>
      <c r="BE430" t="s">
        <v>8667</v>
      </c>
      <c r="BF430" t="str">
        <f>HYPERLINK("http://dx.doi.org/10.1093/petrology/egz036","http://dx.doi.org/10.1093/petrology/egz036")</f>
        <v>http://dx.doi.org/10.1093/petrology/egz036</v>
      </c>
      <c r="BG430" t="s">
        <v>74</v>
      </c>
      <c r="BH430" t="s">
        <v>74</v>
      </c>
      <c r="BI430">
        <v>27</v>
      </c>
      <c r="BJ430" t="s">
        <v>190</v>
      </c>
      <c r="BK430" t="s">
        <v>101</v>
      </c>
      <c r="BL430" t="s">
        <v>190</v>
      </c>
      <c r="BM430" t="s">
        <v>8668</v>
      </c>
      <c r="BN430" t="s">
        <v>74</v>
      </c>
      <c r="BO430" t="s">
        <v>555</v>
      </c>
      <c r="BP430" t="s">
        <v>74</v>
      </c>
      <c r="BQ430" t="s">
        <v>74</v>
      </c>
      <c r="BR430" t="s">
        <v>103</v>
      </c>
      <c r="BS430" t="s">
        <v>8669</v>
      </c>
      <c r="BT430" t="str">
        <f>HYPERLINK("https%3A%2F%2Fwww.webofscience.com%2Fwos%2Fwoscc%2Ffull-record%2FWOS:000493114100005","View Full Record in Web of Science")</f>
        <v>View Full Record in Web of Science</v>
      </c>
    </row>
    <row r="431" spans="1:72" x14ac:dyDescent="0.15">
      <c r="A431" t="s">
        <v>72</v>
      </c>
      <c r="B431" t="s">
        <v>8670</v>
      </c>
      <c r="C431" t="s">
        <v>74</v>
      </c>
      <c r="D431" t="s">
        <v>74</v>
      </c>
      <c r="E431" t="s">
        <v>74</v>
      </c>
      <c r="F431" t="s">
        <v>8671</v>
      </c>
      <c r="G431" t="s">
        <v>74</v>
      </c>
      <c r="H431" t="s">
        <v>74</v>
      </c>
      <c r="I431" t="s">
        <v>8672</v>
      </c>
      <c r="J431" t="s">
        <v>8673</v>
      </c>
      <c r="K431" t="s">
        <v>74</v>
      </c>
      <c r="L431" t="s">
        <v>74</v>
      </c>
      <c r="M431" t="s">
        <v>78</v>
      </c>
      <c r="N431" t="s">
        <v>108</v>
      </c>
      <c r="O431" t="s">
        <v>74</v>
      </c>
      <c r="P431" t="s">
        <v>74</v>
      </c>
      <c r="Q431" t="s">
        <v>74</v>
      </c>
      <c r="R431" t="s">
        <v>74</v>
      </c>
      <c r="S431" t="s">
        <v>74</v>
      </c>
      <c r="T431" t="s">
        <v>8674</v>
      </c>
      <c r="U431" t="s">
        <v>8675</v>
      </c>
      <c r="V431" t="s">
        <v>8676</v>
      </c>
      <c r="W431" t="s">
        <v>8677</v>
      </c>
      <c r="X431" t="s">
        <v>8678</v>
      </c>
      <c r="Y431" t="s">
        <v>8679</v>
      </c>
      <c r="Z431" t="s">
        <v>8680</v>
      </c>
      <c r="AA431" t="s">
        <v>8681</v>
      </c>
      <c r="AB431" t="s">
        <v>8682</v>
      </c>
      <c r="AC431" t="s">
        <v>8683</v>
      </c>
      <c r="AD431" t="s">
        <v>8684</v>
      </c>
      <c r="AE431" t="s">
        <v>8685</v>
      </c>
      <c r="AF431" t="s">
        <v>74</v>
      </c>
      <c r="AG431">
        <v>65</v>
      </c>
      <c r="AH431">
        <v>10</v>
      </c>
      <c r="AI431">
        <v>11</v>
      </c>
      <c r="AJ431">
        <v>1</v>
      </c>
      <c r="AK431">
        <v>9</v>
      </c>
      <c r="AL431" t="s">
        <v>3084</v>
      </c>
      <c r="AM431" t="s">
        <v>93</v>
      </c>
      <c r="AN431" t="s">
        <v>3085</v>
      </c>
      <c r="AO431" t="s">
        <v>8686</v>
      </c>
      <c r="AP431" t="s">
        <v>8687</v>
      </c>
      <c r="AQ431" t="s">
        <v>74</v>
      </c>
      <c r="AR431" t="s">
        <v>8688</v>
      </c>
      <c r="AS431" t="s">
        <v>8689</v>
      </c>
      <c r="AT431" t="s">
        <v>7543</v>
      </c>
      <c r="AU431">
        <v>2019</v>
      </c>
      <c r="AV431">
        <v>366</v>
      </c>
      <c r="AW431">
        <v>14</v>
      </c>
      <c r="AX431" t="s">
        <v>74</v>
      </c>
      <c r="AY431" t="s">
        <v>74</v>
      </c>
      <c r="AZ431" t="s">
        <v>74</v>
      </c>
      <c r="BA431" t="s">
        <v>74</v>
      </c>
      <c r="BB431" t="s">
        <v>74</v>
      </c>
      <c r="BC431" t="s">
        <v>74</v>
      </c>
      <c r="BD431" t="s">
        <v>8690</v>
      </c>
      <c r="BE431" t="s">
        <v>8691</v>
      </c>
      <c r="BF431" t="str">
        <f>HYPERLINK("http://dx.doi.org/10.1093/femsle/fnz177","http://dx.doi.org/10.1093/femsle/fnz177")</f>
        <v>http://dx.doi.org/10.1093/femsle/fnz177</v>
      </c>
      <c r="BG431" t="s">
        <v>74</v>
      </c>
      <c r="BH431" t="s">
        <v>74</v>
      </c>
      <c r="BI431">
        <v>10</v>
      </c>
      <c r="BJ431" t="s">
        <v>1514</v>
      </c>
      <c r="BK431" t="s">
        <v>101</v>
      </c>
      <c r="BL431" t="s">
        <v>1514</v>
      </c>
      <c r="BM431" t="s">
        <v>8692</v>
      </c>
      <c r="BN431">
        <v>31397847</v>
      </c>
      <c r="BO431" t="s">
        <v>74</v>
      </c>
      <c r="BP431" t="s">
        <v>74</v>
      </c>
      <c r="BQ431" t="s">
        <v>74</v>
      </c>
      <c r="BR431" t="s">
        <v>103</v>
      </c>
      <c r="BS431" t="s">
        <v>8693</v>
      </c>
      <c r="BT431" t="str">
        <f>HYPERLINK("https%3A%2F%2Fwww.webofscience.com%2Fwos%2Fwoscc%2Ffull-record%2FWOS:000493066300011","View Full Record in Web of Science")</f>
        <v>View Full Record in Web of Science</v>
      </c>
    </row>
    <row r="432" spans="1:72" x14ac:dyDescent="0.15">
      <c r="A432" t="s">
        <v>72</v>
      </c>
      <c r="B432" t="s">
        <v>8694</v>
      </c>
      <c r="C432" t="s">
        <v>74</v>
      </c>
      <c r="D432" t="s">
        <v>74</v>
      </c>
      <c r="E432" t="s">
        <v>74</v>
      </c>
      <c r="F432" t="s">
        <v>8695</v>
      </c>
      <c r="G432" t="s">
        <v>74</v>
      </c>
      <c r="H432" t="s">
        <v>74</v>
      </c>
      <c r="I432" t="s">
        <v>8696</v>
      </c>
      <c r="J432" t="s">
        <v>7942</v>
      </c>
      <c r="K432" t="s">
        <v>74</v>
      </c>
      <c r="L432" t="s">
        <v>74</v>
      </c>
      <c r="M432" t="s">
        <v>78</v>
      </c>
      <c r="N432" t="s">
        <v>108</v>
      </c>
      <c r="O432" t="s">
        <v>74</v>
      </c>
      <c r="P432" t="s">
        <v>74</v>
      </c>
      <c r="Q432" t="s">
        <v>74</v>
      </c>
      <c r="R432" t="s">
        <v>74</v>
      </c>
      <c r="S432" t="s">
        <v>74</v>
      </c>
      <c r="T432" t="s">
        <v>8697</v>
      </c>
      <c r="U432" t="s">
        <v>8698</v>
      </c>
      <c r="V432" t="s">
        <v>8699</v>
      </c>
      <c r="W432" t="s">
        <v>8700</v>
      </c>
      <c r="X432" t="s">
        <v>8701</v>
      </c>
      <c r="Y432" t="s">
        <v>8702</v>
      </c>
      <c r="Z432" t="s">
        <v>8703</v>
      </c>
      <c r="AA432" t="s">
        <v>8704</v>
      </c>
      <c r="AB432" t="s">
        <v>8705</v>
      </c>
      <c r="AC432" t="s">
        <v>8706</v>
      </c>
      <c r="AD432" t="s">
        <v>8707</v>
      </c>
      <c r="AE432" t="s">
        <v>8708</v>
      </c>
      <c r="AF432" t="s">
        <v>74</v>
      </c>
      <c r="AG432">
        <v>99</v>
      </c>
      <c r="AH432">
        <v>35</v>
      </c>
      <c r="AI432">
        <v>38</v>
      </c>
      <c r="AJ432">
        <v>6</v>
      </c>
      <c r="AK432">
        <v>56</v>
      </c>
      <c r="AL432" t="s">
        <v>1140</v>
      </c>
      <c r="AM432" t="s">
        <v>1141</v>
      </c>
      <c r="AN432" t="s">
        <v>1142</v>
      </c>
      <c r="AO432" t="s">
        <v>7955</v>
      </c>
      <c r="AP432" t="s">
        <v>7956</v>
      </c>
      <c r="AQ432" t="s">
        <v>74</v>
      </c>
      <c r="AR432" t="s">
        <v>7957</v>
      </c>
      <c r="AS432" t="s">
        <v>7958</v>
      </c>
      <c r="AT432" t="s">
        <v>7543</v>
      </c>
      <c r="AU432">
        <v>2019</v>
      </c>
      <c r="AV432">
        <v>28</v>
      </c>
      <c r="AW432">
        <v>14</v>
      </c>
      <c r="AX432" t="s">
        <v>74</v>
      </c>
      <c r="AY432" t="s">
        <v>74</v>
      </c>
      <c r="AZ432" t="s">
        <v>74</v>
      </c>
      <c r="BA432" t="s">
        <v>74</v>
      </c>
      <c r="BB432">
        <v>3427</v>
      </c>
      <c r="BC432">
        <v>3444</v>
      </c>
      <c r="BD432" t="s">
        <v>74</v>
      </c>
      <c r="BE432" t="s">
        <v>8709</v>
      </c>
      <c r="BF432" t="str">
        <f>HYPERLINK("http://dx.doi.org/10.1111/mec.15099","http://dx.doi.org/10.1111/mec.15099")</f>
        <v>http://dx.doi.org/10.1111/mec.15099</v>
      </c>
      <c r="BG432" t="s">
        <v>74</v>
      </c>
      <c r="BH432" t="s">
        <v>74</v>
      </c>
      <c r="BI432">
        <v>18</v>
      </c>
      <c r="BJ432" t="s">
        <v>5789</v>
      </c>
      <c r="BK432" t="s">
        <v>101</v>
      </c>
      <c r="BL432" t="s">
        <v>5790</v>
      </c>
      <c r="BM432" t="s">
        <v>7960</v>
      </c>
      <c r="BN432">
        <v>31131963</v>
      </c>
      <c r="BO432" t="s">
        <v>1417</v>
      </c>
      <c r="BP432" t="s">
        <v>74</v>
      </c>
      <c r="BQ432" t="s">
        <v>74</v>
      </c>
      <c r="BR432" t="s">
        <v>103</v>
      </c>
      <c r="BS432" t="s">
        <v>8710</v>
      </c>
      <c r="BT432" t="str">
        <f>HYPERLINK("https%3A%2F%2Fwww.webofscience.com%2Fwos%2Fwoscc%2Ffull-record%2FWOS:000482148400011","View Full Record in Web of Science")</f>
        <v>View Full Record in Web of Science</v>
      </c>
    </row>
    <row r="433" spans="1:72" x14ac:dyDescent="0.15">
      <c r="A433" t="s">
        <v>72</v>
      </c>
      <c r="B433" t="s">
        <v>8711</v>
      </c>
      <c r="C433" t="s">
        <v>74</v>
      </c>
      <c r="D433" t="s">
        <v>74</v>
      </c>
      <c r="E433" t="s">
        <v>74</v>
      </c>
      <c r="F433" t="s">
        <v>8712</v>
      </c>
      <c r="G433" t="s">
        <v>74</v>
      </c>
      <c r="H433" t="s">
        <v>74</v>
      </c>
      <c r="I433" t="s">
        <v>8713</v>
      </c>
      <c r="J433" t="s">
        <v>8714</v>
      </c>
      <c r="K433" t="s">
        <v>74</v>
      </c>
      <c r="L433" t="s">
        <v>74</v>
      </c>
      <c r="M433" t="s">
        <v>78</v>
      </c>
      <c r="N433" t="s">
        <v>108</v>
      </c>
      <c r="O433" t="s">
        <v>74</v>
      </c>
      <c r="P433" t="s">
        <v>74</v>
      </c>
      <c r="Q433" t="s">
        <v>74</v>
      </c>
      <c r="R433" t="s">
        <v>74</v>
      </c>
      <c r="S433" t="s">
        <v>74</v>
      </c>
      <c r="T433" t="s">
        <v>8715</v>
      </c>
      <c r="U433" t="s">
        <v>8716</v>
      </c>
      <c r="V433" t="s">
        <v>8717</v>
      </c>
      <c r="W433" t="s">
        <v>8718</v>
      </c>
      <c r="X433" t="s">
        <v>8719</v>
      </c>
      <c r="Y433" t="s">
        <v>8720</v>
      </c>
      <c r="Z433" t="s">
        <v>8721</v>
      </c>
      <c r="AA433" t="s">
        <v>8722</v>
      </c>
      <c r="AB433" t="s">
        <v>8723</v>
      </c>
      <c r="AC433" t="s">
        <v>8724</v>
      </c>
      <c r="AD433" t="s">
        <v>8725</v>
      </c>
      <c r="AE433" t="s">
        <v>8726</v>
      </c>
      <c r="AF433" t="s">
        <v>74</v>
      </c>
      <c r="AG433">
        <v>25</v>
      </c>
      <c r="AH433">
        <v>12</v>
      </c>
      <c r="AI433">
        <v>14</v>
      </c>
      <c r="AJ433">
        <v>1</v>
      </c>
      <c r="AK433">
        <v>3</v>
      </c>
      <c r="AL433" t="s">
        <v>1140</v>
      </c>
      <c r="AM433" t="s">
        <v>1141</v>
      </c>
      <c r="AN433" t="s">
        <v>1142</v>
      </c>
      <c r="AO433" t="s">
        <v>8727</v>
      </c>
      <c r="AP433" t="s">
        <v>8728</v>
      </c>
      <c r="AQ433" t="s">
        <v>74</v>
      </c>
      <c r="AR433" t="s">
        <v>8729</v>
      </c>
      <c r="AS433" t="s">
        <v>8730</v>
      </c>
      <c r="AT433" t="s">
        <v>7543</v>
      </c>
      <c r="AU433">
        <v>2019</v>
      </c>
      <c r="AV433">
        <v>26</v>
      </c>
      <c r="AW433">
        <v>3</v>
      </c>
      <c r="AX433" t="s">
        <v>74</v>
      </c>
      <c r="AY433" t="s">
        <v>74</v>
      </c>
      <c r="AZ433" t="s">
        <v>74</v>
      </c>
      <c r="BA433" t="s">
        <v>74</v>
      </c>
      <c r="BB433">
        <v>211</v>
      </c>
      <c r="BC433">
        <v>223</v>
      </c>
      <c r="BD433" t="s">
        <v>74</v>
      </c>
      <c r="BE433" t="s">
        <v>8731</v>
      </c>
      <c r="BF433" t="str">
        <f>HYPERLINK("http://dx.doi.org/10.1002/arp.1735","http://dx.doi.org/10.1002/arp.1735")</f>
        <v>http://dx.doi.org/10.1002/arp.1735</v>
      </c>
      <c r="BG433" t="s">
        <v>74</v>
      </c>
      <c r="BH433" t="s">
        <v>74</v>
      </c>
      <c r="BI433">
        <v>13</v>
      </c>
      <c r="BJ433" t="s">
        <v>8732</v>
      </c>
      <c r="BK433" t="s">
        <v>8733</v>
      </c>
      <c r="BL433" t="s">
        <v>8734</v>
      </c>
      <c r="BM433" t="s">
        <v>8735</v>
      </c>
      <c r="BN433" t="s">
        <v>74</v>
      </c>
      <c r="BO433" t="s">
        <v>74</v>
      </c>
      <c r="BP433" t="s">
        <v>74</v>
      </c>
      <c r="BQ433" t="s">
        <v>74</v>
      </c>
      <c r="BR433" t="s">
        <v>103</v>
      </c>
      <c r="BS433" t="s">
        <v>8736</v>
      </c>
      <c r="BT433" t="str">
        <f>HYPERLINK("https%3A%2F%2Fwww.webofscience.com%2Fwos%2Fwoscc%2Ffull-record%2FWOS:000485316300003","View Full Record in Web of Science")</f>
        <v>View Full Record in Web of Science</v>
      </c>
    </row>
    <row r="434" spans="1:72" x14ac:dyDescent="0.15">
      <c r="A434" t="s">
        <v>72</v>
      </c>
      <c r="B434" t="s">
        <v>8737</v>
      </c>
      <c r="C434" t="s">
        <v>74</v>
      </c>
      <c r="D434" t="s">
        <v>74</v>
      </c>
      <c r="E434" t="s">
        <v>74</v>
      </c>
      <c r="F434" t="s">
        <v>8738</v>
      </c>
      <c r="G434" t="s">
        <v>74</v>
      </c>
      <c r="H434" t="s">
        <v>74</v>
      </c>
      <c r="I434" t="s">
        <v>8739</v>
      </c>
      <c r="J434" t="s">
        <v>8740</v>
      </c>
      <c r="K434" t="s">
        <v>74</v>
      </c>
      <c r="L434" t="s">
        <v>74</v>
      </c>
      <c r="M434" t="s">
        <v>78</v>
      </c>
      <c r="N434" t="s">
        <v>108</v>
      </c>
      <c r="O434" t="s">
        <v>74</v>
      </c>
      <c r="P434" t="s">
        <v>74</v>
      </c>
      <c r="Q434" t="s">
        <v>74</v>
      </c>
      <c r="R434" t="s">
        <v>74</v>
      </c>
      <c r="S434" t="s">
        <v>74</v>
      </c>
      <c r="T434" t="s">
        <v>8741</v>
      </c>
      <c r="U434" t="s">
        <v>8742</v>
      </c>
      <c r="V434" t="s">
        <v>8743</v>
      </c>
      <c r="W434" t="s">
        <v>8744</v>
      </c>
      <c r="X434" t="s">
        <v>8745</v>
      </c>
      <c r="Y434" t="s">
        <v>8746</v>
      </c>
      <c r="Z434" t="s">
        <v>8747</v>
      </c>
      <c r="AA434" t="s">
        <v>8748</v>
      </c>
      <c r="AB434" t="s">
        <v>8749</v>
      </c>
      <c r="AC434" t="s">
        <v>8750</v>
      </c>
      <c r="AD434" t="s">
        <v>8751</v>
      </c>
      <c r="AE434" t="s">
        <v>8752</v>
      </c>
      <c r="AF434" t="s">
        <v>74</v>
      </c>
      <c r="AG434">
        <v>32</v>
      </c>
      <c r="AH434">
        <v>30</v>
      </c>
      <c r="AI434">
        <v>33</v>
      </c>
      <c r="AJ434">
        <v>4</v>
      </c>
      <c r="AK434">
        <v>32</v>
      </c>
      <c r="AL434" t="s">
        <v>438</v>
      </c>
      <c r="AM434" t="s">
        <v>439</v>
      </c>
      <c r="AN434" t="s">
        <v>440</v>
      </c>
      <c r="AO434" t="s">
        <v>8753</v>
      </c>
      <c r="AP434" t="s">
        <v>8754</v>
      </c>
      <c r="AQ434" t="s">
        <v>74</v>
      </c>
      <c r="AR434" t="s">
        <v>8740</v>
      </c>
      <c r="AS434" t="s">
        <v>8755</v>
      </c>
      <c r="AT434" t="s">
        <v>7543</v>
      </c>
      <c r="AU434">
        <v>2019</v>
      </c>
      <c r="AV434">
        <v>87</v>
      </c>
      <c r="AW434" t="s">
        <v>74</v>
      </c>
      <c r="AX434" t="s">
        <v>74</v>
      </c>
      <c r="AY434" t="s">
        <v>74</v>
      </c>
      <c r="AZ434" t="s">
        <v>74</v>
      </c>
      <c r="BA434" t="s">
        <v>74</v>
      </c>
      <c r="BB434" t="s">
        <v>74</v>
      </c>
      <c r="BC434" t="s">
        <v>74</v>
      </c>
      <c r="BD434">
        <v>101628</v>
      </c>
      <c r="BE434" t="s">
        <v>8756</v>
      </c>
      <c r="BF434" t="str">
        <f>HYPERLINK("http://dx.doi.org/10.1016/j.hal.2019.101628","http://dx.doi.org/10.1016/j.hal.2019.101628")</f>
        <v>http://dx.doi.org/10.1016/j.hal.2019.101628</v>
      </c>
      <c r="BG434" t="s">
        <v>74</v>
      </c>
      <c r="BH434" t="s">
        <v>74</v>
      </c>
      <c r="BI434">
        <v>9</v>
      </c>
      <c r="BJ434" t="s">
        <v>6961</v>
      </c>
      <c r="BK434" t="s">
        <v>101</v>
      </c>
      <c r="BL434" t="s">
        <v>6961</v>
      </c>
      <c r="BM434" t="s">
        <v>8757</v>
      </c>
      <c r="BN434">
        <v>31349887</v>
      </c>
      <c r="BO434" t="s">
        <v>74</v>
      </c>
      <c r="BP434" t="s">
        <v>74</v>
      </c>
      <c r="BQ434" t="s">
        <v>74</v>
      </c>
      <c r="BR434" t="s">
        <v>103</v>
      </c>
      <c r="BS434" t="s">
        <v>8758</v>
      </c>
      <c r="BT434" t="str">
        <f>HYPERLINK("https%3A%2F%2Fwww.webofscience.com%2Fwos%2Fwoscc%2Ffull-record%2FWOS:000484873900006","View Full Record in Web of Science")</f>
        <v>View Full Record in Web of Science</v>
      </c>
    </row>
    <row r="435" spans="1:72" x14ac:dyDescent="0.15">
      <c r="A435" t="s">
        <v>72</v>
      </c>
      <c r="B435" t="s">
        <v>8759</v>
      </c>
      <c r="C435" t="s">
        <v>74</v>
      </c>
      <c r="D435" t="s">
        <v>74</v>
      </c>
      <c r="E435" t="s">
        <v>74</v>
      </c>
      <c r="F435" t="s">
        <v>8760</v>
      </c>
      <c r="G435" t="s">
        <v>74</v>
      </c>
      <c r="H435" t="s">
        <v>74</v>
      </c>
      <c r="I435" t="s">
        <v>8761</v>
      </c>
      <c r="J435" t="s">
        <v>8762</v>
      </c>
      <c r="K435" t="s">
        <v>74</v>
      </c>
      <c r="L435" t="s">
        <v>74</v>
      </c>
      <c r="M435" t="s">
        <v>78</v>
      </c>
      <c r="N435" t="s">
        <v>108</v>
      </c>
      <c r="O435" t="s">
        <v>74</v>
      </c>
      <c r="P435" t="s">
        <v>74</v>
      </c>
      <c r="Q435" t="s">
        <v>74</v>
      </c>
      <c r="R435" t="s">
        <v>74</v>
      </c>
      <c r="S435" t="s">
        <v>74</v>
      </c>
      <c r="T435" t="s">
        <v>8763</v>
      </c>
      <c r="U435" t="s">
        <v>8764</v>
      </c>
      <c r="V435" t="s">
        <v>8765</v>
      </c>
      <c r="W435" t="s">
        <v>8766</v>
      </c>
      <c r="X435" t="s">
        <v>8767</v>
      </c>
      <c r="Y435" t="s">
        <v>8768</v>
      </c>
      <c r="Z435" t="s">
        <v>8769</v>
      </c>
      <c r="AA435" t="s">
        <v>74</v>
      </c>
      <c r="AB435" t="s">
        <v>8770</v>
      </c>
      <c r="AC435" t="s">
        <v>8771</v>
      </c>
      <c r="AD435" t="s">
        <v>8771</v>
      </c>
      <c r="AE435" t="s">
        <v>8772</v>
      </c>
      <c r="AF435" t="s">
        <v>74</v>
      </c>
      <c r="AG435">
        <v>93</v>
      </c>
      <c r="AH435">
        <v>10</v>
      </c>
      <c r="AI435">
        <v>10</v>
      </c>
      <c r="AJ435">
        <v>1</v>
      </c>
      <c r="AK435">
        <v>26</v>
      </c>
      <c r="AL435" t="s">
        <v>3084</v>
      </c>
      <c r="AM435" t="s">
        <v>93</v>
      </c>
      <c r="AN435" t="s">
        <v>3085</v>
      </c>
      <c r="AO435" t="s">
        <v>8773</v>
      </c>
      <c r="AP435" t="s">
        <v>8774</v>
      </c>
      <c r="AQ435" t="s">
        <v>74</v>
      </c>
      <c r="AR435" t="s">
        <v>8775</v>
      </c>
      <c r="AS435" t="s">
        <v>8776</v>
      </c>
      <c r="AT435" t="s">
        <v>8777</v>
      </c>
      <c r="AU435">
        <v>2019</v>
      </c>
      <c r="AV435">
        <v>76</v>
      </c>
      <c r="AW435">
        <v>4</v>
      </c>
      <c r="AX435" t="s">
        <v>74</v>
      </c>
      <c r="AY435" t="s">
        <v>74</v>
      </c>
      <c r="AZ435" t="s">
        <v>74</v>
      </c>
      <c r="BA435" t="s">
        <v>74</v>
      </c>
      <c r="BB435">
        <v>1083</v>
      </c>
      <c r="BC435">
        <v>1093</v>
      </c>
      <c r="BD435" t="s">
        <v>74</v>
      </c>
      <c r="BE435" t="s">
        <v>8778</v>
      </c>
      <c r="BF435" t="str">
        <f>HYPERLINK("http://dx.doi.org/10.1093/icesjms/fsy181","http://dx.doi.org/10.1093/icesjms/fsy181")</f>
        <v>http://dx.doi.org/10.1093/icesjms/fsy181</v>
      </c>
      <c r="BG435" t="s">
        <v>74</v>
      </c>
      <c r="BH435" t="s">
        <v>74</v>
      </c>
      <c r="BI435">
        <v>11</v>
      </c>
      <c r="BJ435" t="s">
        <v>2449</v>
      </c>
      <c r="BK435" t="s">
        <v>101</v>
      </c>
      <c r="BL435" t="s">
        <v>2449</v>
      </c>
      <c r="BM435" t="s">
        <v>8779</v>
      </c>
      <c r="BN435" t="s">
        <v>74</v>
      </c>
      <c r="BO435" t="s">
        <v>74</v>
      </c>
      <c r="BP435" t="s">
        <v>74</v>
      </c>
      <c r="BQ435" t="s">
        <v>74</v>
      </c>
      <c r="BR435" t="s">
        <v>103</v>
      </c>
      <c r="BS435" t="s">
        <v>8780</v>
      </c>
      <c r="BT435" t="str">
        <f>HYPERLINK("https%3A%2F%2Fwww.webofscience.com%2Fwos%2Fwoscc%2Ffull-record%2FWOS:000484404900028","View Full Record in Web of Science")</f>
        <v>View Full Record in Web of Science</v>
      </c>
    </row>
    <row r="436" spans="1:72" x14ac:dyDescent="0.15">
      <c r="A436" t="s">
        <v>72</v>
      </c>
      <c r="B436" t="s">
        <v>8781</v>
      </c>
      <c r="C436" t="s">
        <v>74</v>
      </c>
      <c r="D436" t="s">
        <v>74</v>
      </c>
      <c r="E436" t="s">
        <v>74</v>
      </c>
      <c r="F436" t="s">
        <v>8782</v>
      </c>
      <c r="G436" t="s">
        <v>74</v>
      </c>
      <c r="H436" t="s">
        <v>74</v>
      </c>
      <c r="I436" t="s">
        <v>8783</v>
      </c>
      <c r="J436" t="s">
        <v>8762</v>
      </c>
      <c r="K436" t="s">
        <v>74</v>
      </c>
      <c r="L436" t="s">
        <v>74</v>
      </c>
      <c r="M436" t="s">
        <v>78</v>
      </c>
      <c r="N436" t="s">
        <v>108</v>
      </c>
      <c r="O436" t="s">
        <v>74</v>
      </c>
      <c r="P436" t="s">
        <v>74</v>
      </c>
      <c r="Q436" t="s">
        <v>74</v>
      </c>
      <c r="R436" t="s">
        <v>74</v>
      </c>
      <c r="S436" t="s">
        <v>74</v>
      </c>
      <c r="T436" t="s">
        <v>8784</v>
      </c>
      <c r="U436" t="s">
        <v>8785</v>
      </c>
      <c r="V436" t="s">
        <v>8786</v>
      </c>
      <c r="W436" t="s">
        <v>8787</v>
      </c>
      <c r="X436" t="s">
        <v>8788</v>
      </c>
      <c r="Y436" t="s">
        <v>8789</v>
      </c>
      <c r="Z436" t="s">
        <v>8790</v>
      </c>
      <c r="AA436" t="s">
        <v>74</v>
      </c>
      <c r="AB436" t="s">
        <v>8791</v>
      </c>
      <c r="AC436" t="s">
        <v>8792</v>
      </c>
      <c r="AD436" t="s">
        <v>8793</v>
      </c>
      <c r="AE436" t="s">
        <v>8794</v>
      </c>
      <c r="AF436" t="s">
        <v>74</v>
      </c>
      <c r="AG436">
        <v>55</v>
      </c>
      <c r="AH436">
        <v>1</v>
      </c>
      <c r="AI436">
        <v>2</v>
      </c>
      <c r="AJ436">
        <v>0</v>
      </c>
      <c r="AK436">
        <v>12</v>
      </c>
      <c r="AL436" t="s">
        <v>3084</v>
      </c>
      <c r="AM436" t="s">
        <v>93</v>
      </c>
      <c r="AN436" t="s">
        <v>3085</v>
      </c>
      <c r="AO436" t="s">
        <v>8773</v>
      </c>
      <c r="AP436" t="s">
        <v>8774</v>
      </c>
      <c r="AQ436" t="s">
        <v>74</v>
      </c>
      <c r="AR436" t="s">
        <v>8775</v>
      </c>
      <c r="AS436" t="s">
        <v>8776</v>
      </c>
      <c r="AT436" t="s">
        <v>8777</v>
      </c>
      <c r="AU436">
        <v>2019</v>
      </c>
      <c r="AV436">
        <v>76</v>
      </c>
      <c r="AW436">
        <v>4</v>
      </c>
      <c r="AX436" t="s">
        <v>74</v>
      </c>
      <c r="AY436" t="s">
        <v>74</v>
      </c>
      <c r="AZ436" t="s">
        <v>74</v>
      </c>
      <c r="BA436" t="s">
        <v>74</v>
      </c>
      <c r="BB436">
        <v>1177</v>
      </c>
      <c r="BC436">
        <v>1188</v>
      </c>
      <c r="BD436" t="s">
        <v>74</v>
      </c>
      <c r="BE436" t="s">
        <v>8795</v>
      </c>
      <c r="BF436" t="str">
        <f>HYPERLINK("http://dx.doi.org/10.1093/icesjms/fsz005","http://dx.doi.org/10.1093/icesjms/fsz005")</f>
        <v>http://dx.doi.org/10.1093/icesjms/fsz005</v>
      </c>
      <c r="BG436" t="s">
        <v>74</v>
      </c>
      <c r="BH436" t="s">
        <v>74</v>
      </c>
      <c r="BI436">
        <v>12</v>
      </c>
      <c r="BJ436" t="s">
        <v>2449</v>
      </c>
      <c r="BK436" t="s">
        <v>101</v>
      </c>
      <c r="BL436" t="s">
        <v>2449</v>
      </c>
      <c r="BM436" t="s">
        <v>8779</v>
      </c>
      <c r="BN436" t="s">
        <v>74</v>
      </c>
      <c r="BO436" t="s">
        <v>5300</v>
      </c>
      <c r="BP436" t="s">
        <v>74</v>
      </c>
      <c r="BQ436" t="s">
        <v>74</v>
      </c>
      <c r="BR436" t="s">
        <v>103</v>
      </c>
      <c r="BS436" t="s">
        <v>8796</v>
      </c>
      <c r="BT436" t="str">
        <f>HYPERLINK("https%3A%2F%2Fwww.webofscience.com%2Fwos%2Fwoscc%2Ffull-record%2FWOS:000484404900036","View Full Record in Web of Science")</f>
        <v>View Full Record in Web of Science</v>
      </c>
    </row>
    <row r="437" spans="1:72" x14ac:dyDescent="0.15">
      <c r="A437" t="s">
        <v>72</v>
      </c>
      <c r="B437" t="s">
        <v>8797</v>
      </c>
      <c r="C437" t="s">
        <v>74</v>
      </c>
      <c r="D437" t="s">
        <v>74</v>
      </c>
      <c r="E437" t="s">
        <v>74</v>
      </c>
      <c r="F437" t="s">
        <v>8798</v>
      </c>
      <c r="G437" t="s">
        <v>74</v>
      </c>
      <c r="H437" t="s">
        <v>74</v>
      </c>
      <c r="I437" t="s">
        <v>8799</v>
      </c>
      <c r="J437" t="s">
        <v>8800</v>
      </c>
      <c r="K437" t="s">
        <v>74</v>
      </c>
      <c r="L437" t="s">
        <v>74</v>
      </c>
      <c r="M437" t="s">
        <v>78</v>
      </c>
      <c r="N437" t="s">
        <v>108</v>
      </c>
      <c r="O437" t="s">
        <v>74</v>
      </c>
      <c r="P437" t="s">
        <v>74</v>
      </c>
      <c r="Q437" t="s">
        <v>74</v>
      </c>
      <c r="R437" t="s">
        <v>74</v>
      </c>
      <c r="S437" t="s">
        <v>74</v>
      </c>
      <c r="T437" t="s">
        <v>8801</v>
      </c>
      <c r="U437" t="s">
        <v>8802</v>
      </c>
      <c r="V437" t="s">
        <v>8803</v>
      </c>
      <c r="W437" t="s">
        <v>8804</v>
      </c>
      <c r="X437" t="s">
        <v>8805</v>
      </c>
      <c r="Y437" t="s">
        <v>8806</v>
      </c>
      <c r="Z437" t="s">
        <v>8807</v>
      </c>
      <c r="AA437" t="s">
        <v>8808</v>
      </c>
      <c r="AB437" t="s">
        <v>8809</v>
      </c>
      <c r="AC437" t="s">
        <v>8810</v>
      </c>
      <c r="AD437" t="s">
        <v>8811</v>
      </c>
      <c r="AE437" t="s">
        <v>8812</v>
      </c>
      <c r="AF437" t="s">
        <v>74</v>
      </c>
      <c r="AG437">
        <v>30</v>
      </c>
      <c r="AH437">
        <v>1</v>
      </c>
      <c r="AI437">
        <v>1</v>
      </c>
      <c r="AJ437">
        <v>0</v>
      </c>
      <c r="AK437">
        <v>3</v>
      </c>
      <c r="AL437" t="s">
        <v>8813</v>
      </c>
      <c r="AM437" t="s">
        <v>4016</v>
      </c>
      <c r="AN437" t="s">
        <v>8814</v>
      </c>
      <c r="AO437" t="s">
        <v>8815</v>
      </c>
      <c r="AP437" t="s">
        <v>8816</v>
      </c>
      <c r="AQ437" t="s">
        <v>74</v>
      </c>
      <c r="AR437" t="s">
        <v>8817</v>
      </c>
      <c r="AS437" t="s">
        <v>8818</v>
      </c>
      <c r="AT437" t="s">
        <v>7543</v>
      </c>
      <c r="AU437">
        <v>2019</v>
      </c>
      <c r="AV437">
        <v>12</v>
      </c>
      <c r="AW437">
        <v>4</v>
      </c>
      <c r="AX437" t="s">
        <v>74</v>
      </c>
      <c r="AY437" t="s">
        <v>74</v>
      </c>
      <c r="AZ437" t="s">
        <v>74</v>
      </c>
      <c r="BA437" t="s">
        <v>74</v>
      </c>
      <c r="BB437">
        <v>332</v>
      </c>
      <c r="BC437">
        <v>338</v>
      </c>
      <c r="BD437" t="s">
        <v>74</v>
      </c>
      <c r="BE437" t="s">
        <v>8819</v>
      </c>
      <c r="BF437" t="str">
        <f>HYPERLINK("http://dx.doi.org/10.1134/S1995425519040115","http://dx.doi.org/10.1134/S1995425519040115")</f>
        <v>http://dx.doi.org/10.1134/S1995425519040115</v>
      </c>
      <c r="BG437" t="s">
        <v>74</v>
      </c>
      <c r="BH437" t="s">
        <v>74</v>
      </c>
      <c r="BI437">
        <v>7</v>
      </c>
      <c r="BJ437" t="s">
        <v>1150</v>
      </c>
      <c r="BK437" t="s">
        <v>101</v>
      </c>
      <c r="BL437" t="s">
        <v>799</v>
      </c>
      <c r="BM437" t="s">
        <v>8820</v>
      </c>
      <c r="BN437" t="s">
        <v>74</v>
      </c>
      <c r="BO437" t="s">
        <v>74</v>
      </c>
      <c r="BP437" t="s">
        <v>74</v>
      </c>
      <c r="BQ437" t="s">
        <v>74</v>
      </c>
      <c r="BR437" t="s">
        <v>103</v>
      </c>
      <c r="BS437" t="s">
        <v>8821</v>
      </c>
      <c r="BT437" t="str">
        <f>HYPERLINK("https%3A%2F%2Fwww.webofscience.com%2Fwos%2Fwoscc%2Ffull-record%2FWOS:000483777500004","View Full Record in Web of Science")</f>
        <v>View Full Record in Web of Science</v>
      </c>
    </row>
    <row r="438" spans="1:72" x14ac:dyDescent="0.15">
      <c r="A438" t="s">
        <v>72</v>
      </c>
      <c r="B438" t="s">
        <v>8822</v>
      </c>
      <c r="C438" t="s">
        <v>74</v>
      </c>
      <c r="D438" t="s">
        <v>74</v>
      </c>
      <c r="E438" t="s">
        <v>74</v>
      </c>
      <c r="F438" t="s">
        <v>8823</v>
      </c>
      <c r="G438" t="s">
        <v>74</v>
      </c>
      <c r="H438" t="s">
        <v>74</v>
      </c>
      <c r="I438" t="s">
        <v>8824</v>
      </c>
      <c r="J438" t="s">
        <v>8825</v>
      </c>
      <c r="K438" t="s">
        <v>74</v>
      </c>
      <c r="L438" t="s">
        <v>74</v>
      </c>
      <c r="M438" t="s">
        <v>78</v>
      </c>
      <c r="N438" t="s">
        <v>108</v>
      </c>
      <c r="O438" t="s">
        <v>74</v>
      </c>
      <c r="P438" t="s">
        <v>74</v>
      </c>
      <c r="Q438" t="s">
        <v>74</v>
      </c>
      <c r="R438" t="s">
        <v>74</v>
      </c>
      <c r="S438" t="s">
        <v>74</v>
      </c>
      <c r="T438" t="s">
        <v>8826</v>
      </c>
      <c r="U438" t="s">
        <v>8827</v>
      </c>
      <c r="V438" t="s">
        <v>8828</v>
      </c>
      <c r="W438" t="s">
        <v>8829</v>
      </c>
      <c r="X438" t="s">
        <v>8830</v>
      </c>
      <c r="Y438" t="s">
        <v>8831</v>
      </c>
      <c r="Z438" t="s">
        <v>8832</v>
      </c>
      <c r="AA438" t="s">
        <v>8833</v>
      </c>
      <c r="AB438" t="s">
        <v>8834</v>
      </c>
      <c r="AC438" t="s">
        <v>8835</v>
      </c>
      <c r="AD438" t="s">
        <v>8836</v>
      </c>
      <c r="AE438" t="s">
        <v>8837</v>
      </c>
      <c r="AF438" t="s">
        <v>74</v>
      </c>
      <c r="AG438">
        <v>76</v>
      </c>
      <c r="AH438">
        <v>16</v>
      </c>
      <c r="AI438">
        <v>17</v>
      </c>
      <c r="AJ438">
        <v>5</v>
      </c>
      <c r="AK438">
        <v>42</v>
      </c>
      <c r="AL438" t="s">
        <v>3084</v>
      </c>
      <c r="AM438" t="s">
        <v>93</v>
      </c>
      <c r="AN438" t="s">
        <v>3085</v>
      </c>
      <c r="AO438" t="s">
        <v>8838</v>
      </c>
      <c r="AP438" t="s">
        <v>74</v>
      </c>
      <c r="AQ438" t="s">
        <v>74</v>
      </c>
      <c r="AR438" t="s">
        <v>8839</v>
      </c>
      <c r="AS438" t="s">
        <v>8840</v>
      </c>
      <c r="AT438" t="s">
        <v>7543</v>
      </c>
      <c r="AU438">
        <v>2019</v>
      </c>
      <c r="AV438">
        <v>11</v>
      </c>
      <c r="AW438">
        <v>7</v>
      </c>
      <c r="AX438" t="s">
        <v>74</v>
      </c>
      <c r="AY438" t="s">
        <v>74</v>
      </c>
      <c r="AZ438" t="s">
        <v>74</v>
      </c>
      <c r="BA438" t="s">
        <v>74</v>
      </c>
      <c r="BB438">
        <v>1897</v>
      </c>
      <c r="BC438">
        <v>1908</v>
      </c>
      <c r="BD438" t="s">
        <v>74</v>
      </c>
      <c r="BE438" t="s">
        <v>8841</v>
      </c>
      <c r="BF438" t="str">
        <f>HYPERLINK("http://dx.doi.org/10.1093/gbe/evz104","http://dx.doi.org/10.1093/gbe/evz104")</f>
        <v>http://dx.doi.org/10.1093/gbe/evz104</v>
      </c>
      <c r="BG438" t="s">
        <v>74</v>
      </c>
      <c r="BH438" t="s">
        <v>74</v>
      </c>
      <c r="BI438">
        <v>12</v>
      </c>
      <c r="BJ438" t="s">
        <v>8842</v>
      </c>
      <c r="BK438" t="s">
        <v>101</v>
      </c>
      <c r="BL438" t="s">
        <v>8842</v>
      </c>
      <c r="BM438" t="s">
        <v>8843</v>
      </c>
      <c r="BN438">
        <v>31106822</v>
      </c>
      <c r="BO438" t="s">
        <v>1041</v>
      </c>
      <c r="BP438" t="s">
        <v>74</v>
      </c>
      <c r="BQ438" t="s">
        <v>74</v>
      </c>
      <c r="BR438" t="s">
        <v>103</v>
      </c>
      <c r="BS438" t="s">
        <v>8844</v>
      </c>
      <c r="BT438" t="str">
        <f>HYPERLINK("https%3A%2F%2Fwww.webofscience.com%2Fwos%2Fwoscc%2Ffull-record%2FWOS:000484039500017","View Full Record in Web of Science")</f>
        <v>View Full Record in Web of Science</v>
      </c>
    </row>
    <row r="439" spans="1:72" x14ac:dyDescent="0.15">
      <c r="A439" t="s">
        <v>72</v>
      </c>
      <c r="B439" t="s">
        <v>8845</v>
      </c>
      <c r="C439" t="s">
        <v>74</v>
      </c>
      <c r="D439" t="s">
        <v>74</v>
      </c>
      <c r="E439" t="s">
        <v>74</v>
      </c>
      <c r="F439" t="s">
        <v>8846</v>
      </c>
      <c r="G439" t="s">
        <v>74</v>
      </c>
      <c r="H439" t="s">
        <v>74</v>
      </c>
      <c r="I439" t="s">
        <v>8847</v>
      </c>
      <c r="J439" t="s">
        <v>8848</v>
      </c>
      <c r="K439" t="s">
        <v>74</v>
      </c>
      <c r="L439" t="s">
        <v>74</v>
      </c>
      <c r="M439" t="s">
        <v>78</v>
      </c>
      <c r="N439" t="s">
        <v>108</v>
      </c>
      <c r="O439" t="s">
        <v>74</v>
      </c>
      <c r="P439" t="s">
        <v>74</v>
      </c>
      <c r="Q439" t="s">
        <v>74</v>
      </c>
      <c r="R439" t="s">
        <v>74</v>
      </c>
      <c r="S439" t="s">
        <v>74</v>
      </c>
      <c r="T439" t="s">
        <v>8849</v>
      </c>
      <c r="U439" t="s">
        <v>8850</v>
      </c>
      <c r="V439" t="s">
        <v>8851</v>
      </c>
      <c r="W439" t="s">
        <v>8852</v>
      </c>
      <c r="X439" t="s">
        <v>7756</v>
      </c>
      <c r="Y439" t="s">
        <v>8853</v>
      </c>
      <c r="Z439" t="s">
        <v>8854</v>
      </c>
      <c r="AA439" t="s">
        <v>74</v>
      </c>
      <c r="AB439" t="s">
        <v>8855</v>
      </c>
      <c r="AC439" t="s">
        <v>8856</v>
      </c>
      <c r="AD439" t="s">
        <v>8857</v>
      </c>
      <c r="AE439" t="s">
        <v>8858</v>
      </c>
      <c r="AF439" t="s">
        <v>74</v>
      </c>
      <c r="AG439">
        <v>91</v>
      </c>
      <c r="AH439">
        <v>5</v>
      </c>
      <c r="AI439">
        <v>6</v>
      </c>
      <c r="AJ439">
        <v>0</v>
      </c>
      <c r="AK439">
        <v>2</v>
      </c>
      <c r="AL439" t="s">
        <v>656</v>
      </c>
      <c r="AM439" t="s">
        <v>657</v>
      </c>
      <c r="AN439" t="s">
        <v>658</v>
      </c>
      <c r="AO439" t="s">
        <v>8859</v>
      </c>
      <c r="AP439" t="s">
        <v>8860</v>
      </c>
      <c r="AQ439" t="s">
        <v>74</v>
      </c>
      <c r="AR439" t="s">
        <v>8861</v>
      </c>
      <c r="AS439" t="s">
        <v>8862</v>
      </c>
      <c r="AT439" t="s">
        <v>7543</v>
      </c>
      <c r="AU439">
        <v>2019</v>
      </c>
      <c r="AV439">
        <v>65</v>
      </c>
      <c r="AW439" t="s">
        <v>74</v>
      </c>
      <c r="AX439" t="s">
        <v>74</v>
      </c>
      <c r="AY439" t="s">
        <v>74</v>
      </c>
      <c r="AZ439" t="s">
        <v>74</v>
      </c>
      <c r="BA439" t="s">
        <v>74</v>
      </c>
      <c r="BB439">
        <v>19</v>
      </c>
      <c r="BC439">
        <v>28</v>
      </c>
      <c r="BD439" t="s">
        <v>74</v>
      </c>
      <c r="BE439" t="s">
        <v>8863</v>
      </c>
      <c r="BF439" t="str">
        <f>HYPERLINK("http://dx.doi.org/10.1016/j.jhg.2019.05.006","http://dx.doi.org/10.1016/j.jhg.2019.05.006")</f>
        <v>http://dx.doi.org/10.1016/j.jhg.2019.05.006</v>
      </c>
      <c r="BG439" t="s">
        <v>74</v>
      </c>
      <c r="BH439" t="s">
        <v>74</v>
      </c>
      <c r="BI439">
        <v>10</v>
      </c>
      <c r="BJ439" t="s">
        <v>8864</v>
      </c>
      <c r="BK439" t="s">
        <v>1490</v>
      </c>
      <c r="BL439" t="s">
        <v>8865</v>
      </c>
      <c r="BM439" t="s">
        <v>8866</v>
      </c>
      <c r="BN439" t="s">
        <v>74</v>
      </c>
      <c r="BO439" t="s">
        <v>74</v>
      </c>
      <c r="BP439" t="s">
        <v>74</v>
      </c>
      <c r="BQ439" t="s">
        <v>74</v>
      </c>
      <c r="BR439" t="s">
        <v>103</v>
      </c>
      <c r="BS439" t="s">
        <v>8867</v>
      </c>
      <c r="BT439" t="str">
        <f>HYPERLINK("https%3A%2F%2Fwww.webofscience.com%2Fwos%2Fwoscc%2Ffull-record%2FWOS:000483644800003","View Full Record in Web of Science")</f>
        <v>View Full Record in Web of Science</v>
      </c>
    </row>
    <row r="440" spans="1:72" x14ac:dyDescent="0.15">
      <c r="A440" t="s">
        <v>72</v>
      </c>
      <c r="B440" t="s">
        <v>8868</v>
      </c>
      <c r="C440" t="s">
        <v>74</v>
      </c>
      <c r="D440" t="s">
        <v>74</v>
      </c>
      <c r="E440" t="s">
        <v>74</v>
      </c>
      <c r="F440" t="s">
        <v>8869</v>
      </c>
      <c r="G440" t="s">
        <v>74</v>
      </c>
      <c r="H440" t="s">
        <v>74</v>
      </c>
      <c r="I440" t="s">
        <v>8870</v>
      </c>
      <c r="J440" t="s">
        <v>5241</v>
      </c>
      <c r="K440" t="s">
        <v>74</v>
      </c>
      <c r="L440" t="s">
        <v>74</v>
      </c>
      <c r="M440" t="s">
        <v>78</v>
      </c>
      <c r="N440" t="s">
        <v>108</v>
      </c>
      <c r="O440" t="s">
        <v>74</v>
      </c>
      <c r="P440" t="s">
        <v>74</v>
      </c>
      <c r="Q440" t="s">
        <v>74</v>
      </c>
      <c r="R440" t="s">
        <v>74</v>
      </c>
      <c r="S440" t="s">
        <v>74</v>
      </c>
      <c r="T440" t="s">
        <v>8871</v>
      </c>
      <c r="U440" t="s">
        <v>8872</v>
      </c>
      <c r="V440" t="s">
        <v>8873</v>
      </c>
      <c r="W440" t="s">
        <v>8874</v>
      </c>
      <c r="X440" t="s">
        <v>8875</v>
      </c>
      <c r="Y440" t="s">
        <v>8876</v>
      </c>
      <c r="Z440" t="s">
        <v>8877</v>
      </c>
      <c r="AA440" t="s">
        <v>8878</v>
      </c>
      <c r="AB440" t="s">
        <v>8879</v>
      </c>
      <c r="AC440" t="s">
        <v>8880</v>
      </c>
      <c r="AD440" t="s">
        <v>8881</v>
      </c>
      <c r="AE440" t="s">
        <v>8882</v>
      </c>
      <c r="AF440" t="s">
        <v>74</v>
      </c>
      <c r="AG440">
        <v>93</v>
      </c>
      <c r="AH440">
        <v>5</v>
      </c>
      <c r="AI440">
        <v>6</v>
      </c>
      <c r="AJ440">
        <v>0</v>
      </c>
      <c r="AK440">
        <v>19</v>
      </c>
      <c r="AL440" t="s">
        <v>92</v>
      </c>
      <c r="AM440" t="s">
        <v>93</v>
      </c>
      <c r="AN440" t="s">
        <v>94</v>
      </c>
      <c r="AO440" t="s">
        <v>5254</v>
      </c>
      <c r="AP440" t="s">
        <v>5255</v>
      </c>
      <c r="AQ440" t="s">
        <v>74</v>
      </c>
      <c r="AR440" t="s">
        <v>5256</v>
      </c>
      <c r="AS440" t="s">
        <v>5257</v>
      </c>
      <c r="AT440" t="s">
        <v>7543</v>
      </c>
      <c r="AU440">
        <v>2019</v>
      </c>
      <c r="AV440">
        <v>149</v>
      </c>
      <c r="AW440" t="s">
        <v>74</v>
      </c>
      <c r="AX440" t="s">
        <v>74</v>
      </c>
      <c r="AY440" t="s">
        <v>74</v>
      </c>
      <c r="AZ440" t="s">
        <v>74</v>
      </c>
      <c r="BA440" t="s">
        <v>74</v>
      </c>
      <c r="BB440" t="s">
        <v>74</v>
      </c>
      <c r="BC440" t="s">
        <v>74</v>
      </c>
      <c r="BD440">
        <v>103025</v>
      </c>
      <c r="BE440" t="s">
        <v>8883</v>
      </c>
      <c r="BF440" t="str">
        <f>HYPERLINK("http://dx.doi.org/10.1016/j.dsr.2019.04.003","http://dx.doi.org/10.1016/j.dsr.2019.04.003")</f>
        <v>http://dx.doi.org/10.1016/j.dsr.2019.04.003</v>
      </c>
      <c r="BG440" t="s">
        <v>74</v>
      </c>
      <c r="BH440" t="s">
        <v>74</v>
      </c>
      <c r="BI440">
        <v>19</v>
      </c>
      <c r="BJ440" t="s">
        <v>100</v>
      </c>
      <c r="BK440" t="s">
        <v>101</v>
      </c>
      <c r="BL440" t="s">
        <v>100</v>
      </c>
      <c r="BM440" t="s">
        <v>8884</v>
      </c>
      <c r="BN440" t="s">
        <v>74</v>
      </c>
      <c r="BO440" t="s">
        <v>8885</v>
      </c>
      <c r="BP440" t="s">
        <v>74</v>
      </c>
      <c r="BQ440" t="s">
        <v>74</v>
      </c>
      <c r="BR440" t="s">
        <v>103</v>
      </c>
      <c r="BS440" t="s">
        <v>8886</v>
      </c>
      <c r="BT440" t="str">
        <f>HYPERLINK("https%3A%2F%2Fwww.webofscience.com%2Fwos%2Fwoscc%2Ffull-record%2FWOS:000483410100013","View Full Record in Web of Science")</f>
        <v>View Full Record in Web of Science</v>
      </c>
    </row>
    <row r="441" spans="1:72" x14ac:dyDescent="0.15">
      <c r="A441" t="s">
        <v>72</v>
      </c>
      <c r="B441" t="s">
        <v>8887</v>
      </c>
      <c r="C441" t="s">
        <v>74</v>
      </c>
      <c r="D441" t="s">
        <v>74</v>
      </c>
      <c r="E441" t="s">
        <v>74</v>
      </c>
      <c r="F441" t="s">
        <v>8888</v>
      </c>
      <c r="G441" t="s">
        <v>74</v>
      </c>
      <c r="H441" t="s">
        <v>74</v>
      </c>
      <c r="I441" t="s">
        <v>8889</v>
      </c>
      <c r="J441" t="s">
        <v>5241</v>
      </c>
      <c r="K441" t="s">
        <v>74</v>
      </c>
      <c r="L441" t="s">
        <v>74</v>
      </c>
      <c r="M441" t="s">
        <v>78</v>
      </c>
      <c r="N441" t="s">
        <v>108</v>
      </c>
      <c r="O441" t="s">
        <v>74</v>
      </c>
      <c r="P441" t="s">
        <v>74</v>
      </c>
      <c r="Q441" t="s">
        <v>74</v>
      </c>
      <c r="R441" t="s">
        <v>74</v>
      </c>
      <c r="S441" t="s">
        <v>74</v>
      </c>
      <c r="T441" t="s">
        <v>74</v>
      </c>
      <c r="U441" t="s">
        <v>8890</v>
      </c>
      <c r="V441" t="s">
        <v>8891</v>
      </c>
      <c r="W441" t="s">
        <v>8892</v>
      </c>
      <c r="X441" t="s">
        <v>8893</v>
      </c>
      <c r="Y441" t="s">
        <v>8894</v>
      </c>
      <c r="Z441" t="s">
        <v>8895</v>
      </c>
      <c r="AA441" t="s">
        <v>8896</v>
      </c>
      <c r="AB441" t="s">
        <v>8897</v>
      </c>
      <c r="AC441" t="s">
        <v>8898</v>
      </c>
      <c r="AD441" t="s">
        <v>8899</v>
      </c>
      <c r="AE441" t="s">
        <v>8900</v>
      </c>
      <c r="AF441" t="s">
        <v>74</v>
      </c>
      <c r="AG441">
        <v>119</v>
      </c>
      <c r="AH441">
        <v>5</v>
      </c>
      <c r="AI441">
        <v>6</v>
      </c>
      <c r="AJ441">
        <v>2</v>
      </c>
      <c r="AK441">
        <v>39</v>
      </c>
      <c r="AL441" t="s">
        <v>92</v>
      </c>
      <c r="AM441" t="s">
        <v>93</v>
      </c>
      <c r="AN441" t="s">
        <v>94</v>
      </c>
      <c r="AO441" t="s">
        <v>5254</v>
      </c>
      <c r="AP441" t="s">
        <v>5255</v>
      </c>
      <c r="AQ441" t="s">
        <v>74</v>
      </c>
      <c r="AR441" t="s">
        <v>5256</v>
      </c>
      <c r="AS441" t="s">
        <v>5257</v>
      </c>
      <c r="AT441" t="s">
        <v>7543</v>
      </c>
      <c r="AU441">
        <v>2019</v>
      </c>
      <c r="AV441">
        <v>149</v>
      </c>
      <c r="AW441" t="s">
        <v>74</v>
      </c>
      <c r="AX441" t="s">
        <v>74</v>
      </c>
      <c r="AY441" t="s">
        <v>74</v>
      </c>
      <c r="AZ441" t="s">
        <v>74</v>
      </c>
      <c r="BA441" t="s">
        <v>74</v>
      </c>
      <c r="BB441" t="s">
        <v>74</v>
      </c>
      <c r="BC441" t="s">
        <v>74</v>
      </c>
      <c r="BD441">
        <v>103049</v>
      </c>
      <c r="BE441" t="s">
        <v>8901</v>
      </c>
      <c r="BF441" t="str">
        <f>HYPERLINK("http://dx.doi.org/10.1016/j.dsr.2019.05.009","http://dx.doi.org/10.1016/j.dsr.2019.05.009")</f>
        <v>http://dx.doi.org/10.1016/j.dsr.2019.05.009</v>
      </c>
      <c r="BG441" t="s">
        <v>74</v>
      </c>
      <c r="BH441" t="s">
        <v>74</v>
      </c>
      <c r="BI441">
        <v>17</v>
      </c>
      <c r="BJ441" t="s">
        <v>100</v>
      </c>
      <c r="BK441" t="s">
        <v>101</v>
      </c>
      <c r="BL441" t="s">
        <v>100</v>
      </c>
      <c r="BM441" t="s">
        <v>8884</v>
      </c>
      <c r="BN441" t="s">
        <v>74</v>
      </c>
      <c r="BO441" t="s">
        <v>136</v>
      </c>
      <c r="BP441" t="s">
        <v>74</v>
      </c>
      <c r="BQ441" t="s">
        <v>74</v>
      </c>
      <c r="BR441" t="s">
        <v>103</v>
      </c>
      <c r="BS441" t="s">
        <v>8902</v>
      </c>
      <c r="BT441" t="str">
        <f>HYPERLINK("https%3A%2F%2Fwww.webofscience.com%2Fwos%2Fwoscc%2Ffull-record%2FWOS:000483410100008","View Full Record in Web of Science")</f>
        <v>View Full Record in Web of Science</v>
      </c>
    </row>
    <row r="442" spans="1:72" x14ac:dyDescent="0.15">
      <c r="A442" t="s">
        <v>72</v>
      </c>
      <c r="B442" t="s">
        <v>8903</v>
      </c>
      <c r="C442" t="s">
        <v>74</v>
      </c>
      <c r="D442" t="s">
        <v>74</v>
      </c>
      <c r="E442" t="s">
        <v>74</v>
      </c>
      <c r="F442" t="s">
        <v>8904</v>
      </c>
      <c r="G442" t="s">
        <v>74</v>
      </c>
      <c r="H442" t="s">
        <v>74</v>
      </c>
      <c r="I442" t="s">
        <v>8905</v>
      </c>
      <c r="J442" t="s">
        <v>5241</v>
      </c>
      <c r="K442" t="s">
        <v>74</v>
      </c>
      <c r="L442" t="s">
        <v>74</v>
      </c>
      <c r="M442" t="s">
        <v>78</v>
      </c>
      <c r="N442" t="s">
        <v>108</v>
      </c>
      <c r="O442" t="s">
        <v>74</v>
      </c>
      <c r="P442" t="s">
        <v>74</v>
      </c>
      <c r="Q442" t="s">
        <v>74</v>
      </c>
      <c r="R442" t="s">
        <v>74</v>
      </c>
      <c r="S442" t="s">
        <v>74</v>
      </c>
      <c r="T442" t="s">
        <v>8906</v>
      </c>
      <c r="U442" t="s">
        <v>8907</v>
      </c>
      <c r="V442" t="s">
        <v>8908</v>
      </c>
      <c r="W442" t="s">
        <v>8909</v>
      </c>
      <c r="X442" t="s">
        <v>8910</v>
      </c>
      <c r="Y442" t="s">
        <v>8911</v>
      </c>
      <c r="Z442" t="s">
        <v>8912</v>
      </c>
      <c r="AA442" t="s">
        <v>8913</v>
      </c>
      <c r="AB442" t="s">
        <v>8914</v>
      </c>
      <c r="AC442" t="s">
        <v>8915</v>
      </c>
      <c r="AD442" t="s">
        <v>8916</v>
      </c>
      <c r="AE442" t="s">
        <v>8917</v>
      </c>
      <c r="AF442" t="s">
        <v>74</v>
      </c>
      <c r="AG442">
        <v>42</v>
      </c>
      <c r="AH442">
        <v>5</v>
      </c>
      <c r="AI442">
        <v>5</v>
      </c>
      <c r="AJ442">
        <v>0</v>
      </c>
      <c r="AK442">
        <v>9</v>
      </c>
      <c r="AL442" t="s">
        <v>92</v>
      </c>
      <c r="AM442" t="s">
        <v>93</v>
      </c>
      <c r="AN442" t="s">
        <v>94</v>
      </c>
      <c r="AO442" t="s">
        <v>5254</v>
      </c>
      <c r="AP442" t="s">
        <v>5255</v>
      </c>
      <c r="AQ442" t="s">
        <v>74</v>
      </c>
      <c r="AR442" t="s">
        <v>5256</v>
      </c>
      <c r="AS442" t="s">
        <v>5257</v>
      </c>
      <c r="AT442" t="s">
        <v>7543</v>
      </c>
      <c r="AU442">
        <v>2019</v>
      </c>
      <c r="AV442">
        <v>149</v>
      </c>
      <c r="AW442" t="s">
        <v>74</v>
      </c>
      <c r="AX442" t="s">
        <v>74</v>
      </c>
      <c r="AY442" t="s">
        <v>74</v>
      </c>
      <c r="AZ442" t="s">
        <v>74</v>
      </c>
      <c r="BA442" t="s">
        <v>74</v>
      </c>
      <c r="BB442" t="s">
        <v>74</v>
      </c>
      <c r="BC442" t="s">
        <v>74</v>
      </c>
      <c r="BD442">
        <v>103042</v>
      </c>
      <c r="BE442" t="s">
        <v>8918</v>
      </c>
      <c r="BF442" t="str">
        <f>HYPERLINK("http://dx.doi.org/10.1016/j.dsr.2019.05.002","http://dx.doi.org/10.1016/j.dsr.2019.05.002")</f>
        <v>http://dx.doi.org/10.1016/j.dsr.2019.05.002</v>
      </c>
      <c r="BG442" t="s">
        <v>74</v>
      </c>
      <c r="BH442" t="s">
        <v>74</v>
      </c>
      <c r="BI442">
        <v>11</v>
      </c>
      <c r="BJ442" t="s">
        <v>100</v>
      </c>
      <c r="BK442" t="s">
        <v>101</v>
      </c>
      <c r="BL442" t="s">
        <v>100</v>
      </c>
      <c r="BM442" t="s">
        <v>8884</v>
      </c>
      <c r="BN442" t="s">
        <v>74</v>
      </c>
      <c r="BO442" t="s">
        <v>579</v>
      </c>
      <c r="BP442" t="s">
        <v>74</v>
      </c>
      <c r="BQ442" t="s">
        <v>74</v>
      </c>
      <c r="BR442" t="s">
        <v>103</v>
      </c>
      <c r="BS442" t="s">
        <v>8919</v>
      </c>
      <c r="BT442" t="str">
        <f>HYPERLINK("https%3A%2F%2Fwww.webofscience.com%2Fwos%2Fwoscc%2Ffull-record%2FWOS:000483410100011","View Full Record in Web of Science")</f>
        <v>View Full Record in Web of Science</v>
      </c>
    </row>
    <row r="443" spans="1:72" x14ac:dyDescent="0.15">
      <c r="A443" t="s">
        <v>72</v>
      </c>
      <c r="B443" t="s">
        <v>8920</v>
      </c>
      <c r="C443" t="s">
        <v>74</v>
      </c>
      <c r="D443" t="s">
        <v>74</v>
      </c>
      <c r="E443" t="s">
        <v>74</v>
      </c>
      <c r="F443" t="s">
        <v>8921</v>
      </c>
      <c r="G443" t="s">
        <v>74</v>
      </c>
      <c r="H443" t="s">
        <v>74</v>
      </c>
      <c r="I443" t="s">
        <v>8922</v>
      </c>
      <c r="J443" t="s">
        <v>3193</v>
      </c>
      <c r="K443" t="s">
        <v>74</v>
      </c>
      <c r="L443" t="s">
        <v>74</v>
      </c>
      <c r="M443" t="s">
        <v>78</v>
      </c>
      <c r="N443" t="s">
        <v>108</v>
      </c>
      <c r="O443" t="s">
        <v>74</v>
      </c>
      <c r="P443" t="s">
        <v>74</v>
      </c>
      <c r="Q443" t="s">
        <v>74</v>
      </c>
      <c r="R443" t="s">
        <v>74</v>
      </c>
      <c r="S443" t="s">
        <v>74</v>
      </c>
      <c r="T443" t="s">
        <v>8923</v>
      </c>
      <c r="U443" t="s">
        <v>8924</v>
      </c>
      <c r="V443" t="s">
        <v>8925</v>
      </c>
      <c r="W443" t="s">
        <v>8926</v>
      </c>
      <c r="X443" t="s">
        <v>8927</v>
      </c>
      <c r="Y443" t="s">
        <v>8928</v>
      </c>
      <c r="Z443" t="s">
        <v>8929</v>
      </c>
      <c r="AA443" t="s">
        <v>8930</v>
      </c>
      <c r="AB443" t="s">
        <v>8931</v>
      </c>
      <c r="AC443" t="s">
        <v>8932</v>
      </c>
      <c r="AD443" t="s">
        <v>8933</v>
      </c>
      <c r="AE443" t="s">
        <v>8934</v>
      </c>
      <c r="AF443" t="s">
        <v>74</v>
      </c>
      <c r="AG443">
        <v>44</v>
      </c>
      <c r="AH443">
        <v>5</v>
      </c>
      <c r="AI443">
        <v>5</v>
      </c>
      <c r="AJ443">
        <v>0</v>
      </c>
      <c r="AK443">
        <v>5</v>
      </c>
      <c r="AL443" t="s">
        <v>182</v>
      </c>
      <c r="AM443" t="s">
        <v>183</v>
      </c>
      <c r="AN443" t="s">
        <v>184</v>
      </c>
      <c r="AO443" t="s">
        <v>74</v>
      </c>
      <c r="AP443" t="s">
        <v>3207</v>
      </c>
      <c r="AQ443" t="s">
        <v>74</v>
      </c>
      <c r="AR443" t="s">
        <v>3208</v>
      </c>
      <c r="AS443" t="s">
        <v>3209</v>
      </c>
      <c r="AT443" t="s">
        <v>7543</v>
      </c>
      <c r="AU443">
        <v>2019</v>
      </c>
      <c r="AV443">
        <v>124</v>
      </c>
      <c r="AW443">
        <v>7</v>
      </c>
      <c r="AX443" t="s">
        <v>74</v>
      </c>
      <c r="AY443" t="s">
        <v>74</v>
      </c>
      <c r="AZ443" t="s">
        <v>74</v>
      </c>
      <c r="BA443" t="s">
        <v>74</v>
      </c>
      <c r="BB443">
        <v>5082</v>
      </c>
      <c r="BC443">
        <v>5096</v>
      </c>
      <c r="BD443" t="s">
        <v>74</v>
      </c>
      <c r="BE443" t="s">
        <v>8935</v>
      </c>
      <c r="BF443" t="str">
        <f>HYPERLINK("http://dx.doi.org/10.1029/2019JA026559","http://dx.doi.org/10.1029/2019JA026559")</f>
        <v>http://dx.doi.org/10.1029/2019JA026559</v>
      </c>
      <c r="BG443" t="s">
        <v>74</v>
      </c>
      <c r="BH443" t="s">
        <v>74</v>
      </c>
      <c r="BI443">
        <v>15</v>
      </c>
      <c r="BJ443" t="s">
        <v>1696</v>
      </c>
      <c r="BK443" t="s">
        <v>101</v>
      </c>
      <c r="BL443" t="s">
        <v>1696</v>
      </c>
      <c r="BM443" t="s">
        <v>8936</v>
      </c>
      <c r="BN443" t="s">
        <v>74</v>
      </c>
      <c r="BO443" t="s">
        <v>8937</v>
      </c>
      <c r="BP443" t="s">
        <v>74</v>
      </c>
      <c r="BQ443" t="s">
        <v>74</v>
      </c>
      <c r="BR443" t="s">
        <v>103</v>
      </c>
      <c r="BS443" t="s">
        <v>8938</v>
      </c>
      <c r="BT443" t="str">
        <f>HYPERLINK("https%3A%2F%2Fwww.webofscience.com%2Fwos%2Fwoscc%2Ffull-record%2FWOS:000482985600010","View Full Record in Web of Science")</f>
        <v>View Full Record in Web of Science</v>
      </c>
    </row>
    <row r="444" spans="1:72" x14ac:dyDescent="0.15">
      <c r="A444" t="s">
        <v>72</v>
      </c>
      <c r="B444" t="s">
        <v>8939</v>
      </c>
      <c r="C444" t="s">
        <v>74</v>
      </c>
      <c r="D444" t="s">
        <v>74</v>
      </c>
      <c r="E444" t="s">
        <v>74</v>
      </c>
      <c r="F444" t="s">
        <v>8940</v>
      </c>
      <c r="G444" t="s">
        <v>74</v>
      </c>
      <c r="H444" t="s">
        <v>74</v>
      </c>
      <c r="I444" t="s">
        <v>8941</v>
      </c>
      <c r="J444" t="s">
        <v>3193</v>
      </c>
      <c r="K444" t="s">
        <v>74</v>
      </c>
      <c r="L444" t="s">
        <v>74</v>
      </c>
      <c r="M444" t="s">
        <v>78</v>
      </c>
      <c r="N444" t="s">
        <v>108</v>
      </c>
      <c r="O444" t="s">
        <v>74</v>
      </c>
      <c r="P444" t="s">
        <v>74</v>
      </c>
      <c r="Q444" t="s">
        <v>74</v>
      </c>
      <c r="R444" t="s">
        <v>74</v>
      </c>
      <c r="S444" t="s">
        <v>74</v>
      </c>
      <c r="T444" t="s">
        <v>8942</v>
      </c>
      <c r="U444" t="s">
        <v>8943</v>
      </c>
      <c r="V444" t="s">
        <v>8944</v>
      </c>
      <c r="W444" t="s">
        <v>8945</v>
      </c>
      <c r="X444" t="s">
        <v>3440</v>
      </c>
      <c r="Y444" t="s">
        <v>8946</v>
      </c>
      <c r="Z444" t="s">
        <v>8947</v>
      </c>
      <c r="AA444" t="s">
        <v>8948</v>
      </c>
      <c r="AB444" t="s">
        <v>8949</v>
      </c>
      <c r="AC444" t="s">
        <v>8950</v>
      </c>
      <c r="AD444" t="s">
        <v>8951</v>
      </c>
      <c r="AE444" t="s">
        <v>8952</v>
      </c>
      <c r="AF444" t="s">
        <v>74</v>
      </c>
      <c r="AG444">
        <v>53</v>
      </c>
      <c r="AH444">
        <v>41</v>
      </c>
      <c r="AI444">
        <v>43</v>
      </c>
      <c r="AJ444">
        <v>1</v>
      </c>
      <c r="AK444">
        <v>8</v>
      </c>
      <c r="AL444" t="s">
        <v>182</v>
      </c>
      <c r="AM444" t="s">
        <v>183</v>
      </c>
      <c r="AN444" t="s">
        <v>184</v>
      </c>
      <c r="AO444" t="s">
        <v>74</v>
      </c>
      <c r="AP444" t="s">
        <v>3207</v>
      </c>
      <c r="AQ444" t="s">
        <v>74</v>
      </c>
      <c r="AR444" t="s">
        <v>3208</v>
      </c>
      <c r="AS444" t="s">
        <v>3209</v>
      </c>
      <c r="AT444" t="s">
        <v>7543</v>
      </c>
      <c r="AU444">
        <v>2019</v>
      </c>
      <c r="AV444">
        <v>124</v>
      </c>
      <c r="AW444">
        <v>7</v>
      </c>
      <c r="AX444" t="s">
        <v>74</v>
      </c>
      <c r="AY444" t="s">
        <v>74</v>
      </c>
      <c r="AZ444" t="s">
        <v>74</v>
      </c>
      <c r="BA444" t="s">
        <v>74</v>
      </c>
      <c r="BB444">
        <v>5246</v>
      </c>
      <c r="BC444">
        <v>5259</v>
      </c>
      <c r="BD444" t="s">
        <v>74</v>
      </c>
      <c r="BE444" t="s">
        <v>8953</v>
      </c>
      <c r="BF444" t="str">
        <f>HYPERLINK("http://dx.doi.org/10.1029/2019JA026715","http://dx.doi.org/10.1029/2019JA026715")</f>
        <v>http://dx.doi.org/10.1029/2019JA026715</v>
      </c>
      <c r="BG444" t="s">
        <v>74</v>
      </c>
      <c r="BH444" t="s">
        <v>74</v>
      </c>
      <c r="BI444">
        <v>14</v>
      </c>
      <c r="BJ444" t="s">
        <v>1696</v>
      </c>
      <c r="BK444" t="s">
        <v>101</v>
      </c>
      <c r="BL444" t="s">
        <v>1696</v>
      </c>
      <c r="BM444" t="s">
        <v>8936</v>
      </c>
      <c r="BN444" t="s">
        <v>74</v>
      </c>
      <c r="BO444" t="s">
        <v>164</v>
      </c>
      <c r="BP444" t="s">
        <v>74</v>
      </c>
      <c r="BQ444" t="s">
        <v>74</v>
      </c>
      <c r="BR444" t="s">
        <v>103</v>
      </c>
      <c r="BS444" t="s">
        <v>8954</v>
      </c>
      <c r="BT444" t="str">
        <f>HYPERLINK("https%3A%2F%2Fwww.webofscience.com%2Fwos%2Fwoscc%2Ffull-record%2FWOS:000482985600021","View Full Record in Web of Science")</f>
        <v>View Full Record in Web of Science</v>
      </c>
    </row>
    <row r="445" spans="1:72" x14ac:dyDescent="0.15">
      <c r="A445" t="s">
        <v>72</v>
      </c>
      <c r="B445" t="s">
        <v>8955</v>
      </c>
      <c r="C445" t="s">
        <v>74</v>
      </c>
      <c r="D445" t="s">
        <v>74</v>
      </c>
      <c r="E445" t="s">
        <v>74</v>
      </c>
      <c r="F445" t="s">
        <v>8956</v>
      </c>
      <c r="G445" t="s">
        <v>74</v>
      </c>
      <c r="H445" t="s">
        <v>74</v>
      </c>
      <c r="I445" t="s">
        <v>8957</v>
      </c>
      <c r="J445" t="s">
        <v>3193</v>
      </c>
      <c r="K445" t="s">
        <v>74</v>
      </c>
      <c r="L445" t="s">
        <v>74</v>
      </c>
      <c r="M445" t="s">
        <v>78</v>
      </c>
      <c r="N445" t="s">
        <v>108</v>
      </c>
      <c r="O445" t="s">
        <v>74</v>
      </c>
      <c r="P445" t="s">
        <v>74</v>
      </c>
      <c r="Q445" t="s">
        <v>74</v>
      </c>
      <c r="R445" t="s">
        <v>74</v>
      </c>
      <c r="S445" t="s">
        <v>74</v>
      </c>
      <c r="T445" t="s">
        <v>8958</v>
      </c>
      <c r="U445" t="s">
        <v>8959</v>
      </c>
      <c r="V445" t="s">
        <v>8960</v>
      </c>
      <c r="W445" t="s">
        <v>8961</v>
      </c>
      <c r="X445" t="s">
        <v>3440</v>
      </c>
      <c r="Y445" t="s">
        <v>8962</v>
      </c>
      <c r="Z445" t="s">
        <v>8963</v>
      </c>
      <c r="AA445" t="s">
        <v>8948</v>
      </c>
      <c r="AB445" t="s">
        <v>8949</v>
      </c>
      <c r="AC445" t="s">
        <v>8964</v>
      </c>
      <c r="AD445" t="s">
        <v>8965</v>
      </c>
      <c r="AE445" t="s">
        <v>8966</v>
      </c>
      <c r="AF445" t="s">
        <v>74</v>
      </c>
      <c r="AG445">
        <v>53</v>
      </c>
      <c r="AH445">
        <v>35</v>
      </c>
      <c r="AI445">
        <v>36</v>
      </c>
      <c r="AJ445">
        <v>2</v>
      </c>
      <c r="AK445">
        <v>8</v>
      </c>
      <c r="AL445" t="s">
        <v>182</v>
      </c>
      <c r="AM445" t="s">
        <v>183</v>
      </c>
      <c r="AN445" t="s">
        <v>184</v>
      </c>
      <c r="AO445" t="s">
        <v>74</v>
      </c>
      <c r="AP445" t="s">
        <v>3207</v>
      </c>
      <c r="AQ445" t="s">
        <v>74</v>
      </c>
      <c r="AR445" t="s">
        <v>3208</v>
      </c>
      <c r="AS445" t="s">
        <v>3209</v>
      </c>
      <c r="AT445" t="s">
        <v>7543</v>
      </c>
      <c r="AU445">
        <v>2019</v>
      </c>
      <c r="AV445">
        <v>124</v>
      </c>
      <c r="AW445">
        <v>7</v>
      </c>
      <c r="AX445" t="s">
        <v>74</v>
      </c>
      <c r="AY445" t="s">
        <v>74</v>
      </c>
      <c r="AZ445" t="s">
        <v>74</v>
      </c>
      <c r="BA445" t="s">
        <v>74</v>
      </c>
      <c r="BB445">
        <v>5260</v>
      </c>
      <c r="BC445">
        <v>5277</v>
      </c>
      <c r="BD445" t="s">
        <v>74</v>
      </c>
      <c r="BE445" t="s">
        <v>8967</v>
      </c>
      <c r="BF445" t="str">
        <f>HYPERLINK("http://dx.doi.org/10.1029/2019JA026716","http://dx.doi.org/10.1029/2019JA026716")</f>
        <v>http://dx.doi.org/10.1029/2019JA026716</v>
      </c>
      <c r="BG445" t="s">
        <v>74</v>
      </c>
      <c r="BH445" t="s">
        <v>74</v>
      </c>
      <c r="BI445">
        <v>18</v>
      </c>
      <c r="BJ445" t="s">
        <v>1696</v>
      </c>
      <c r="BK445" t="s">
        <v>101</v>
      </c>
      <c r="BL445" t="s">
        <v>1696</v>
      </c>
      <c r="BM445" t="s">
        <v>8936</v>
      </c>
      <c r="BN445" t="s">
        <v>74</v>
      </c>
      <c r="BO445" t="s">
        <v>164</v>
      </c>
      <c r="BP445" t="s">
        <v>74</v>
      </c>
      <c r="BQ445" t="s">
        <v>74</v>
      </c>
      <c r="BR445" t="s">
        <v>103</v>
      </c>
      <c r="BS445" t="s">
        <v>8968</v>
      </c>
      <c r="BT445" t="str">
        <f>HYPERLINK("https%3A%2F%2Fwww.webofscience.com%2Fwos%2Fwoscc%2Ffull-record%2FWOS:000482985600022","View Full Record in Web of Science")</f>
        <v>View Full Record in Web of Science</v>
      </c>
    </row>
    <row r="446" spans="1:72" x14ac:dyDescent="0.15">
      <c r="A446" t="s">
        <v>72</v>
      </c>
      <c r="B446" t="s">
        <v>8969</v>
      </c>
      <c r="C446" t="s">
        <v>74</v>
      </c>
      <c r="D446" t="s">
        <v>74</v>
      </c>
      <c r="E446" t="s">
        <v>74</v>
      </c>
      <c r="F446" t="s">
        <v>8970</v>
      </c>
      <c r="G446" t="s">
        <v>74</v>
      </c>
      <c r="H446" t="s">
        <v>74</v>
      </c>
      <c r="I446" t="s">
        <v>8971</v>
      </c>
      <c r="J446" t="s">
        <v>3193</v>
      </c>
      <c r="K446" t="s">
        <v>74</v>
      </c>
      <c r="L446" t="s">
        <v>74</v>
      </c>
      <c r="M446" t="s">
        <v>78</v>
      </c>
      <c r="N446" t="s">
        <v>108</v>
      </c>
      <c r="O446" t="s">
        <v>74</v>
      </c>
      <c r="P446" t="s">
        <v>74</v>
      </c>
      <c r="Q446" t="s">
        <v>74</v>
      </c>
      <c r="R446" t="s">
        <v>74</v>
      </c>
      <c r="S446" t="s">
        <v>74</v>
      </c>
      <c r="T446" t="s">
        <v>8972</v>
      </c>
      <c r="U446" t="s">
        <v>8973</v>
      </c>
      <c r="V446" t="s">
        <v>8974</v>
      </c>
      <c r="W446" t="s">
        <v>8975</v>
      </c>
      <c r="X446" t="s">
        <v>8976</v>
      </c>
      <c r="Y446" t="s">
        <v>8977</v>
      </c>
      <c r="Z446" t="s">
        <v>8978</v>
      </c>
      <c r="AA446" t="s">
        <v>8979</v>
      </c>
      <c r="AB446" t="s">
        <v>8980</v>
      </c>
      <c r="AC446" t="s">
        <v>8981</v>
      </c>
      <c r="AD446" t="s">
        <v>8982</v>
      </c>
      <c r="AE446" t="s">
        <v>8983</v>
      </c>
      <c r="AF446" t="s">
        <v>74</v>
      </c>
      <c r="AG446">
        <v>33</v>
      </c>
      <c r="AH446">
        <v>18</v>
      </c>
      <c r="AI446">
        <v>20</v>
      </c>
      <c r="AJ446">
        <v>0</v>
      </c>
      <c r="AK446">
        <v>6</v>
      </c>
      <c r="AL446" t="s">
        <v>182</v>
      </c>
      <c r="AM446" t="s">
        <v>183</v>
      </c>
      <c r="AN446" t="s">
        <v>184</v>
      </c>
      <c r="AO446" t="s">
        <v>74</v>
      </c>
      <c r="AP446" t="s">
        <v>3207</v>
      </c>
      <c r="AQ446" t="s">
        <v>74</v>
      </c>
      <c r="AR446" t="s">
        <v>3208</v>
      </c>
      <c r="AS446" t="s">
        <v>3209</v>
      </c>
      <c r="AT446" t="s">
        <v>7543</v>
      </c>
      <c r="AU446">
        <v>2019</v>
      </c>
      <c r="AV446">
        <v>124</v>
      </c>
      <c r="AW446">
        <v>7</v>
      </c>
      <c r="AX446" t="s">
        <v>74</v>
      </c>
      <c r="AY446" t="s">
        <v>74</v>
      </c>
      <c r="AZ446" t="s">
        <v>74</v>
      </c>
      <c r="BA446" t="s">
        <v>74</v>
      </c>
      <c r="BB446">
        <v>5627</v>
      </c>
      <c r="BC446">
        <v>5640</v>
      </c>
      <c r="BD446" t="s">
        <v>74</v>
      </c>
      <c r="BE446" t="s">
        <v>8984</v>
      </c>
      <c r="BF446" t="str">
        <f>HYPERLINK("http://dx.doi.org/10.1029/2019JA026757","http://dx.doi.org/10.1029/2019JA026757")</f>
        <v>http://dx.doi.org/10.1029/2019JA026757</v>
      </c>
      <c r="BG446" t="s">
        <v>74</v>
      </c>
      <c r="BH446" t="s">
        <v>74</v>
      </c>
      <c r="BI446">
        <v>14</v>
      </c>
      <c r="BJ446" t="s">
        <v>1696</v>
      </c>
      <c r="BK446" t="s">
        <v>101</v>
      </c>
      <c r="BL446" t="s">
        <v>1696</v>
      </c>
      <c r="BM446" t="s">
        <v>8936</v>
      </c>
      <c r="BN446" t="s">
        <v>74</v>
      </c>
      <c r="BO446" t="s">
        <v>555</v>
      </c>
      <c r="BP446" t="s">
        <v>74</v>
      </c>
      <c r="BQ446" t="s">
        <v>74</v>
      </c>
      <c r="BR446" t="s">
        <v>103</v>
      </c>
      <c r="BS446" t="s">
        <v>8985</v>
      </c>
      <c r="BT446" t="str">
        <f>HYPERLINK("https%3A%2F%2Fwww.webofscience.com%2Fwos%2Fwoscc%2Ffull-record%2FWOS:000482985600043","View Full Record in Web of Science")</f>
        <v>View Full Record in Web of Science</v>
      </c>
    </row>
    <row r="447" spans="1:72" x14ac:dyDescent="0.15">
      <c r="A447" t="s">
        <v>72</v>
      </c>
      <c r="B447" t="s">
        <v>8986</v>
      </c>
      <c r="C447" t="s">
        <v>74</v>
      </c>
      <c r="D447" t="s">
        <v>74</v>
      </c>
      <c r="E447" t="s">
        <v>74</v>
      </c>
      <c r="F447" t="s">
        <v>8987</v>
      </c>
      <c r="G447" t="s">
        <v>74</v>
      </c>
      <c r="H447" t="s">
        <v>74</v>
      </c>
      <c r="I447" t="s">
        <v>8988</v>
      </c>
      <c r="J447" t="s">
        <v>3193</v>
      </c>
      <c r="K447" t="s">
        <v>74</v>
      </c>
      <c r="L447" t="s">
        <v>74</v>
      </c>
      <c r="M447" t="s">
        <v>78</v>
      </c>
      <c r="N447" t="s">
        <v>108</v>
      </c>
      <c r="O447" t="s">
        <v>74</v>
      </c>
      <c r="P447" t="s">
        <v>74</v>
      </c>
      <c r="Q447" t="s">
        <v>74</v>
      </c>
      <c r="R447" t="s">
        <v>74</v>
      </c>
      <c r="S447" t="s">
        <v>74</v>
      </c>
      <c r="T447" t="s">
        <v>8989</v>
      </c>
      <c r="U447" t="s">
        <v>8990</v>
      </c>
      <c r="V447" t="s">
        <v>8991</v>
      </c>
      <c r="W447" t="s">
        <v>8992</v>
      </c>
      <c r="X447" t="s">
        <v>8993</v>
      </c>
      <c r="Y447" t="s">
        <v>8994</v>
      </c>
      <c r="Z447" t="s">
        <v>8995</v>
      </c>
      <c r="AA447" t="s">
        <v>8996</v>
      </c>
      <c r="AB447" t="s">
        <v>8997</v>
      </c>
      <c r="AC447" t="s">
        <v>8998</v>
      </c>
      <c r="AD447" t="s">
        <v>8999</v>
      </c>
      <c r="AE447" t="s">
        <v>9000</v>
      </c>
      <c r="AF447" t="s">
        <v>74</v>
      </c>
      <c r="AG447">
        <v>58</v>
      </c>
      <c r="AH447">
        <v>29</v>
      </c>
      <c r="AI447">
        <v>30</v>
      </c>
      <c r="AJ447">
        <v>2</v>
      </c>
      <c r="AK447">
        <v>9</v>
      </c>
      <c r="AL447" t="s">
        <v>182</v>
      </c>
      <c r="AM447" t="s">
        <v>183</v>
      </c>
      <c r="AN447" t="s">
        <v>184</v>
      </c>
      <c r="AO447" t="s">
        <v>3206</v>
      </c>
      <c r="AP447" t="s">
        <v>3207</v>
      </c>
      <c r="AQ447" t="s">
        <v>74</v>
      </c>
      <c r="AR447" t="s">
        <v>3208</v>
      </c>
      <c r="AS447" t="s">
        <v>3209</v>
      </c>
      <c r="AT447" t="s">
        <v>7543</v>
      </c>
      <c r="AU447">
        <v>2019</v>
      </c>
      <c r="AV447">
        <v>124</v>
      </c>
      <c r="AW447">
        <v>7</v>
      </c>
      <c r="AX447" t="s">
        <v>74</v>
      </c>
      <c r="AY447" t="s">
        <v>74</v>
      </c>
      <c r="AZ447" t="s">
        <v>74</v>
      </c>
      <c r="BA447" t="s">
        <v>74</v>
      </c>
      <c r="BB447">
        <v>5828</v>
      </c>
      <c r="BC447">
        <v>5847</v>
      </c>
      <c r="BD447" t="s">
        <v>74</v>
      </c>
      <c r="BE447" t="s">
        <v>9001</v>
      </c>
      <c r="BF447" t="str">
        <f>HYPERLINK("http://dx.doi.org/10.1029/2019JA026816","http://dx.doi.org/10.1029/2019JA026816")</f>
        <v>http://dx.doi.org/10.1029/2019JA026816</v>
      </c>
      <c r="BG447" t="s">
        <v>74</v>
      </c>
      <c r="BH447" t="s">
        <v>74</v>
      </c>
      <c r="BI447">
        <v>20</v>
      </c>
      <c r="BJ447" t="s">
        <v>1696</v>
      </c>
      <c r="BK447" t="s">
        <v>101</v>
      </c>
      <c r="BL447" t="s">
        <v>1696</v>
      </c>
      <c r="BM447" t="s">
        <v>8936</v>
      </c>
      <c r="BN447" t="s">
        <v>74</v>
      </c>
      <c r="BO447" t="s">
        <v>984</v>
      </c>
      <c r="BP447" t="s">
        <v>74</v>
      </c>
      <c r="BQ447" t="s">
        <v>74</v>
      </c>
      <c r="BR447" t="s">
        <v>103</v>
      </c>
      <c r="BS447" t="s">
        <v>9002</v>
      </c>
      <c r="BT447" t="str">
        <f>HYPERLINK("https%3A%2F%2Fwww.webofscience.com%2Fwos%2Fwoscc%2Ffull-record%2FWOS:000482985600055","View Full Record in Web of Science")</f>
        <v>View Full Record in Web of Science</v>
      </c>
    </row>
    <row r="448" spans="1:72" x14ac:dyDescent="0.15">
      <c r="A448" t="s">
        <v>72</v>
      </c>
      <c r="B448" t="s">
        <v>9003</v>
      </c>
      <c r="C448" t="s">
        <v>74</v>
      </c>
      <c r="D448" t="s">
        <v>74</v>
      </c>
      <c r="E448" t="s">
        <v>74</v>
      </c>
      <c r="F448" t="s">
        <v>9004</v>
      </c>
      <c r="G448" t="s">
        <v>74</v>
      </c>
      <c r="H448" t="s">
        <v>74</v>
      </c>
      <c r="I448" t="s">
        <v>9005</v>
      </c>
      <c r="J448" t="s">
        <v>3193</v>
      </c>
      <c r="K448" t="s">
        <v>74</v>
      </c>
      <c r="L448" t="s">
        <v>74</v>
      </c>
      <c r="M448" t="s">
        <v>78</v>
      </c>
      <c r="N448" t="s">
        <v>108</v>
      </c>
      <c r="O448" t="s">
        <v>74</v>
      </c>
      <c r="P448" t="s">
        <v>74</v>
      </c>
      <c r="Q448" t="s">
        <v>74</v>
      </c>
      <c r="R448" t="s">
        <v>74</v>
      </c>
      <c r="S448" t="s">
        <v>74</v>
      </c>
      <c r="T448" t="s">
        <v>9006</v>
      </c>
      <c r="U448" t="s">
        <v>9007</v>
      </c>
      <c r="V448" t="s">
        <v>9008</v>
      </c>
      <c r="W448" t="s">
        <v>9009</v>
      </c>
      <c r="X448" t="s">
        <v>9010</v>
      </c>
      <c r="Y448" t="s">
        <v>9011</v>
      </c>
      <c r="Z448" t="s">
        <v>9012</v>
      </c>
      <c r="AA448" t="s">
        <v>9013</v>
      </c>
      <c r="AB448" t="s">
        <v>9014</v>
      </c>
      <c r="AC448" t="s">
        <v>9015</v>
      </c>
      <c r="AD448" t="s">
        <v>9016</v>
      </c>
      <c r="AE448" t="s">
        <v>9017</v>
      </c>
      <c r="AF448" t="s">
        <v>74</v>
      </c>
      <c r="AG448">
        <v>48</v>
      </c>
      <c r="AH448">
        <v>12</v>
      </c>
      <c r="AI448">
        <v>12</v>
      </c>
      <c r="AJ448">
        <v>0</v>
      </c>
      <c r="AK448">
        <v>2</v>
      </c>
      <c r="AL448" t="s">
        <v>182</v>
      </c>
      <c r="AM448" t="s">
        <v>183</v>
      </c>
      <c r="AN448" t="s">
        <v>184</v>
      </c>
      <c r="AO448" t="s">
        <v>74</v>
      </c>
      <c r="AP448" t="s">
        <v>3207</v>
      </c>
      <c r="AQ448" t="s">
        <v>74</v>
      </c>
      <c r="AR448" t="s">
        <v>3208</v>
      </c>
      <c r="AS448" t="s">
        <v>3209</v>
      </c>
      <c r="AT448" t="s">
        <v>7543</v>
      </c>
      <c r="AU448">
        <v>2019</v>
      </c>
      <c r="AV448">
        <v>124</v>
      </c>
      <c r="AW448">
        <v>7</v>
      </c>
      <c r="AX448" t="s">
        <v>74</v>
      </c>
      <c r="AY448" t="s">
        <v>74</v>
      </c>
      <c r="AZ448" t="s">
        <v>74</v>
      </c>
      <c r="BA448" t="s">
        <v>74</v>
      </c>
      <c r="BB448">
        <v>6182</v>
      </c>
      <c r="BC448">
        <v>6194</v>
      </c>
      <c r="BD448" t="s">
        <v>74</v>
      </c>
      <c r="BE448" t="s">
        <v>9018</v>
      </c>
      <c r="BF448" t="str">
        <f>HYPERLINK("http://dx.doi.org/10.1029/2019JA026641","http://dx.doi.org/10.1029/2019JA026641")</f>
        <v>http://dx.doi.org/10.1029/2019JA026641</v>
      </c>
      <c r="BG448" t="s">
        <v>74</v>
      </c>
      <c r="BH448" t="s">
        <v>74</v>
      </c>
      <c r="BI448">
        <v>13</v>
      </c>
      <c r="BJ448" t="s">
        <v>1696</v>
      </c>
      <c r="BK448" t="s">
        <v>101</v>
      </c>
      <c r="BL448" t="s">
        <v>1696</v>
      </c>
      <c r="BM448" t="s">
        <v>8936</v>
      </c>
      <c r="BN448" t="s">
        <v>74</v>
      </c>
      <c r="BO448" t="s">
        <v>9019</v>
      </c>
      <c r="BP448" t="s">
        <v>74</v>
      </c>
      <c r="BQ448" t="s">
        <v>74</v>
      </c>
      <c r="BR448" t="s">
        <v>103</v>
      </c>
      <c r="BS448" t="s">
        <v>9020</v>
      </c>
      <c r="BT448" t="str">
        <f>HYPERLINK("https%3A%2F%2Fwww.webofscience.com%2Fwos%2Fwoscc%2Ffull-record%2FWOS:000482985600078","View Full Record in Web of Science")</f>
        <v>View Full Record in Web of Science</v>
      </c>
    </row>
    <row r="449" spans="1:72" x14ac:dyDescent="0.15">
      <c r="A449" t="s">
        <v>72</v>
      </c>
      <c r="B449" t="s">
        <v>9021</v>
      </c>
      <c r="C449" t="s">
        <v>74</v>
      </c>
      <c r="D449" t="s">
        <v>74</v>
      </c>
      <c r="E449" t="s">
        <v>74</v>
      </c>
      <c r="F449" t="s">
        <v>9022</v>
      </c>
      <c r="G449" t="s">
        <v>74</v>
      </c>
      <c r="H449" t="s">
        <v>74</v>
      </c>
      <c r="I449" t="s">
        <v>9023</v>
      </c>
      <c r="J449" t="s">
        <v>3193</v>
      </c>
      <c r="K449" t="s">
        <v>74</v>
      </c>
      <c r="L449" t="s">
        <v>74</v>
      </c>
      <c r="M449" t="s">
        <v>78</v>
      </c>
      <c r="N449" t="s">
        <v>108</v>
      </c>
      <c r="O449" t="s">
        <v>74</v>
      </c>
      <c r="P449" t="s">
        <v>74</v>
      </c>
      <c r="Q449" t="s">
        <v>74</v>
      </c>
      <c r="R449" t="s">
        <v>74</v>
      </c>
      <c r="S449" t="s">
        <v>74</v>
      </c>
      <c r="T449" t="s">
        <v>9024</v>
      </c>
      <c r="U449" t="s">
        <v>9025</v>
      </c>
      <c r="V449" t="s">
        <v>9026</v>
      </c>
      <c r="W449" t="s">
        <v>9027</v>
      </c>
      <c r="X449" t="s">
        <v>9028</v>
      </c>
      <c r="Y449" t="s">
        <v>9029</v>
      </c>
      <c r="Z449" t="s">
        <v>9030</v>
      </c>
      <c r="AA449" t="s">
        <v>9031</v>
      </c>
      <c r="AB449" t="s">
        <v>9032</v>
      </c>
      <c r="AC449" t="s">
        <v>9033</v>
      </c>
      <c r="AD449" t="s">
        <v>9034</v>
      </c>
      <c r="AE449" t="s">
        <v>9035</v>
      </c>
      <c r="AF449" t="s">
        <v>74</v>
      </c>
      <c r="AG449">
        <v>54</v>
      </c>
      <c r="AH449">
        <v>11</v>
      </c>
      <c r="AI449">
        <v>12</v>
      </c>
      <c r="AJ449">
        <v>0</v>
      </c>
      <c r="AK449">
        <v>4</v>
      </c>
      <c r="AL449" t="s">
        <v>182</v>
      </c>
      <c r="AM449" t="s">
        <v>183</v>
      </c>
      <c r="AN449" t="s">
        <v>184</v>
      </c>
      <c r="AO449" t="s">
        <v>74</v>
      </c>
      <c r="AP449" t="s">
        <v>3207</v>
      </c>
      <c r="AQ449" t="s">
        <v>74</v>
      </c>
      <c r="AR449" t="s">
        <v>3208</v>
      </c>
      <c r="AS449" t="s">
        <v>3209</v>
      </c>
      <c r="AT449" t="s">
        <v>7543</v>
      </c>
      <c r="AU449">
        <v>2019</v>
      </c>
      <c r="AV449">
        <v>124</v>
      </c>
      <c r="AW449">
        <v>7</v>
      </c>
      <c r="AX449" t="s">
        <v>74</v>
      </c>
      <c r="AY449" t="s">
        <v>74</v>
      </c>
      <c r="AZ449" t="s">
        <v>74</v>
      </c>
      <c r="BA449" t="s">
        <v>74</v>
      </c>
      <c r="BB449">
        <v>6195</v>
      </c>
      <c r="BC449">
        <v>6211</v>
      </c>
      <c r="BD449" t="s">
        <v>74</v>
      </c>
      <c r="BE449" t="s">
        <v>9036</v>
      </c>
      <c r="BF449" t="str">
        <f>HYPERLINK("http://dx.doi.org/10.1029/2019JA026543","http://dx.doi.org/10.1029/2019JA026543")</f>
        <v>http://dx.doi.org/10.1029/2019JA026543</v>
      </c>
      <c r="BG449" t="s">
        <v>74</v>
      </c>
      <c r="BH449" t="s">
        <v>74</v>
      </c>
      <c r="BI449">
        <v>17</v>
      </c>
      <c r="BJ449" t="s">
        <v>1696</v>
      </c>
      <c r="BK449" t="s">
        <v>101</v>
      </c>
      <c r="BL449" t="s">
        <v>1696</v>
      </c>
      <c r="BM449" t="s">
        <v>8936</v>
      </c>
      <c r="BN449" t="s">
        <v>74</v>
      </c>
      <c r="BO449" t="s">
        <v>9037</v>
      </c>
      <c r="BP449" t="s">
        <v>74</v>
      </c>
      <c r="BQ449" t="s">
        <v>74</v>
      </c>
      <c r="BR449" t="s">
        <v>103</v>
      </c>
      <c r="BS449" t="s">
        <v>9038</v>
      </c>
      <c r="BT449" t="str">
        <f>HYPERLINK("https%3A%2F%2Fwww.webofscience.com%2Fwos%2Fwoscc%2Ffull-record%2FWOS:000482985600079","View Full Record in Web of Science")</f>
        <v>View Full Record in Web of Science</v>
      </c>
    </row>
    <row r="450" spans="1:72" x14ac:dyDescent="0.15">
      <c r="A450" t="s">
        <v>72</v>
      </c>
      <c r="B450" t="s">
        <v>9039</v>
      </c>
      <c r="C450" t="s">
        <v>74</v>
      </c>
      <c r="D450" t="s">
        <v>74</v>
      </c>
      <c r="E450" t="s">
        <v>74</v>
      </c>
      <c r="F450" t="s">
        <v>9040</v>
      </c>
      <c r="G450" t="s">
        <v>74</v>
      </c>
      <c r="H450" t="s">
        <v>74</v>
      </c>
      <c r="I450" t="s">
        <v>9041</v>
      </c>
      <c r="J450" t="s">
        <v>3193</v>
      </c>
      <c r="K450" t="s">
        <v>74</v>
      </c>
      <c r="L450" t="s">
        <v>74</v>
      </c>
      <c r="M450" t="s">
        <v>78</v>
      </c>
      <c r="N450" t="s">
        <v>108</v>
      </c>
      <c r="O450" t="s">
        <v>74</v>
      </c>
      <c r="P450" t="s">
        <v>74</v>
      </c>
      <c r="Q450" t="s">
        <v>74</v>
      </c>
      <c r="R450" t="s">
        <v>74</v>
      </c>
      <c r="S450" t="s">
        <v>74</v>
      </c>
      <c r="T450" t="s">
        <v>9042</v>
      </c>
      <c r="U450" t="s">
        <v>9043</v>
      </c>
      <c r="V450" t="s">
        <v>9044</v>
      </c>
      <c r="W450" t="s">
        <v>9045</v>
      </c>
      <c r="X450" t="s">
        <v>9046</v>
      </c>
      <c r="Y450" t="s">
        <v>9047</v>
      </c>
      <c r="Z450" t="s">
        <v>9048</v>
      </c>
      <c r="AA450" t="s">
        <v>9049</v>
      </c>
      <c r="AB450" t="s">
        <v>9050</v>
      </c>
      <c r="AC450" t="s">
        <v>9051</v>
      </c>
      <c r="AD450" t="s">
        <v>9052</v>
      </c>
      <c r="AE450" t="s">
        <v>9053</v>
      </c>
      <c r="AF450" t="s">
        <v>74</v>
      </c>
      <c r="AG450">
        <v>52</v>
      </c>
      <c r="AH450">
        <v>18</v>
      </c>
      <c r="AI450">
        <v>19</v>
      </c>
      <c r="AJ450">
        <v>0</v>
      </c>
      <c r="AK450">
        <v>3</v>
      </c>
      <c r="AL450" t="s">
        <v>182</v>
      </c>
      <c r="AM450" t="s">
        <v>183</v>
      </c>
      <c r="AN450" t="s">
        <v>184</v>
      </c>
      <c r="AO450" t="s">
        <v>74</v>
      </c>
      <c r="AP450" t="s">
        <v>3207</v>
      </c>
      <c r="AQ450" t="s">
        <v>74</v>
      </c>
      <c r="AR450" t="s">
        <v>3208</v>
      </c>
      <c r="AS450" t="s">
        <v>3209</v>
      </c>
      <c r="AT450" t="s">
        <v>7543</v>
      </c>
      <c r="AU450">
        <v>2019</v>
      </c>
      <c r="AV450">
        <v>124</v>
      </c>
      <c r="AW450">
        <v>7</v>
      </c>
      <c r="AX450" t="s">
        <v>74</v>
      </c>
      <c r="AY450" t="s">
        <v>74</v>
      </c>
      <c r="AZ450" t="s">
        <v>74</v>
      </c>
      <c r="BA450" t="s">
        <v>74</v>
      </c>
      <c r="BB450">
        <v>6253</v>
      </c>
      <c r="BC450">
        <v>6265</v>
      </c>
      <c r="BD450" t="s">
        <v>74</v>
      </c>
      <c r="BE450" t="s">
        <v>9054</v>
      </c>
      <c r="BF450" t="str">
        <f>HYPERLINK("http://dx.doi.org/10.1029/2018JA026437","http://dx.doi.org/10.1029/2018JA026437")</f>
        <v>http://dx.doi.org/10.1029/2018JA026437</v>
      </c>
      <c r="BG450" t="s">
        <v>74</v>
      </c>
      <c r="BH450" t="s">
        <v>74</v>
      </c>
      <c r="BI450">
        <v>13</v>
      </c>
      <c r="BJ450" t="s">
        <v>1696</v>
      </c>
      <c r="BK450" t="s">
        <v>101</v>
      </c>
      <c r="BL450" t="s">
        <v>1696</v>
      </c>
      <c r="BM450" t="s">
        <v>8936</v>
      </c>
      <c r="BN450" t="s">
        <v>74</v>
      </c>
      <c r="BO450" t="s">
        <v>9055</v>
      </c>
      <c r="BP450" t="s">
        <v>74</v>
      </c>
      <c r="BQ450" t="s">
        <v>74</v>
      </c>
      <c r="BR450" t="s">
        <v>103</v>
      </c>
      <c r="BS450" t="s">
        <v>9056</v>
      </c>
      <c r="BT450" t="str">
        <f>HYPERLINK("https%3A%2F%2Fwww.webofscience.com%2Fwos%2Fwoscc%2Ffull-record%2FWOS:000482985600083","View Full Record in Web of Science")</f>
        <v>View Full Record in Web of Science</v>
      </c>
    </row>
    <row r="451" spans="1:72" x14ac:dyDescent="0.15">
      <c r="A451" t="s">
        <v>72</v>
      </c>
      <c r="B451" t="s">
        <v>9057</v>
      </c>
      <c r="C451" t="s">
        <v>74</v>
      </c>
      <c r="D451" t="s">
        <v>74</v>
      </c>
      <c r="E451" t="s">
        <v>74</v>
      </c>
      <c r="F451" t="s">
        <v>9058</v>
      </c>
      <c r="G451" t="s">
        <v>74</v>
      </c>
      <c r="H451" t="s">
        <v>74</v>
      </c>
      <c r="I451" t="s">
        <v>9059</v>
      </c>
      <c r="J451" t="s">
        <v>3193</v>
      </c>
      <c r="K451" t="s">
        <v>74</v>
      </c>
      <c r="L451" t="s">
        <v>74</v>
      </c>
      <c r="M451" t="s">
        <v>78</v>
      </c>
      <c r="N451" t="s">
        <v>108</v>
      </c>
      <c r="O451" t="s">
        <v>74</v>
      </c>
      <c r="P451" t="s">
        <v>74</v>
      </c>
      <c r="Q451" t="s">
        <v>74</v>
      </c>
      <c r="R451" t="s">
        <v>74</v>
      </c>
      <c r="S451" t="s">
        <v>74</v>
      </c>
      <c r="T451" t="s">
        <v>9060</v>
      </c>
      <c r="U451" t="s">
        <v>9061</v>
      </c>
      <c r="V451" t="s">
        <v>9062</v>
      </c>
      <c r="W451" t="s">
        <v>9063</v>
      </c>
      <c r="X451" t="s">
        <v>9064</v>
      </c>
      <c r="Y451" t="s">
        <v>9011</v>
      </c>
      <c r="Z451" t="s">
        <v>9012</v>
      </c>
      <c r="AA451" t="s">
        <v>9065</v>
      </c>
      <c r="AB451" t="s">
        <v>9066</v>
      </c>
      <c r="AC451" t="s">
        <v>9015</v>
      </c>
      <c r="AD451" t="s">
        <v>9016</v>
      </c>
      <c r="AE451" t="s">
        <v>9067</v>
      </c>
      <c r="AF451" t="s">
        <v>74</v>
      </c>
      <c r="AG451">
        <v>29</v>
      </c>
      <c r="AH451">
        <v>9</v>
      </c>
      <c r="AI451">
        <v>9</v>
      </c>
      <c r="AJ451">
        <v>0</v>
      </c>
      <c r="AK451">
        <v>6</v>
      </c>
      <c r="AL451" t="s">
        <v>182</v>
      </c>
      <c r="AM451" t="s">
        <v>183</v>
      </c>
      <c r="AN451" t="s">
        <v>184</v>
      </c>
      <c r="AO451" t="s">
        <v>74</v>
      </c>
      <c r="AP451" t="s">
        <v>3207</v>
      </c>
      <c r="AQ451" t="s">
        <v>74</v>
      </c>
      <c r="AR451" t="s">
        <v>3208</v>
      </c>
      <c r="AS451" t="s">
        <v>3209</v>
      </c>
      <c r="AT451" t="s">
        <v>7543</v>
      </c>
      <c r="AU451">
        <v>2019</v>
      </c>
      <c r="AV451">
        <v>124</v>
      </c>
      <c r="AW451">
        <v>7</v>
      </c>
      <c r="AX451" t="s">
        <v>74</v>
      </c>
      <c r="AY451" t="s">
        <v>74</v>
      </c>
      <c r="AZ451" t="s">
        <v>74</v>
      </c>
      <c r="BA451" t="s">
        <v>74</v>
      </c>
      <c r="BB451">
        <v>6343</v>
      </c>
      <c r="BC451">
        <v>6357</v>
      </c>
      <c r="BD451" t="s">
        <v>74</v>
      </c>
      <c r="BE451" t="s">
        <v>9068</v>
      </c>
      <c r="BF451" t="str">
        <f>HYPERLINK("http://dx.doi.org/10.1029/2019JA026634","http://dx.doi.org/10.1029/2019JA026634")</f>
        <v>http://dx.doi.org/10.1029/2019JA026634</v>
      </c>
      <c r="BG451" t="s">
        <v>74</v>
      </c>
      <c r="BH451" t="s">
        <v>74</v>
      </c>
      <c r="BI451">
        <v>15</v>
      </c>
      <c r="BJ451" t="s">
        <v>1696</v>
      </c>
      <c r="BK451" t="s">
        <v>101</v>
      </c>
      <c r="BL451" t="s">
        <v>1696</v>
      </c>
      <c r="BM451" t="s">
        <v>8936</v>
      </c>
      <c r="BN451" t="s">
        <v>74</v>
      </c>
      <c r="BO451" t="s">
        <v>7428</v>
      </c>
      <c r="BP451" t="s">
        <v>74</v>
      </c>
      <c r="BQ451" t="s">
        <v>74</v>
      </c>
      <c r="BR451" t="s">
        <v>103</v>
      </c>
      <c r="BS451" t="s">
        <v>9069</v>
      </c>
      <c r="BT451" t="str">
        <f>HYPERLINK("https%3A%2F%2Fwww.webofscience.com%2Fwos%2Fwoscc%2Ffull-record%2FWOS:000482985600091","View Full Record in Web of Science")</f>
        <v>View Full Record in Web of Science</v>
      </c>
    </row>
    <row r="452" spans="1:72" x14ac:dyDescent="0.15">
      <c r="A452" t="s">
        <v>72</v>
      </c>
      <c r="B452" t="s">
        <v>9070</v>
      </c>
      <c r="C452" t="s">
        <v>74</v>
      </c>
      <c r="D452" t="s">
        <v>74</v>
      </c>
      <c r="E452" t="s">
        <v>74</v>
      </c>
      <c r="F452" t="s">
        <v>9071</v>
      </c>
      <c r="G452" t="s">
        <v>74</v>
      </c>
      <c r="H452" t="s">
        <v>74</v>
      </c>
      <c r="I452" t="s">
        <v>9072</v>
      </c>
      <c r="J452" t="s">
        <v>3380</v>
      </c>
      <c r="K452" t="s">
        <v>74</v>
      </c>
      <c r="L452" t="s">
        <v>74</v>
      </c>
      <c r="M452" t="s">
        <v>78</v>
      </c>
      <c r="N452" t="s">
        <v>108</v>
      </c>
      <c r="O452" t="s">
        <v>74</v>
      </c>
      <c r="P452" t="s">
        <v>74</v>
      </c>
      <c r="Q452" t="s">
        <v>74</v>
      </c>
      <c r="R452" t="s">
        <v>74</v>
      </c>
      <c r="S452" t="s">
        <v>74</v>
      </c>
      <c r="T452" t="s">
        <v>9073</v>
      </c>
      <c r="U452" t="s">
        <v>9074</v>
      </c>
      <c r="V452" t="s">
        <v>9075</v>
      </c>
      <c r="W452" t="s">
        <v>9076</v>
      </c>
      <c r="X452" t="s">
        <v>9077</v>
      </c>
      <c r="Y452" t="s">
        <v>9078</v>
      </c>
      <c r="Z452" t="s">
        <v>9079</v>
      </c>
      <c r="AA452" t="s">
        <v>9080</v>
      </c>
      <c r="AB452" t="s">
        <v>9081</v>
      </c>
      <c r="AC452" t="s">
        <v>9082</v>
      </c>
      <c r="AD452" t="s">
        <v>9083</v>
      </c>
      <c r="AE452" t="s">
        <v>9084</v>
      </c>
      <c r="AF452" t="s">
        <v>74</v>
      </c>
      <c r="AG452">
        <v>41</v>
      </c>
      <c r="AH452">
        <v>49</v>
      </c>
      <c r="AI452">
        <v>54</v>
      </c>
      <c r="AJ452">
        <v>1</v>
      </c>
      <c r="AK452">
        <v>10</v>
      </c>
      <c r="AL452" t="s">
        <v>182</v>
      </c>
      <c r="AM452" t="s">
        <v>183</v>
      </c>
      <c r="AN452" t="s">
        <v>184</v>
      </c>
      <c r="AO452" t="s">
        <v>3393</v>
      </c>
      <c r="AP452" t="s">
        <v>3394</v>
      </c>
      <c r="AQ452" t="s">
        <v>74</v>
      </c>
      <c r="AR452" t="s">
        <v>3395</v>
      </c>
      <c r="AS452" t="s">
        <v>3396</v>
      </c>
      <c r="AT452" t="s">
        <v>7543</v>
      </c>
      <c r="AU452">
        <v>2019</v>
      </c>
      <c r="AV452">
        <v>124</v>
      </c>
      <c r="AW452">
        <v>7</v>
      </c>
      <c r="AX452" t="s">
        <v>74</v>
      </c>
      <c r="AY452" t="s">
        <v>74</v>
      </c>
      <c r="AZ452" t="s">
        <v>74</v>
      </c>
      <c r="BA452" t="s">
        <v>74</v>
      </c>
      <c r="BB452">
        <v>4511</v>
      </c>
      <c r="BC452">
        <v>4528</v>
      </c>
      <c r="BD452" t="s">
        <v>74</v>
      </c>
      <c r="BE452" t="s">
        <v>9085</v>
      </c>
      <c r="BF452" t="str">
        <f>HYPERLINK("http://dx.doi.org/10.1029/2019JC015024","http://dx.doi.org/10.1029/2019JC015024")</f>
        <v>http://dx.doi.org/10.1029/2019JC015024</v>
      </c>
      <c r="BG452" t="s">
        <v>74</v>
      </c>
      <c r="BH452" t="s">
        <v>74</v>
      </c>
      <c r="BI452">
        <v>18</v>
      </c>
      <c r="BJ452" t="s">
        <v>100</v>
      </c>
      <c r="BK452" t="s">
        <v>101</v>
      </c>
      <c r="BL452" t="s">
        <v>100</v>
      </c>
      <c r="BM452" t="s">
        <v>9086</v>
      </c>
      <c r="BN452" t="s">
        <v>74</v>
      </c>
      <c r="BO452" t="s">
        <v>6963</v>
      </c>
      <c r="BP452" t="s">
        <v>74</v>
      </c>
      <c r="BQ452" t="s">
        <v>74</v>
      </c>
      <c r="BR452" t="s">
        <v>103</v>
      </c>
      <c r="BS452" t="s">
        <v>9087</v>
      </c>
      <c r="BT452" t="str">
        <f>HYPERLINK("https%3A%2F%2Fwww.webofscience.com%2Fwos%2Fwoscc%2Ffull-record%2FWOS:000482059700009","View Full Record in Web of Science")</f>
        <v>View Full Record in Web of Science</v>
      </c>
    </row>
    <row r="453" spans="1:72" x14ac:dyDescent="0.15">
      <c r="A453" t="s">
        <v>72</v>
      </c>
      <c r="B453" t="s">
        <v>9088</v>
      </c>
      <c r="C453" t="s">
        <v>74</v>
      </c>
      <c r="D453" t="s">
        <v>74</v>
      </c>
      <c r="E453" t="s">
        <v>74</v>
      </c>
      <c r="F453" t="s">
        <v>9089</v>
      </c>
      <c r="G453" t="s">
        <v>74</v>
      </c>
      <c r="H453" t="s">
        <v>74</v>
      </c>
      <c r="I453" t="s">
        <v>9090</v>
      </c>
      <c r="J453" t="s">
        <v>3380</v>
      </c>
      <c r="K453" t="s">
        <v>74</v>
      </c>
      <c r="L453" t="s">
        <v>74</v>
      </c>
      <c r="M453" t="s">
        <v>78</v>
      </c>
      <c r="N453" t="s">
        <v>108</v>
      </c>
      <c r="O453" t="s">
        <v>74</v>
      </c>
      <c r="P453" t="s">
        <v>74</v>
      </c>
      <c r="Q453" t="s">
        <v>74</v>
      </c>
      <c r="R453" t="s">
        <v>74</v>
      </c>
      <c r="S453" t="s">
        <v>74</v>
      </c>
      <c r="T453" t="s">
        <v>9091</v>
      </c>
      <c r="U453" t="s">
        <v>9092</v>
      </c>
      <c r="V453" t="s">
        <v>9093</v>
      </c>
      <c r="W453" t="s">
        <v>9094</v>
      </c>
      <c r="X453" t="s">
        <v>9095</v>
      </c>
      <c r="Y453" t="s">
        <v>9096</v>
      </c>
      <c r="Z453" t="s">
        <v>9097</v>
      </c>
      <c r="AA453" t="s">
        <v>74</v>
      </c>
      <c r="AB453" t="s">
        <v>74</v>
      </c>
      <c r="AC453" t="s">
        <v>74</v>
      </c>
      <c r="AD453" t="s">
        <v>74</v>
      </c>
      <c r="AE453" t="s">
        <v>74</v>
      </c>
      <c r="AF453" t="s">
        <v>74</v>
      </c>
      <c r="AG453">
        <v>34</v>
      </c>
      <c r="AH453">
        <v>13</v>
      </c>
      <c r="AI453">
        <v>14</v>
      </c>
      <c r="AJ453">
        <v>0</v>
      </c>
      <c r="AK453">
        <v>20</v>
      </c>
      <c r="AL453" t="s">
        <v>182</v>
      </c>
      <c r="AM453" t="s">
        <v>183</v>
      </c>
      <c r="AN453" t="s">
        <v>184</v>
      </c>
      <c r="AO453" t="s">
        <v>3393</v>
      </c>
      <c r="AP453" t="s">
        <v>3394</v>
      </c>
      <c r="AQ453" t="s">
        <v>74</v>
      </c>
      <c r="AR453" t="s">
        <v>3395</v>
      </c>
      <c r="AS453" t="s">
        <v>3396</v>
      </c>
      <c r="AT453" t="s">
        <v>7543</v>
      </c>
      <c r="AU453">
        <v>2019</v>
      </c>
      <c r="AV453">
        <v>124</v>
      </c>
      <c r="AW453">
        <v>7</v>
      </c>
      <c r="AX453" t="s">
        <v>74</v>
      </c>
      <c r="AY453" t="s">
        <v>74</v>
      </c>
      <c r="AZ453" t="s">
        <v>74</v>
      </c>
      <c r="BA453" t="s">
        <v>74</v>
      </c>
      <c r="BB453">
        <v>4631</v>
      </c>
      <c r="BC453">
        <v>4643</v>
      </c>
      <c r="BD453" t="s">
        <v>74</v>
      </c>
      <c r="BE453" t="s">
        <v>9098</v>
      </c>
      <c r="BF453" t="str">
        <f>HYPERLINK("http://dx.doi.org/10.1029/2018JC014845","http://dx.doi.org/10.1029/2018JC014845")</f>
        <v>http://dx.doi.org/10.1029/2018JC014845</v>
      </c>
      <c r="BG453" t="s">
        <v>74</v>
      </c>
      <c r="BH453" t="s">
        <v>74</v>
      </c>
      <c r="BI453">
        <v>13</v>
      </c>
      <c r="BJ453" t="s">
        <v>100</v>
      </c>
      <c r="BK453" t="s">
        <v>101</v>
      </c>
      <c r="BL453" t="s">
        <v>100</v>
      </c>
      <c r="BM453" t="s">
        <v>9086</v>
      </c>
      <c r="BN453" t="s">
        <v>74</v>
      </c>
      <c r="BO453" t="s">
        <v>261</v>
      </c>
      <c r="BP453" t="s">
        <v>74</v>
      </c>
      <c r="BQ453" t="s">
        <v>74</v>
      </c>
      <c r="BR453" t="s">
        <v>103</v>
      </c>
      <c r="BS453" t="s">
        <v>9099</v>
      </c>
      <c r="BT453" t="str">
        <f>HYPERLINK("https%3A%2F%2Fwww.webofscience.com%2Fwos%2Fwoscc%2Ffull-record%2FWOS:000482059700017","View Full Record in Web of Science")</f>
        <v>View Full Record in Web of Science</v>
      </c>
    </row>
    <row r="454" spans="1:72" x14ac:dyDescent="0.15">
      <c r="A454" t="s">
        <v>72</v>
      </c>
      <c r="B454" t="s">
        <v>9100</v>
      </c>
      <c r="C454" t="s">
        <v>74</v>
      </c>
      <c r="D454" t="s">
        <v>74</v>
      </c>
      <c r="E454" t="s">
        <v>74</v>
      </c>
      <c r="F454" t="s">
        <v>9101</v>
      </c>
      <c r="G454" t="s">
        <v>74</v>
      </c>
      <c r="H454" t="s">
        <v>74</v>
      </c>
      <c r="I454" t="s">
        <v>9102</v>
      </c>
      <c r="J454" t="s">
        <v>3380</v>
      </c>
      <c r="K454" t="s">
        <v>74</v>
      </c>
      <c r="L454" t="s">
        <v>74</v>
      </c>
      <c r="M454" t="s">
        <v>78</v>
      </c>
      <c r="N454" t="s">
        <v>108</v>
      </c>
      <c r="O454" t="s">
        <v>74</v>
      </c>
      <c r="P454" t="s">
        <v>74</v>
      </c>
      <c r="Q454" t="s">
        <v>74</v>
      </c>
      <c r="R454" t="s">
        <v>74</v>
      </c>
      <c r="S454" t="s">
        <v>74</v>
      </c>
      <c r="T454" t="s">
        <v>9103</v>
      </c>
      <c r="U454" t="s">
        <v>9104</v>
      </c>
      <c r="V454" t="s">
        <v>9105</v>
      </c>
      <c r="W454" t="s">
        <v>9106</v>
      </c>
      <c r="X454" t="s">
        <v>9107</v>
      </c>
      <c r="Y454" t="s">
        <v>9108</v>
      </c>
      <c r="Z454" t="s">
        <v>9109</v>
      </c>
      <c r="AA454" t="s">
        <v>9110</v>
      </c>
      <c r="AB454" t="s">
        <v>9111</v>
      </c>
      <c r="AC454" t="s">
        <v>9112</v>
      </c>
      <c r="AD454" t="s">
        <v>9113</v>
      </c>
      <c r="AE454" t="s">
        <v>9114</v>
      </c>
      <c r="AF454" t="s">
        <v>74</v>
      </c>
      <c r="AG454">
        <v>85</v>
      </c>
      <c r="AH454">
        <v>8</v>
      </c>
      <c r="AI454">
        <v>9</v>
      </c>
      <c r="AJ454">
        <v>2</v>
      </c>
      <c r="AK454">
        <v>19</v>
      </c>
      <c r="AL454" t="s">
        <v>182</v>
      </c>
      <c r="AM454" t="s">
        <v>183</v>
      </c>
      <c r="AN454" t="s">
        <v>184</v>
      </c>
      <c r="AO454" t="s">
        <v>3393</v>
      </c>
      <c r="AP454" t="s">
        <v>3394</v>
      </c>
      <c r="AQ454" t="s">
        <v>74</v>
      </c>
      <c r="AR454" t="s">
        <v>3395</v>
      </c>
      <c r="AS454" t="s">
        <v>3396</v>
      </c>
      <c r="AT454" t="s">
        <v>7543</v>
      </c>
      <c r="AU454">
        <v>2019</v>
      </c>
      <c r="AV454">
        <v>124</v>
      </c>
      <c r="AW454">
        <v>7</v>
      </c>
      <c r="AX454" t="s">
        <v>74</v>
      </c>
      <c r="AY454" t="s">
        <v>74</v>
      </c>
      <c r="AZ454" t="s">
        <v>74</v>
      </c>
      <c r="BA454" t="s">
        <v>74</v>
      </c>
      <c r="BB454">
        <v>4763</v>
      </c>
      <c r="BC454">
        <v>4783</v>
      </c>
      <c r="BD454" t="s">
        <v>74</v>
      </c>
      <c r="BE454" t="s">
        <v>9115</v>
      </c>
      <c r="BF454" t="str">
        <f>HYPERLINK("http://dx.doi.org/10.1029/2019JC015052","http://dx.doi.org/10.1029/2019JC015052")</f>
        <v>http://dx.doi.org/10.1029/2019JC015052</v>
      </c>
      <c r="BG454" t="s">
        <v>74</v>
      </c>
      <c r="BH454" t="s">
        <v>74</v>
      </c>
      <c r="BI454">
        <v>21</v>
      </c>
      <c r="BJ454" t="s">
        <v>100</v>
      </c>
      <c r="BK454" t="s">
        <v>101</v>
      </c>
      <c r="BL454" t="s">
        <v>100</v>
      </c>
      <c r="BM454" t="s">
        <v>9086</v>
      </c>
      <c r="BN454" t="s">
        <v>74</v>
      </c>
      <c r="BO454" t="s">
        <v>1308</v>
      </c>
      <c r="BP454" t="s">
        <v>74</v>
      </c>
      <c r="BQ454" t="s">
        <v>74</v>
      </c>
      <c r="BR454" t="s">
        <v>103</v>
      </c>
      <c r="BS454" t="s">
        <v>9116</v>
      </c>
      <c r="BT454" t="str">
        <f>HYPERLINK("https%3A%2F%2Fwww.webofscience.com%2Fwos%2Fwoscc%2Ffull-record%2FWOS:000482059700024","View Full Record in Web of Science")</f>
        <v>View Full Record in Web of Science</v>
      </c>
    </row>
    <row r="455" spans="1:72" x14ac:dyDescent="0.15">
      <c r="A455" t="s">
        <v>72</v>
      </c>
      <c r="B455" t="s">
        <v>9117</v>
      </c>
      <c r="C455" t="s">
        <v>74</v>
      </c>
      <c r="D455" t="s">
        <v>74</v>
      </c>
      <c r="E455" t="s">
        <v>74</v>
      </c>
      <c r="F455" t="s">
        <v>9118</v>
      </c>
      <c r="G455" t="s">
        <v>74</v>
      </c>
      <c r="H455" t="s">
        <v>74</v>
      </c>
      <c r="I455" t="s">
        <v>9119</v>
      </c>
      <c r="J455" t="s">
        <v>3380</v>
      </c>
      <c r="K455" t="s">
        <v>74</v>
      </c>
      <c r="L455" t="s">
        <v>74</v>
      </c>
      <c r="M455" t="s">
        <v>78</v>
      </c>
      <c r="N455" t="s">
        <v>108</v>
      </c>
      <c r="O455" t="s">
        <v>74</v>
      </c>
      <c r="P455" t="s">
        <v>74</v>
      </c>
      <c r="Q455" t="s">
        <v>74</v>
      </c>
      <c r="R455" t="s">
        <v>74</v>
      </c>
      <c r="S455" t="s">
        <v>74</v>
      </c>
      <c r="T455" t="s">
        <v>74</v>
      </c>
      <c r="U455" t="s">
        <v>9120</v>
      </c>
      <c r="V455" t="s">
        <v>9121</v>
      </c>
      <c r="W455" t="s">
        <v>9122</v>
      </c>
      <c r="X455" t="s">
        <v>9123</v>
      </c>
      <c r="Y455" t="s">
        <v>9124</v>
      </c>
      <c r="Z455" t="s">
        <v>9125</v>
      </c>
      <c r="AA455" t="s">
        <v>9126</v>
      </c>
      <c r="AB455" t="s">
        <v>9127</v>
      </c>
      <c r="AC455" t="s">
        <v>9128</v>
      </c>
      <c r="AD455" t="s">
        <v>9129</v>
      </c>
      <c r="AE455" t="s">
        <v>9130</v>
      </c>
      <c r="AF455" t="s">
        <v>74</v>
      </c>
      <c r="AG455">
        <v>39</v>
      </c>
      <c r="AH455">
        <v>7</v>
      </c>
      <c r="AI455">
        <v>7</v>
      </c>
      <c r="AJ455">
        <v>0</v>
      </c>
      <c r="AK455">
        <v>10</v>
      </c>
      <c r="AL455" t="s">
        <v>182</v>
      </c>
      <c r="AM455" t="s">
        <v>183</v>
      </c>
      <c r="AN455" t="s">
        <v>184</v>
      </c>
      <c r="AO455" t="s">
        <v>3393</v>
      </c>
      <c r="AP455" t="s">
        <v>3394</v>
      </c>
      <c r="AQ455" t="s">
        <v>74</v>
      </c>
      <c r="AR455" t="s">
        <v>3395</v>
      </c>
      <c r="AS455" t="s">
        <v>3396</v>
      </c>
      <c r="AT455" t="s">
        <v>7543</v>
      </c>
      <c r="AU455">
        <v>2019</v>
      </c>
      <c r="AV455">
        <v>124</v>
      </c>
      <c r="AW455">
        <v>7</v>
      </c>
      <c r="AX455" t="s">
        <v>74</v>
      </c>
      <c r="AY455" t="s">
        <v>74</v>
      </c>
      <c r="AZ455" t="s">
        <v>74</v>
      </c>
      <c r="BA455" t="s">
        <v>74</v>
      </c>
      <c r="BB455">
        <v>4820</v>
      </c>
      <c r="BC455">
        <v>4837</v>
      </c>
      <c r="BD455" t="s">
        <v>74</v>
      </c>
      <c r="BE455" t="s">
        <v>9131</v>
      </c>
      <c r="BF455" t="str">
        <f>HYPERLINK("http://dx.doi.org/10.1029/2019JC015160","http://dx.doi.org/10.1029/2019JC015160")</f>
        <v>http://dx.doi.org/10.1029/2019JC015160</v>
      </c>
      <c r="BG455" t="s">
        <v>74</v>
      </c>
      <c r="BH455" t="s">
        <v>74</v>
      </c>
      <c r="BI455">
        <v>18</v>
      </c>
      <c r="BJ455" t="s">
        <v>100</v>
      </c>
      <c r="BK455" t="s">
        <v>101</v>
      </c>
      <c r="BL455" t="s">
        <v>100</v>
      </c>
      <c r="BM455" t="s">
        <v>9086</v>
      </c>
      <c r="BN455" t="s">
        <v>74</v>
      </c>
      <c r="BO455" t="s">
        <v>261</v>
      </c>
      <c r="BP455" t="s">
        <v>74</v>
      </c>
      <c r="BQ455" t="s">
        <v>74</v>
      </c>
      <c r="BR455" t="s">
        <v>103</v>
      </c>
      <c r="BS455" t="s">
        <v>9132</v>
      </c>
      <c r="BT455" t="str">
        <f>HYPERLINK("https%3A%2F%2Fwww.webofscience.com%2Fwos%2Fwoscc%2Ffull-record%2FWOS:000482059700027","View Full Record in Web of Science")</f>
        <v>View Full Record in Web of Science</v>
      </c>
    </row>
    <row r="456" spans="1:72" x14ac:dyDescent="0.15">
      <c r="A456" t="s">
        <v>72</v>
      </c>
      <c r="B456" t="s">
        <v>9133</v>
      </c>
      <c r="C456" t="s">
        <v>74</v>
      </c>
      <c r="D456" t="s">
        <v>74</v>
      </c>
      <c r="E456" t="s">
        <v>74</v>
      </c>
      <c r="F456" t="s">
        <v>9134</v>
      </c>
      <c r="G456" t="s">
        <v>74</v>
      </c>
      <c r="H456" t="s">
        <v>9135</v>
      </c>
      <c r="I456" t="s">
        <v>9136</v>
      </c>
      <c r="J456" t="s">
        <v>3380</v>
      </c>
      <c r="K456" t="s">
        <v>74</v>
      </c>
      <c r="L456" t="s">
        <v>74</v>
      </c>
      <c r="M456" t="s">
        <v>78</v>
      </c>
      <c r="N456" t="s">
        <v>108</v>
      </c>
      <c r="O456" t="s">
        <v>74</v>
      </c>
      <c r="P456" t="s">
        <v>74</v>
      </c>
      <c r="Q456" t="s">
        <v>74</v>
      </c>
      <c r="R456" t="s">
        <v>74</v>
      </c>
      <c r="S456" t="s">
        <v>74</v>
      </c>
      <c r="T456" t="s">
        <v>9137</v>
      </c>
      <c r="U456" t="s">
        <v>9138</v>
      </c>
      <c r="V456" t="s">
        <v>9139</v>
      </c>
      <c r="W456" t="s">
        <v>9140</v>
      </c>
      <c r="X456" t="s">
        <v>9141</v>
      </c>
      <c r="Y456" t="s">
        <v>9142</v>
      </c>
      <c r="Z456" t="s">
        <v>9143</v>
      </c>
      <c r="AA456" t="s">
        <v>9144</v>
      </c>
      <c r="AB456" t="s">
        <v>9145</v>
      </c>
      <c r="AC456" t="s">
        <v>9146</v>
      </c>
      <c r="AD456" t="s">
        <v>9147</v>
      </c>
      <c r="AE456" t="s">
        <v>9148</v>
      </c>
      <c r="AF456" t="s">
        <v>74</v>
      </c>
      <c r="AG456">
        <v>91</v>
      </c>
      <c r="AH456">
        <v>26</v>
      </c>
      <c r="AI456">
        <v>28</v>
      </c>
      <c r="AJ456">
        <v>1</v>
      </c>
      <c r="AK456">
        <v>13</v>
      </c>
      <c r="AL456" t="s">
        <v>182</v>
      </c>
      <c r="AM456" t="s">
        <v>183</v>
      </c>
      <c r="AN456" t="s">
        <v>184</v>
      </c>
      <c r="AO456" t="s">
        <v>3393</v>
      </c>
      <c r="AP456" t="s">
        <v>3394</v>
      </c>
      <c r="AQ456" t="s">
        <v>74</v>
      </c>
      <c r="AR456" t="s">
        <v>3395</v>
      </c>
      <c r="AS456" t="s">
        <v>3396</v>
      </c>
      <c r="AT456" t="s">
        <v>7543</v>
      </c>
      <c r="AU456">
        <v>2019</v>
      </c>
      <c r="AV456">
        <v>124</v>
      </c>
      <c r="AW456">
        <v>7</v>
      </c>
      <c r="AX456" t="s">
        <v>74</v>
      </c>
      <c r="AY456" t="s">
        <v>74</v>
      </c>
      <c r="AZ456" t="s">
        <v>74</v>
      </c>
      <c r="BA456" t="s">
        <v>74</v>
      </c>
      <c r="BB456">
        <v>4934</v>
      </c>
      <c r="BC456">
        <v>4953</v>
      </c>
      <c r="BD456" t="s">
        <v>74</v>
      </c>
      <c r="BE456" t="s">
        <v>9149</v>
      </c>
      <c r="BF456" t="str">
        <f>HYPERLINK("http://dx.doi.org/10.1029/2018JC014683","http://dx.doi.org/10.1029/2018JC014683")</f>
        <v>http://dx.doi.org/10.1029/2018JC014683</v>
      </c>
      <c r="BG456" t="s">
        <v>74</v>
      </c>
      <c r="BH456" t="s">
        <v>74</v>
      </c>
      <c r="BI456">
        <v>20</v>
      </c>
      <c r="BJ456" t="s">
        <v>100</v>
      </c>
      <c r="BK456" t="s">
        <v>101</v>
      </c>
      <c r="BL456" t="s">
        <v>100</v>
      </c>
      <c r="BM456" t="s">
        <v>9086</v>
      </c>
      <c r="BN456" t="s">
        <v>74</v>
      </c>
      <c r="BO456" t="s">
        <v>6963</v>
      </c>
      <c r="BP456" t="s">
        <v>74</v>
      </c>
      <c r="BQ456" t="s">
        <v>74</v>
      </c>
      <c r="BR456" t="s">
        <v>103</v>
      </c>
      <c r="BS456" t="s">
        <v>9150</v>
      </c>
      <c r="BT456" t="str">
        <f>HYPERLINK("https%3A%2F%2Fwww.webofscience.com%2Fwos%2Fwoscc%2Ffull-record%2FWOS:000482059700034","View Full Record in Web of Science")</f>
        <v>View Full Record in Web of Science</v>
      </c>
    </row>
    <row r="457" spans="1:72" x14ac:dyDescent="0.15">
      <c r="A457" t="s">
        <v>72</v>
      </c>
      <c r="B457" t="s">
        <v>9151</v>
      </c>
      <c r="C457" t="s">
        <v>74</v>
      </c>
      <c r="D457" t="s">
        <v>74</v>
      </c>
      <c r="E457" t="s">
        <v>74</v>
      </c>
      <c r="F457" t="s">
        <v>9152</v>
      </c>
      <c r="G457" t="s">
        <v>74</v>
      </c>
      <c r="H457" t="s">
        <v>74</v>
      </c>
      <c r="I457" t="s">
        <v>9153</v>
      </c>
      <c r="J457" t="s">
        <v>3380</v>
      </c>
      <c r="K457" t="s">
        <v>74</v>
      </c>
      <c r="L457" t="s">
        <v>74</v>
      </c>
      <c r="M457" t="s">
        <v>78</v>
      </c>
      <c r="N457" t="s">
        <v>108</v>
      </c>
      <c r="O457" t="s">
        <v>74</v>
      </c>
      <c r="P457" t="s">
        <v>74</v>
      </c>
      <c r="Q457" t="s">
        <v>74</v>
      </c>
      <c r="R457" t="s">
        <v>74</v>
      </c>
      <c r="S457" t="s">
        <v>74</v>
      </c>
      <c r="T457" t="s">
        <v>74</v>
      </c>
      <c r="U457" t="s">
        <v>9154</v>
      </c>
      <c r="V457" t="s">
        <v>9155</v>
      </c>
      <c r="W457" t="s">
        <v>9156</v>
      </c>
      <c r="X457" t="s">
        <v>9157</v>
      </c>
      <c r="Y457" t="s">
        <v>9158</v>
      </c>
      <c r="Z457" t="s">
        <v>9159</v>
      </c>
      <c r="AA457" t="s">
        <v>9160</v>
      </c>
      <c r="AB457" t="s">
        <v>9161</v>
      </c>
      <c r="AC457" t="s">
        <v>9162</v>
      </c>
      <c r="AD457" t="s">
        <v>9163</v>
      </c>
      <c r="AE457" t="s">
        <v>9164</v>
      </c>
      <c r="AF457" t="s">
        <v>74</v>
      </c>
      <c r="AG457">
        <v>76</v>
      </c>
      <c r="AH457">
        <v>13</v>
      </c>
      <c r="AI457">
        <v>14</v>
      </c>
      <c r="AJ457">
        <v>1</v>
      </c>
      <c r="AK457">
        <v>7</v>
      </c>
      <c r="AL457" t="s">
        <v>182</v>
      </c>
      <c r="AM457" t="s">
        <v>183</v>
      </c>
      <c r="AN457" t="s">
        <v>184</v>
      </c>
      <c r="AO457" t="s">
        <v>3393</v>
      </c>
      <c r="AP457" t="s">
        <v>3394</v>
      </c>
      <c r="AQ457" t="s">
        <v>74</v>
      </c>
      <c r="AR457" t="s">
        <v>3395</v>
      </c>
      <c r="AS457" t="s">
        <v>3396</v>
      </c>
      <c r="AT457" t="s">
        <v>7543</v>
      </c>
      <c r="AU457">
        <v>2019</v>
      </c>
      <c r="AV457">
        <v>124</v>
      </c>
      <c r="AW457">
        <v>7</v>
      </c>
      <c r="AX457" t="s">
        <v>74</v>
      </c>
      <c r="AY457" t="s">
        <v>74</v>
      </c>
      <c r="AZ457" t="s">
        <v>74</v>
      </c>
      <c r="BA457" t="s">
        <v>74</v>
      </c>
      <c r="BB457">
        <v>5067</v>
      </c>
      <c r="BC457">
        <v>5084</v>
      </c>
      <c r="BD457" t="s">
        <v>74</v>
      </c>
      <c r="BE457" t="s">
        <v>9165</v>
      </c>
      <c r="BF457" t="str">
        <f>HYPERLINK("http://dx.doi.org/10.1029/2018JC014688","http://dx.doi.org/10.1029/2018JC014688")</f>
        <v>http://dx.doi.org/10.1029/2018JC014688</v>
      </c>
      <c r="BG457" t="s">
        <v>74</v>
      </c>
      <c r="BH457" t="s">
        <v>74</v>
      </c>
      <c r="BI457">
        <v>18</v>
      </c>
      <c r="BJ457" t="s">
        <v>100</v>
      </c>
      <c r="BK457" t="s">
        <v>101</v>
      </c>
      <c r="BL457" t="s">
        <v>100</v>
      </c>
      <c r="BM457" t="s">
        <v>9086</v>
      </c>
      <c r="BN457" t="s">
        <v>74</v>
      </c>
      <c r="BO457" t="s">
        <v>1465</v>
      </c>
      <c r="BP457" t="s">
        <v>74</v>
      </c>
      <c r="BQ457" t="s">
        <v>74</v>
      </c>
      <c r="BR457" t="s">
        <v>103</v>
      </c>
      <c r="BS457" t="s">
        <v>9166</v>
      </c>
      <c r="BT457" t="str">
        <f>HYPERLINK("https%3A%2F%2Fwww.webofscience.com%2Fwos%2Fwoscc%2Ffull-record%2FWOS:000482059700041","View Full Record in Web of Science")</f>
        <v>View Full Record in Web of Science</v>
      </c>
    </row>
    <row r="458" spans="1:72" x14ac:dyDescent="0.15">
      <c r="A458" t="s">
        <v>72</v>
      </c>
      <c r="B458" t="s">
        <v>9167</v>
      </c>
      <c r="C458" t="s">
        <v>74</v>
      </c>
      <c r="D458" t="s">
        <v>74</v>
      </c>
      <c r="E458" t="s">
        <v>74</v>
      </c>
      <c r="F458" t="s">
        <v>9168</v>
      </c>
      <c r="G458" t="s">
        <v>74</v>
      </c>
      <c r="H458" t="s">
        <v>74</v>
      </c>
      <c r="I458" t="s">
        <v>9169</v>
      </c>
      <c r="J458" t="s">
        <v>9170</v>
      </c>
      <c r="K458" t="s">
        <v>74</v>
      </c>
      <c r="L458" t="s">
        <v>74</v>
      </c>
      <c r="M458" t="s">
        <v>78</v>
      </c>
      <c r="N458" t="s">
        <v>108</v>
      </c>
      <c r="O458" t="s">
        <v>74</v>
      </c>
      <c r="P458" t="s">
        <v>74</v>
      </c>
      <c r="Q458" t="s">
        <v>74</v>
      </c>
      <c r="R458" t="s">
        <v>74</v>
      </c>
      <c r="S458" t="s">
        <v>74</v>
      </c>
      <c r="T458" t="s">
        <v>9171</v>
      </c>
      <c r="U458" t="s">
        <v>9172</v>
      </c>
      <c r="V458" t="s">
        <v>9173</v>
      </c>
      <c r="W458" t="s">
        <v>9174</v>
      </c>
      <c r="X458" t="s">
        <v>9175</v>
      </c>
      <c r="Y458" t="s">
        <v>9176</v>
      </c>
      <c r="Z458" t="s">
        <v>9177</v>
      </c>
      <c r="AA458" t="s">
        <v>9178</v>
      </c>
      <c r="AB458" t="s">
        <v>9179</v>
      </c>
      <c r="AC458" t="s">
        <v>9180</v>
      </c>
      <c r="AD458" t="s">
        <v>9181</v>
      </c>
      <c r="AE458" t="s">
        <v>9182</v>
      </c>
      <c r="AF458" t="s">
        <v>74</v>
      </c>
      <c r="AG458">
        <v>24</v>
      </c>
      <c r="AH458">
        <v>2</v>
      </c>
      <c r="AI458">
        <v>2</v>
      </c>
      <c r="AJ458">
        <v>1</v>
      </c>
      <c r="AK458">
        <v>2</v>
      </c>
      <c r="AL458" t="s">
        <v>8813</v>
      </c>
      <c r="AM458" t="s">
        <v>4016</v>
      </c>
      <c r="AN458" t="s">
        <v>8814</v>
      </c>
      <c r="AO458" t="s">
        <v>9183</v>
      </c>
      <c r="AP458" t="s">
        <v>9184</v>
      </c>
      <c r="AQ458" t="s">
        <v>74</v>
      </c>
      <c r="AR458" t="s">
        <v>9185</v>
      </c>
      <c r="AS458" t="s">
        <v>9186</v>
      </c>
      <c r="AT458" t="s">
        <v>7543</v>
      </c>
      <c r="AU458">
        <v>2019</v>
      </c>
      <c r="AV458">
        <v>55</v>
      </c>
      <c r="AW458">
        <v>4</v>
      </c>
      <c r="AX458" t="s">
        <v>74</v>
      </c>
      <c r="AY458" t="s">
        <v>74</v>
      </c>
      <c r="AZ458" t="s">
        <v>74</v>
      </c>
      <c r="BA458" t="s">
        <v>74</v>
      </c>
      <c r="BB458">
        <v>365</v>
      </c>
      <c r="BC458">
        <v>373</v>
      </c>
      <c r="BD458" t="s">
        <v>74</v>
      </c>
      <c r="BE458" t="s">
        <v>9187</v>
      </c>
      <c r="BF458" t="str">
        <f>HYPERLINK("http://dx.doi.org/10.1134/S0001433819040029","http://dx.doi.org/10.1134/S0001433819040029")</f>
        <v>http://dx.doi.org/10.1134/S0001433819040029</v>
      </c>
      <c r="BG458" t="s">
        <v>74</v>
      </c>
      <c r="BH458" t="s">
        <v>74</v>
      </c>
      <c r="BI458">
        <v>9</v>
      </c>
      <c r="BJ458" t="s">
        <v>1077</v>
      </c>
      <c r="BK458" t="s">
        <v>101</v>
      </c>
      <c r="BL458" t="s">
        <v>1077</v>
      </c>
      <c r="BM458" t="s">
        <v>9188</v>
      </c>
      <c r="BN458" t="s">
        <v>74</v>
      </c>
      <c r="BO458" t="s">
        <v>74</v>
      </c>
      <c r="BP458" t="s">
        <v>74</v>
      </c>
      <c r="BQ458" t="s">
        <v>74</v>
      </c>
      <c r="BR458" t="s">
        <v>103</v>
      </c>
      <c r="BS458" t="s">
        <v>9189</v>
      </c>
      <c r="BT458" t="str">
        <f>HYPERLINK("https%3A%2F%2Fwww.webofscience.com%2Fwos%2Fwoscc%2Ffull-record%2FWOS:000481773100009","View Full Record in Web of Science")</f>
        <v>View Full Record in Web of Science</v>
      </c>
    </row>
    <row r="459" spans="1:72" x14ac:dyDescent="0.15">
      <c r="A459" t="s">
        <v>72</v>
      </c>
      <c r="B459" t="s">
        <v>9190</v>
      </c>
      <c r="C459" t="s">
        <v>74</v>
      </c>
      <c r="D459" t="s">
        <v>74</v>
      </c>
      <c r="E459" t="s">
        <v>74</v>
      </c>
      <c r="F459" t="s">
        <v>9191</v>
      </c>
      <c r="G459" t="s">
        <v>74</v>
      </c>
      <c r="H459" t="s">
        <v>74</v>
      </c>
      <c r="I459" t="s">
        <v>9192</v>
      </c>
      <c r="J459" t="s">
        <v>3016</v>
      </c>
      <c r="K459" t="s">
        <v>74</v>
      </c>
      <c r="L459" t="s">
        <v>74</v>
      </c>
      <c r="M459" t="s">
        <v>78</v>
      </c>
      <c r="N459" t="s">
        <v>108</v>
      </c>
      <c r="O459" t="s">
        <v>74</v>
      </c>
      <c r="P459" t="s">
        <v>74</v>
      </c>
      <c r="Q459" t="s">
        <v>74</v>
      </c>
      <c r="R459" t="s">
        <v>74</v>
      </c>
      <c r="S459" t="s">
        <v>74</v>
      </c>
      <c r="T459" t="s">
        <v>9193</v>
      </c>
      <c r="U459" t="s">
        <v>9194</v>
      </c>
      <c r="V459" t="s">
        <v>9195</v>
      </c>
      <c r="W459" t="s">
        <v>9196</v>
      </c>
      <c r="X459" t="s">
        <v>9197</v>
      </c>
      <c r="Y459" t="s">
        <v>9198</v>
      </c>
      <c r="Z459" t="s">
        <v>9199</v>
      </c>
      <c r="AA459" t="s">
        <v>9200</v>
      </c>
      <c r="AB459" t="s">
        <v>9201</v>
      </c>
      <c r="AC459" t="s">
        <v>9202</v>
      </c>
      <c r="AD459" t="s">
        <v>9203</v>
      </c>
      <c r="AE459" t="s">
        <v>9204</v>
      </c>
      <c r="AF459" t="s">
        <v>74</v>
      </c>
      <c r="AG459">
        <v>111</v>
      </c>
      <c r="AH459">
        <v>13</v>
      </c>
      <c r="AI459">
        <v>15</v>
      </c>
      <c r="AJ459">
        <v>3</v>
      </c>
      <c r="AK459">
        <v>29</v>
      </c>
      <c r="AL459" t="s">
        <v>182</v>
      </c>
      <c r="AM459" t="s">
        <v>183</v>
      </c>
      <c r="AN459" t="s">
        <v>184</v>
      </c>
      <c r="AO459" t="s">
        <v>3028</v>
      </c>
      <c r="AP459" t="s">
        <v>3029</v>
      </c>
      <c r="AQ459" t="s">
        <v>74</v>
      </c>
      <c r="AR459" t="s">
        <v>3030</v>
      </c>
      <c r="AS459" t="s">
        <v>3031</v>
      </c>
      <c r="AT459" t="s">
        <v>7543</v>
      </c>
      <c r="AU459">
        <v>2019</v>
      </c>
      <c r="AV459">
        <v>34</v>
      </c>
      <c r="AW459">
        <v>7</v>
      </c>
      <c r="AX459" t="s">
        <v>74</v>
      </c>
      <c r="AY459" t="s">
        <v>74</v>
      </c>
      <c r="AZ459" t="s">
        <v>74</v>
      </c>
      <c r="BA459" t="s">
        <v>74</v>
      </c>
      <c r="BB459">
        <v>1124</v>
      </c>
      <c r="BC459">
        <v>1138</v>
      </c>
      <c r="BD459" t="s">
        <v>74</v>
      </c>
      <c r="BE459" t="s">
        <v>9205</v>
      </c>
      <c r="BF459" t="str">
        <f>HYPERLINK("http://dx.doi.org/10.1029/2019PA003563","http://dx.doi.org/10.1029/2019PA003563")</f>
        <v>http://dx.doi.org/10.1029/2019PA003563</v>
      </c>
      <c r="BG459" t="s">
        <v>74</v>
      </c>
      <c r="BH459" t="s">
        <v>74</v>
      </c>
      <c r="BI459">
        <v>15</v>
      </c>
      <c r="BJ459" t="s">
        <v>3033</v>
      </c>
      <c r="BK459" t="s">
        <v>101</v>
      </c>
      <c r="BL459" t="s">
        <v>3034</v>
      </c>
      <c r="BM459" t="s">
        <v>9206</v>
      </c>
      <c r="BN459" t="s">
        <v>74</v>
      </c>
      <c r="BO459" t="s">
        <v>1256</v>
      </c>
      <c r="BP459" t="s">
        <v>74</v>
      </c>
      <c r="BQ459" t="s">
        <v>74</v>
      </c>
      <c r="BR459" t="s">
        <v>103</v>
      </c>
      <c r="BS459" t="s">
        <v>9207</v>
      </c>
      <c r="BT459" t="str">
        <f>HYPERLINK("https%3A%2F%2Fwww.webofscience.com%2Fwos%2Fwoscc%2Ffull-record%2FWOS:000481820300006","View Full Record in Web of Science")</f>
        <v>View Full Record in Web of Science</v>
      </c>
    </row>
    <row r="460" spans="1:72" x14ac:dyDescent="0.15">
      <c r="A460" t="s">
        <v>72</v>
      </c>
      <c r="B460" t="s">
        <v>9208</v>
      </c>
      <c r="C460" t="s">
        <v>74</v>
      </c>
      <c r="D460" t="s">
        <v>74</v>
      </c>
      <c r="E460" t="s">
        <v>74</v>
      </c>
      <c r="F460" t="s">
        <v>9209</v>
      </c>
      <c r="G460" t="s">
        <v>74</v>
      </c>
      <c r="H460" t="s">
        <v>74</v>
      </c>
      <c r="I460" t="s">
        <v>9210</v>
      </c>
      <c r="J460" t="s">
        <v>3016</v>
      </c>
      <c r="K460" t="s">
        <v>74</v>
      </c>
      <c r="L460" t="s">
        <v>74</v>
      </c>
      <c r="M460" t="s">
        <v>78</v>
      </c>
      <c r="N460" t="s">
        <v>108</v>
      </c>
      <c r="O460" t="s">
        <v>74</v>
      </c>
      <c r="P460" t="s">
        <v>74</v>
      </c>
      <c r="Q460" t="s">
        <v>74</v>
      </c>
      <c r="R460" t="s">
        <v>74</v>
      </c>
      <c r="S460" t="s">
        <v>74</v>
      </c>
      <c r="T460" t="s">
        <v>9211</v>
      </c>
      <c r="U460" t="s">
        <v>9212</v>
      </c>
      <c r="V460" t="s">
        <v>9213</v>
      </c>
      <c r="W460" t="s">
        <v>9214</v>
      </c>
      <c r="X460" t="s">
        <v>9215</v>
      </c>
      <c r="Y460" t="s">
        <v>9216</v>
      </c>
      <c r="Z460" t="s">
        <v>9217</v>
      </c>
      <c r="AA460" t="s">
        <v>9218</v>
      </c>
      <c r="AB460" t="s">
        <v>9219</v>
      </c>
      <c r="AC460" t="s">
        <v>9220</v>
      </c>
      <c r="AD460" t="s">
        <v>4459</v>
      </c>
      <c r="AE460" t="s">
        <v>9221</v>
      </c>
      <c r="AF460" t="s">
        <v>74</v>
      </c>
      <c r="AG460">
        <v>69</v>
      </c>
      <c r="AH460">
        <v>6</v>
      </c>
      <c r="AI460">
        <v>7</v>
      </c>
      <c r="AJ460">
        <v>3</v>
      </c>
      <c r="AK460">
        <v>9</v>
      </c>
      <c r="AL460" t="s">
        <v>182</v>
      </c>
      <c r="AM460" t="s">
        <v>183</v>
      </c>
      <c r="AN460" t="s">
        <v>184</v>
      </c>
      <c r="AO460" t="s">
        <v>3028</v>
      </c>
      <c r="AP460" t="s">
        <v>3029</v>
      </c>
      <c r="AQ460" t="s">
        <v>74</v>
      </c>
      <c r="AR460" t="s">
        <v>3030</v>
      </c>
      <c r="AS460" t="s">
        <v>3031</v>
      </c>
      <c r="AT460" t="s">
        <v>7543</v>
      </c>
      <c r="AU460">
        <v>2019</v>
      </c>
      <c r="AV460">
        <v>34</v>
      </c>
      <c r="AW460">
        <v>7</v>
      </c>
      <c r="AX460" t="s">
        <v>74</v>
      </c>
      <c r="AY460" t="s">
        <v>74</v>
      </c>
      <c r="AZ460" t="s">
        <v>74</v>
      </c>
      <c r="BA460" t="s">
        <v>74</v>
      </c>
      <c r="BB460">
        <v>1218</v>
      </c>
      <c r="BC460">
        <v>1233</v>
      </c>
      <c r="BD460" t="s">
        <v>74</v>
      </c>
      <c r="BE460" t="s">
        <v>9222</v>
      </c>
      <c r="BF460" t="str">
        <f>HYPERLINK("http://dx.doi.org/10.1029/2018PA003537","http://dx.doi.org/10.1029/2018PA003537")</f>
        <v>http://dx.doi.org/10.1029/2018PA003537</v>
      </c>
      <c r="BG460" t="s">
        <v>74</v>
      </c>
      <c r="BH460" t="s">
        <v>74</v>
      </c>
      <c r="BI460">
        <v>16</v>
      </c>
      <c r="BJ460" t="s">
        <v>3033</v>
      </c>
      <c r="BK460" t="s">
        <v>101</v>
      </c>
      <c r="BL460" t="s">
        <v>3034</v>
      </c>
      <c r="BM460" t="s">
        <v>9206</v>
      </c>
      <c r="BN460" t="s">
        <v>74</v>
      </c>
      <c r="BO460" t="s">
        <v>1465</v>
      </c>
      <c r="BP460" t="s">
        <v>74</v>
      </c>
      <c r="BQ460" t="s">
        <v>74</v>
      </c>
      <c r="BR460" t="s">
        <v>103</v>
      </c>
      <c r="BS460" t="s">
        <v>9223</v>
      </c>
      <c r="BT460" t="str">
        <f>HYPERLINK("https%3A%2F%2Fwww.webofscience.com%2Fwos%2Fwoscc%2Ffull-record%2FWOS:000481820300011","View Full Record in Web of Science")</f>
        <v>View Full Record in Web of Science</v>
      </c>
    </row>
    <row r="461" spans="1:72" x14ac:dyDescent="0.15">
      <c r="A461" t="s">
        <v>72</v>
      </c>
      <c r="B461" t="s">
        <v>9224</v>
      </c>
      <c r="C461" t="s">
        <v>74</v>
      </c>
      <c r="D461" t="s">
        <v>74</v>
      </c>
      <c r="E461" t="s">
        <v>74</v>
      </c>
      <c r="F461" t="s">
        <v>9225</v>
      </c>
      <c r="G461" t="s">
        <v>74</v>
      </c>
      <c r="H461" t="s">
        <v>74</v>
      </c>
      <c r="I461" t="s">
        <v>9226</v>
      </c>
      <c r="J461" t="s">
        <v>9227</v>
      </c>
      <c r="K461" t="s">
        <v>74</v>
      </c>
      <c r="L461" t="s">
        <v>74</v>
      </c>
      <c r="M461" t="s">
        <v>78</v>
      </c>
      <c r="N461" t="s">
        <v>108</v>
      </c>
      <c r="O461" t="s">
        <v>74</v>
      </c>
      <c r="P461" t="s">
        <v>74</v>
      </c>
      <c r="Q461" t="s">
        <v>74</v>
      </c>
      <c r="R461" t="s">
        <v>74</v>
      </c>
      <c r="S461" t="s">
        <v>74</v>
      </c>
      <c r="T461" t="s">
        <v>9228</v>
      </c>
      <c r="U461" t="s">
        <v>9229</v>
      </c>
      <c r="V461" t="s">
        <v>9230</v>
      </c>
      <c r="W461" t="s">
        <v>9231</v>
      </c>
      <c r="X461" t="s">
        <v>9232</v>
      </c>
      <c r="Y461" t="s">
        <v>9233</v>
      </c>
      <c r="Z461" t="s">
        <v>9234</v>
      </c>
      <c r="AA461" t="s">
        <v>9235</v>
      </c>
      <c r="AB461" t="s">
        <v>9236</v>
      </c>
      <c r="AC461" t="s">
        <v>9237</v>
      </c>
      <c r="AD461" t="s">
        <v>9238</v>
      </c>
      <c r="AE461" t="s">
        <v>9239</v>
      </c>
      <c r="AF461" t="s">
        <v>74</v>
      </c>
      <c r="AG461">
        <v>60</v>
      </c>
      <c r="AH461">
        <v>21</v>
      </c>
      <c r="AI461">
        <v>23</v>
      </c>
      <c r="AJ461">
        <v>0</v>
      </c>
      <c r="AK461">
        <v>11</v>
      </c>
      <c r="AL461" t="s">
        <v>3615</v>
      </c>
      <c r="AM461" t="s">
        <v>3616</v>
      </c>
      <c r="AN461" t="s">
        <v>3617</v>
      </c>
      <c r="AO461" t="s">
        <v>74</v>
      </c>
      <c r="AP461" t="s">
        <v>9240</v>
      </c>
      <c r="AQ461" t="s">
        <v>74</v>
      </c>
      <c r="AR461" t="s">
        <v>9227</v>
      </c>
      <c r="AS461" t="s">
        <v>9241</v>
      </c>
      <c r="AT461" t="s">
        <v>7543</v>
      </c>
      <c r="AU461">
        <v>2019</v>
      </c>
      <c r="AV461">
        <v>8</v>
      </c>
      <c r="AW461">
        <v>7</v>
      </c>
      <c r="AX461" t="s">
        <v>74</v>
      </c>
      <c r="AY461" t="s">
        <v>74</v>
      </c>
      <c r="AZ461" t="s">
        <v>74</v>
      </c>
      <c r="BA461" t="s">
        <v>74</v>
      </c>
      <c r="BB461" t="s">
        <v>74</v>
      </c>
      <c r="BC461" t="s">
        <v>74</v>
      </c>
      <c r="BD461">
        <v>234</v>
      </c>
      <c r="BE461" t="s">
        <v>9242</v>
      </c>
      <c r="BF461" t="str">
        <f>HYPERLINK("http://dx.doi.org/10.3390/plants8070234","http://dx.doi.org/10.3390/plants8070234")</f>
        <v>http://dx.doi.org/10.3390/plants8070234</v>
      </c>
      <c r="BG461" t="s">
        <v>74</v>
      </c>
      <c r="BH461" t="s">
        <v>74</v>
      </c>
      <c r="BI461">
        <v>23</v>
      </c>
      <c r="BJ461" t="s">
        <v>2907</v>
      </c>
      <c r="BK461" t="s">
        <v>101</v>
      </c>
      <c r="BL461" t="s">
        <v>2907</v>
      </c>
      <c r="BM461" t="s">
        <v>9243</v>
      </c>
      <c r="BN461">
        <v>31331007</v>
      </c>
      <c r="BO461" t="s">
        <v>1041</v>
      </c>
      <c r="BP461" t="s">
        <v>74</v>
      </c>
      <c r="BQ461" t="s">
        <v>74</v>
      </c>
      <c r="BR461" t="s">
        <v>103</v>
      </c>
      <c r="BS461" t="s">
        <v>9244</v>
      </c>
      <c r="BT461" t="str">
        <f>HYPERLINK("https%3A%2F%2Fwww.webofscience.com%2Fwos%2Fwoscc%2Ffull-record%2FWOS:000481484800027","View Full Record in Web of Science")</f>
        <v>View Full Record in Web of Science</v>
      </c>
    </row>
    <row r="462" spans="1:72" x14ac:dyDescent="0.15">
      <c r="A462" t="s">
        <v>72</v>
      </c>
      <c r="B462" t="s">
        <v>9245</v>
      </c>
      <c r="C462" t="s">
        <v>74</v>
      </c>
      <c r="D462" t="s">
        <v>74</v>
      </c>
      <c r="E462" t="s">
        <v>74</v>
      </c>
      <c r="F462" t="s">
        <v>9246</v>
      </c>
      <c r="G462" t="s">
        <v>74</v>
      </c>
      <c r="H462" t="s">
        <v>74</v>
      </c>
      <c r="I462" t="s">
        <v>9247</v>
      </c>
      <c r="J462" t="s">
        <v>9248</v>
      </c>
      <c r="K462" t="s">
        <v>74</v>
      </c>
      <c r="L462" t="s">
        <v>74</v>
      </c>
      <c r="M462" t="s">
        <v>78</v>
      </c>
      <c r="N462" t="s">
        <v>108</v>
      </c>
      <c r="O462" t="s">
        <v>74</v>
      </c>
      <c r="P462" t="s">
        <v>74</v>
      </c>
      <c r="Q462" t="s">
        <v>74</v>
      </c>
      <c r="R462" t="s">
        <v>74</v>
      </c>
      <c r="S462" t="s">
        <v>74</v>
      </c>
      <c r="T462" t="s">
        <v>9249</v>
      </c>
      <c r="U462" t="s">
        <v>9250</v>
      </c>
      <c r="V462" t="s">
        <v>9251</v>
      </c>
      <c r="W462" t="s">
        <v>9252</v>
      </c>
      <c r="X462" t="s">
        <v>9253</v>
      </c>
      <c r="Y462" t="s">
        <v>9254</v>
      </c>
      <c r="Z462" t="s">
        <v>9255</v>
      </c>
      <c r="AA462" t="s">
        <v>9256</v>
      </c>
      <c r="AB462" t="s">
        <v>9257</v>
      </c>
      <c r="AC462" t="s">
        <v>9258</v>
      </c>
      <c r="AD462" t="s">
        <v>9259</v>
      </c>
      <c r="AE462" t="s">
        <v>9260</v>
      </c>
      <c r="AF462" t="s">
        <v>74</v>
      </c>
      <c r="AG462">
        <v>57</v>
      </c>
      <c r="AH462">
        <v>2</v>
      </c>
      <c r="AI462">
        <v>2</v>
      </c>
      <c r="AJ462">
        <v>1</v>
      </c>
      <c r="AK462">
        <v>9</v>
      </c>
      <c r="AL462" t="s">
        <v>3615</v>
      </c>
      <c r="AM462" t="s">
        <v>3616</v>
      </c>
      <c r="AN462" t="s">
        <v>3617</v>
      </c>
      <c r="AO462" t="s">
        <v>74</v>
      </c>
      <c r="AP462" t="s">
        <v>9261</v>
      </c>
      <c r="AQ462" t="s">
        <v>74</v>
      </c>
      <c r="AR462" t="s">
        <v>9262</v>
      </c>
      <c r="AS462" t="s">
        <v>9263</v>
      </c>
      <c r="AT462" t="s">
        <v>7543</v>
      </c>
      <c r="AU462">
        <v>2019</v>
      </c>
      <c r="AV462">
        <v>10</v>
      </c>
      <c r="AW462">
        <v>7</v>
      </c>
      <c r="AX462" t="s">
        <v>74</v>
      </c>
      <c r="AY462" t="s">
        <v>74</v>
      </c>
      <c r="AZ462" t="s">
        <v>74</v>
      </c>
      <c r="BA462" t="s">
        <v>74</v>
      </c>
      <c r="BB462" t="s">
        <v>74</v>
      </c>
      <c r="BC462" t="s">
        <v>74</v>
      </c>
      <c r="BD462">
        <v>365</v>
      </c>
      <c r="BE462" t="s">
        <v>9264</v>
      </c>
      <c r="BF462" t="str">
        <f>HYPERLINK("http://dx.doi.org/10.3390/atmos10070365","http://dx.doi.org/10.3390/atmos10070365")</f>
        <v>http://dx.doi.org/10.3390/atmos10070365</v>
      </c>
      <c r="BG462" t="s">
        <v>74</v>
      </c>
      <c r="BH462" t="s">
        <v>74</v>
      </c>
      <c r="BI462">
        <v>16</v>
      </c>
      <c r="BJ462" t="s">
        <v>2267</v>
      </c>
      <c r="BK462" t="s">
        <v>101</v>
      </c>
      <c r="BL462" t="s">
        <v>2268</v>
      </c>
      <c r="BM462" t="s">
        <v>9265</v>
      </c>
      <c r="BN462" t="s">
        <v>74</v>
      </c>
      <c r="BO462" t="s">
        <v>2270</v>
      </c>
      <c r="BP462" t="s">
        <v>74</v>
      </c>
      <c r="BQ462" t="s">
        <v>74</v>
      </c>
      <c r="BR462" t="s">
        <v>103</v>
      </c>
      <c r="BS462" t="s">
        <v>9266</v>
      </c>
      <c r="BT462" t="str">
        <f>HYPERLINK("https%3A%2F%2Fwww.webofscience.com%2Fwos%2Fwoscc%2Ffull-record%2FWOS:000480628300017","View Full Record in Web of Science")</f>
        <v>View Full Record in Web of Science</v>
      </c>
    </row>
    <row r="463" spans="1:72" x14ac:dyDescent="0.15">
      <c r="A463" t="s">
        <v>72</v>
      </c>
      <c r="B463" t="s">
        <v>9267</v>
      </c>
      <c r="C463" t="s">
        <v>74</v>
      </c>
      <c r="D463" t="s">
        <v>74</v>
      </c>
      <c r="E463" t="s">
        <v>74</v>
      </c>
      <c r="F463" t="s">
        <v>9268</v>
      </c>
      <c r="G463" t="s">
        <v>74</v>
      </c>
      <c r="H463" t="s">
        <v>74</v>
      </c>
      <c r="I463" t="s">
        <v>9269</v>
      </c>
      <c r="J463" t="s">
        <v>3750</v>
      </c>
      <c r="K463" t="s">
        <v>74</v>
      </c>
      <c r="L463" t="s">
        <v>74</v>
      </c>
      <c r="M463" t="s">
        <v>78</v>
      </c>
      <c r="N463" t="s">
        <v>108</v>
      </c>
      <c r="O463" t="s">
        <v>74</v>
      </c>
      <c r="P463" t="s">
        <v>74</v>
      </c>
      <c r="Q463" t="s">
        <v>74</v>
      </c>
      <c r="R463" t="s">
        <v>74</v>
      </c>
      <c r="S463" t="s">
        <v>74</v>
      </c>
      <c r="T463" t="s">
        <v>9270</v>
      </c>
      <c r="U463" t="s">
        <v>9271</v>
      </c>
      <c r="V463" t="s">
        <v>9272</v>
      </c>
      <c r="W463" t="s">
        <v>9273</v>
      </c>
      <c r="X463" t="s">
        <v>9274</v>
      </c>
      <c r="Y463" t="s">
        <v>9275</v>
      </c>
      <c r="Z463" t="s">
        <v>9276</v>
      </c>
      <c r="AA463" t="s">
        <v>9277</v>
      </c>
      <c r="AB463" t="s">
        <v>9278</v>
      </c>
      <c r="AC463" t="s">
        <v>9279</v>
      </c>
      <c r="AD463" t="s">
        <v>9280</v>
      </c>
      <c r="AE463" t="s">
        <v>9281</v>
      </c>
      <c r="AF463" t="s">
        <v>74</v>
      </c>
      <c r="AG463">
        <v>23</v>
      </c>
      <c r="AH463">
        <v>6</v>
      </c>
      <c r="AI463">
        <v>6</v>
      </c>
      <c r="AJ463">
        <v>0</v>
      </c>
      <c r="AK463">
        <v>3</v>
      </c>
      <c r="AL463" t="s">
        <v>3615</v>
      </c>
      <c r="AM463" t="s">
        <v>3616</v>
      </c>
      <c r="AN463" t="s">
        <v>3617</v>
      </c>
      <c r="AO463" t="s">
        <v>74</v>
      </c>
      <c r="AP463" t="s">
        <v>3763</v>
      </c>
      <c r="AQ463" t="s">
        <v>74</v>
      </c>
      <c r="AR463" t="s">
        <v>3750</v>
      </c>
      <c r="AS463" t="s">
        <v>3764</v>
      </c>
      <c r="AT463" t="s">
        <v>7543</v>
      </c>
      <c r="AU463">
        <v>2019</v>
      </c>
      <c r="AV463">
        <v>9</v>
      </c>
      <c r="AW463">
        <v>7</v>
      </c>
      <c r="AX463" t="s">
        <v>74</v>
      </c>
      <c r="AY463" t="s">
        <v>74</v>
      </c>
      <c r="AZ463" t="s">
        <v>74</v>
      </c>
      <c r="BA463" t="s">
        <v>74</v>
      </c>
      <c r="BB463" t="s">
        <v>74</v>
      </c>
      <c r="BC463" t="s">
        <v>74</v>
      </c>
      <c r="BD463">
        <v>297</v>
      </c>
      <c r="BE463" t="s">
        <v>9282</v>
      </c>
      <c r="BF463" t="str">
        <f>HYPERLINK("http://dx.doi.org/10.3390/geosciences9070297","http://dx.doi.org/10.3390/geosciences9070297")</f>
        <v>http://dx.doi.org/10.3390/geosciences9070297</v>
      </c>
      <c r="BG463" t="s">
        <v>74</v>
      </c>
      <c r="BH463" t="s">
        <v>74</v>
      </c>
      <c r="BI463">
        <v>12</v>
      </c>
      <c r="BJ463" t="s">
        <v>471</v>
      </c>
      <c r="BK463" t="s">
        <v>2978</v>
      </c>
      <c r="BL463" t="s">
        <v>472</v>
      </c>
      <c r="BM463" t="s">
        <v>9283</v>
      </c>
      <c r="BN463" t="s">
        <v>74</v>
      </c>
      <c r="BO463" t="s">
        <v>366</v>
      </c>
      <c r="BP463" t="s">
        <v>74</v>
      </c>
      <c r="BQ463" t="s">
        <v>74</v>
      </c>
      <c r="BR463" t="s">
        <v>103</v>
      </c>
      <c r="BS463" t="s">
        <v>9284</v>
      </c>
      <c r="BT463" t="str">
        <f>HYPERLINK("https%3A%2F%2Fwww.webofscience.com%2Fwos%2Fwoscc%2Ffull-record%2FWOS:000479005300019","View Full Record in Web of Science")</f>
        <v>View Full Record in Web of Science</v>
      </c>
    </row>
    <row r="464" spans="1:72" x14ac:dyDescent="0.15">
      <c r="A464" t="s">
        <v>72</v>
      </c>
      <c r="B464" t="s">
        <v>9285</v>
      </c>
      <c r="C464" t="s">
        <v>74</v>
      </c>
      <c r="D464" t="s">
        <v>74</v>
      </c>
      <c r="E464" t="s">
        <v>74</v>
      </c>
      <c r="F464" t="s">
        <v>9286</v>
      </c>
      <c r="G464" t="s">
        <v>74</v>
      </c>
      <c r="H464" t="s">
        <v>74</v>
      </c>
      <c r="I464" t="s">
        <v>9287</v>
      </c>
      <c r="J464" t="s">
        <v>3750</v>
      </c>
      <c r="K464" t="s">
        <v>74</v>
      </c>
      <c r="L464" t="s">
        <v>74</v>
      </c>
      <c r="M464" t="s">
        <v>78</v>
      </c>
      <c r="N464" t="s">
        <v>108</v>
      </c>
      <c r="O464" t="s">
        <v>74</v>
      </c>
      <c r="P464" t="s">
        <v>74</v>
      </c>
      <c r="Q464" t="s">
        <v>74</v>
      </c>
      <c r="R464" t="s">
        <v>74</v>
      </c>
      <c r="S464" t="s">
        <v>74</v>
      </c>
      <c r="T464" t="s">
        <v>9288</v>
      </c>
      <c r="U464" t="s">
        <v>9289</v>
      </c>
      <c r="V464" t="s">
        <v>9290</v>
      </c>
      <c r="W464" t="s">
        <v>9291</v>
      </c>
      <c r="X464" t="s">
        <v>9292</v>
      </c>
      <c r="Y464" t="s">
        <v>9293</v>
      </c>
      <c r="Z464" t="s">
        <v>9294</v>
      </c>
      <c r="AA464" t="s">
        <v>74</v>
      </c>
      <c r="AB464" t="s">
        <v>9295</v>
      </c>
      <c r="AC464" t="s">
        <v>9296</v>
      </c>
      <c r="AD464" t="s">
        <v>9297</v>
      </c>
      <c r="AE464" t="s">
        <v>9298</v>
      </c>
      <c r="AF464" t="s">
        <v>74</v>
      </c>
      <c r="AG464">
        <v>51</v>
      </c>
      <c r="AH464">
        <v>3</v>
      </c>
      <c r="AI464">
        <v>3</v>
      </c>
      <c r="AJ464">
        <v>1</v>
      </c>
      <c r="AK464">
        <v>10</v>
      </c>
      <c r="AL464" t="s">
        <v>3615</v>
      </c>
      <c r="AM464" t="s">
        <v>3616</v>
      </c>
      <c r="AN464" t="s">
        <v>3617</v>
      </c>
      <c r="AO464" t="s">
        <v>74</v>
      </c>
      <c r="AP464" t="s">
        <v>3763</v>
      </c>
      <c r="AQ464" t="s">
        <v>74</v>
      </c>
      <c r="AR464" t="s">
        <v>3750</v>
      </c>
      <c r="AS464" t="s">
        <v>3764</v>
      </c>
      <c r="AT464" t="s">
        <v>7543</v>
      </c>
      <c r="AU464">
        <v>2019</v>
      </c>
      <c r="AV464">
        <v>9</v>
      </c>
      <c r="AW464">
        <v>7</v>
      </c>
      <c r="AX464" t="s">
        <v>74</v>
      </c>
      <c r="AY464" t="s">
        <v>74</v>
      </c>
      <c r="AZ464" t="s">
        <v>74</v>
      </c>
      <c r="BA464" t="s">
        <v>74</v>
      </c>
      <c r="BB464" t="s">
        <v>74</v>
      </c>
      <c r="BC464" t="s">
        <v>74</v>
      </c>
      <c r="BD464">
        <v>282</v>
      </c>
      <c r="BE464" t="s">
        <v>9299</v>
      </c>
      <c r="BF464" t="str">
        <f>HYPERLINK("http://dx.doi.org/10.3390/geosciences9070282","http://dx.doi.org/10.3390/geosciences9070282")</f>
        <v>http://dx.doi.org/10.3390/geosciences9070282</v>
      </c>
      <c r="BG464" t="s">
        <v>74</v>
      </c>
      <c r="BH464" t="s">
        <v>74</v>
      </c>
      <c r="BI464">
        <v>14</v>
      </c>
      <c r="BJ464" t="s">
        <v>471</v>
      </c>
      <c r="BK464" t="s">
        <v>2978</v>
      </c>
      <c r="BL464" t="s">
        <v>472</v>
      </c>
      <c r="BM464" t="s">
        <v>9283</v>
      </c>
      <c r="BN464" t="s">
        <v>74</v>
      </c>
      <c r="BO464" t="s">
        <v>366</v>
      </c>
      <c r="BP464" t="s">
        <v>74</v>
      </c>
      <c r="BQ464" t="s">
        <v>74</v>
      </c>
      <c r="BR464" t="s">
        <v>103</v>
      </c>
      <c r="BS464" t="s">
        <v>9300</v>
      </c>
      <c r="BT464" t="str">
        <f>HYPERLINK("https%3A%2F%2Fwww.webofscience.com%2Fwos%2Fwoscc%2Ffull-record%2FWOS:000479005300004","View Full Record in Web of Science")</f>
        <v>View Full Record in Web of Science</v>
      </c>
    </row>
    <row r="465" spans="1:72" x14ac:dyDescent="0.15">
      <c r="A465" t="s">
        <v>72</v>
      </c>
      <c r="B465" t="s">
        <v>9301</v>
      </c>
      <c r="C465" t="s">
        <v>74</v>
      </c>
      <c r="D465" t="s">
        <v>74</v>
      </c>
      <c r="E465" t="s">
        <v>74</v>
      </c>
      <c r="F465" t="s">
        <v>9302</v>
      </c>
      <c r="G465" t="s">
        <v>74</v>
      </c>
      <c r="H465" t="s">
        <v>74</v>
      </c>
      <c r="I465" t="s">
        <v>9303</v>
      </c>
      <c r="J465" t="s">
        <v>9304</v>
      </c>
      <c r="K465" t="s">
        <v>74</v>
      </c>
      <c r="L465" t="s">
        <v>74</v>
      </c>
      <c r="M465" t="s">
        <v>78</v>
      </c>
      <c r="N465" t="s">
        <v>108</v>
      </c>
      <c r="O465" t="s">
        <v>74</v>
      </c>
      <c r="P465" t="s">
        <v>74</v>
      </c>
      <c r="Q465" t="s">
        <v>74</v>
      </c>
      <c r="R465" t="s">
        <v>74</v>
      </c>
      <c r="S465" t="s">
        <v>74</v>
      </c>
      <c r="T465" t="s">
        <v>9305</v>
      </c>
      <c r="U465" t="s">
        <v>9306</v>
      </c>
      <c r="V465" t="s">
        <v>9307</v>
      </c>
      <c r="W465" t="s">
        <v>9308</v>
      </c>
      <c r="X465" t="s">
        <v>74</v>
      </c>
      <c r="Y465" t="s">
        <v>9309</v>
      </c>
      <c r="Z465" t="s">
        <v>9310</v>
      </c>
      <c r="AA465" t="s">
        <v>74</v>
      </c>
      <c r="AB465" t="s">
        <v>74</v>
      </c>
      <c r="AC465" t="s">
        <v>9311</v>
      </c>
      <c r="AD465" t="s">
        <v>9312</v>
      </c>
      <c r="AE465" t="s">
        <v>9311</v>
      </c>
      <c r="AF465" t="s">
        <v>74</v>
      </c>
      <c r="AG465">
        <v>54</v>
      </c>
      <c r="AH465">
        <v>0</v>
      </c>
      <c r="AI465">
        <v>0</v>
      </c>
      <c r="AJ465">
        <v>0</v>
      </c>
      <c r="AK465">
        <v>2</v>
      </c>
      <c r="AL465" t="s">
        <v>1140</v>
      </c>
      <c r="AM465" t="s">
        <v>1141</v>
      </c>
      <c r="AN465" t="s">
        <v>1142</v>
      </c>
      <c r="AO465" t="s">
        <v>9313</v>
      </c>
      <c r="AP465" t="s">
        <v>9314</v>
      </c>
      <c r="AQ465" t="s">
        <v>74</v>
      </c>
      <c r="AR465" t="s">
        <v>9315</v>
      </c>
      <c r="AS465" t="s">
        <v>9316</v>
      </c>
      <c r="AT465" t="s">
        <v>7543</v>
      </c>
      <c r="AU465">
        <v>2019</v>
      </c>
      <c r="AV465">
        <v>145</v>
      </c>
      <c r="AW465">
        <v>722</v>
      </c>
      <c r="AX465" t="s">
        <v>9317</v>
      </c>
      <c r="AY465" t="s">
        <v>74</v>
      </c>
      <c r="AZ465" t="s">
        <v>74</v>
      </c>
      <c r="BA465" t="s">
        <v>74</v>
      </c>
      <c r="BB465">
        <v>2009</v>
      </c>
      <c r="BC465">
        <v>2027</v>
      </c>
      <c r="BD465" t="s">
        <v>74</v>
      </c>
      <c r="BE465" t="s">
        <v>9318</v>
      </c>
      <c r="BF465" t="str">
        <f>HYPERLINK("http://dx.doi.org/10.1002/qj.3541","http://dx.doi.org/10.1002/qj.3541")</f>
        <v>http://dx.doi.org/10.1002/qj.3541</v>
      </c>
      <c r="BG465" t="s">
        <v>74</v>
      </c>
      <c r="BH465" t="s">
        <v>74</v>
      </c>
      <c r="BI465">
        <v>19</v>
      </c>
      <c r="BJ465" t="s">
        <v>259</v>
      </c>
      <c r="BK465" t="s">
        <v>101</v>
      </c>
      <c r="BL465" t="s">
        <v>259</v>
      </c>
      <c r="BM465" t="s">
        <v>9319</v>
      </c>
      <c r="BN465" t="s">
        <v>74</v>
      </c>
      <c r="BO465" t="s">
        <v>74</v>
      </c>
      <c r="BP465" t="s">
        <v>74</v>
      </c>
      <c r="BQ465" t="s">
        <v>74</v>
      </c>
      <c r="BR465" t="s">
        <v>103</v>
      </c>
      <c r="BS465" t="s">
        <v>9320</v>
      </c>
      <c r="BT465" t="str">
        <f>HYPERLINK("https%3A%2F%2Fwww.webofscience.com%2Fwos%2Fwoscc%2Ffull-record%2FWOS:000479030200013","View Full Record in Web of Science")</f>
        <v>View Full Record in Web of Science</v>
      </c>
    </row>
    <row r="466" spans="1:72" x14ac:dyDescent="0.15">
      <c r="A466" t="s">
        <v>72</v>
      </c>
      <c r="B466" t="s">
        <v>9321</v>
      </c>
      <c r="C466" t="s">
        <v>74</v>
      </c>
      <c r="D466" t="s">
        <v>74</v>
      </c>
      <c r="E466" t="s">
        <v>74</v>
      </c>
      <c r="F466" t="s">
        <v>9322</v>
      </c>
      <c r="G466" t="s">
        <v>74</v>
      </c>
      <c r="H466" t="s">
        <v>74</v>
      </c>
      <c r="I466" t="s">
        <v>9323</v>
      </c>
      <c r="J466" t="s">
        <v>3630</v>
      </c>
      <c r="K466" t="s">
        <v>74</v>
      </c>
      <c r="L466" t="s">
        <v>74</v>
      </c>
      <c r="M466" t="s">
        <v>78</v>
      </c>
      <c r="N466" t="s">
        <v>108</v>
      </c>
      <c r="O466" t="s">
        <v>74</v>
      </c>
      <c r="P466" t="s">
        <v>74</v>
      </c>
      <c r="Q466" t="s">
        <v>74</v>
      </c>
      <c r="R466" t="s">
        <v>74</v>
      </c>
      <c r="S466" t="s">
        <v>74</v>
      </c>
      <c r="T466" t="s">
        <v>9324</v>
      </c>
      <c r="U466" t="s">
        <v>9325</v>
      </c>
      <c r="V466" t="s">
        <v>9326</v>
      </c>
      <c r="W466" t="s">
        <v>9327</v>
      </c>
      <c r="X466" t="s">
        <v>9328</v>
      </c>
      <c r="Y466" t="s">
        <v>9329</v>
      </c>
      <c r="Z466" t="s">
        <v>9330</v>
      </c>
      <c r="AA466" t="s">
        <v>9331</v>
      </c>
      <c r="AB466" t="s">
        <v>74</v>
      </c>
      <c r="AC466" t="s">
        <v>9332</v>
      </c>
      <c r="AD466" t="s">
        <v>9333</v>
      </c>
      <c r="AE466" t="s">
        <v>9334</v>
      </c>
      <c r="AF466" t="s">
        <v>74</v>
      </c>
      <c r="AG466">
        <v>39</v>
      </c>
      <c r="AH466">
        <v>5</v>
      </c>
      <c r="AI466">
        <v>7</v>
      </c>
      <c r="AJ466">
        <v>0</v>
      </c>
      <c r="AK466">
        <v>12</v>
      </c>
      <c r="AL466" t="s">
        <v>3615</v>
      </c>
      <c r="AM466" t="s">
        <v>3616</v>
      </c>
      <c r="AN466" t="s">
        <v>3617</v>
      </c>
      <c r="AO466" t="s">
        <v>3643</v>
      </c>
      <c r="AP466" t="s">
        <v>74</v>
      </c>
      <c r="AQ466" t="s">
        <v>74</v>
      </c>
      <c r="AR466" t="s">
        <v>3644</v>
      </c>
      <c r="AS466" t="s">
        <v>3645</v>
      </c>
      <c r="AT466" t="s">
        <v>8453</v>
      </c>
      <c r="AU466">
        <v>2019</v>
      </c>
      <c r="AV466">
        <v>11</v>
      </c>
      <c r="AW466">
        <v>13</v>
      </c>
      <c r="AX466" t="s">
        <v>74</v>
      </c>
      <c r="AY466" t="s">
        <v>74</v>
      </c>
      <c r="AZ466" t="s">
        <v>74</v>
      </c>
      <c r="BA466" t="s">
        <v>74</v>
      </c>
      <c r="BB466" t="s">
        <v>74</v>
      </c>
      <c r="BC466" t="s">
        <v>74</v>
      </c>
      <c r="BD466">
        <v>1539</v>
      </c>
      <c r="BE466" t="s">
        <v>9335</v>
      </c>
      <c r="BF466" t="str">
        <f>HYPERLINK("http://dx.doi.org/10.3390/rs11131539","http://dx.doi.org/10.3390/rs11131539")</f>
        <v>http://dx.doi.org/10.3390/rs11131539</v>
      </c>
      <c r="BG466" t="s">
        <v>74</v>
      </c>
      <c r="BH466" t="s">
        <v>74</v>
      </c>
      <c r="BI466">
        <v>17</v>
      </c>
      <c r="BJ466" t="s">
        <v>3647</v>
      </c>
      <c r="BK466" t="s">
        <v>101</v>
      </c>
      <c r="BL466" t="s">
        <v>3648</v>
      </c>
      <c r="BM466" t="s">
        <v>9336</v>
      </c>
      <c r="BN466" t="s">
        <v>74</v>
      </c>
      <c r="BO466" t="s">
        <v>366</v>
      </c>
      <c r="BP466" t="s">
        <v>74</v>
      </c>
      <c r="BQ466" t="s">
        <v>74</v>
      </c>
      <c r="BR466" t="s">
        <v>103</v>
      </c>
      <c r="BS466" t="s">
        <v>9337</v>
      </c>
      <c r="BT466" t="str">
        <f>HYPERLINK("https%3A%2F%2Fwww.webofscience.com%2Fwos%2Fwoscc%2Ffull-record%2FWOS:000477049000031","View Full Record in Web of Science")</f>
        <v>View Full Record in Web of Science</v>
      </c>
    </row>
    <row r="467" spans="1:72" x14ac:dyDescent="0.15">
      <c r="A467" t="s">
        <v>72</v>
      </c>
      <c r="B467" t="s">
        <v>9338</v>
      </c>
      <c r="C467" t="s">
        <v>74</v>
      </c>
      <c r="D467" t="s">
        <v>74</v>
      </c>
      <c r="E467" t="s">
        <v>74</v>
      </c>
      <c r="F467" t="s">
        <v>9339</v>
      </c>
      <c r="G467" t="s">
        <v>74</v>
      </c>
      <c r="H467" t="s">
        <v>74</v>
      </c>
      <c r="I467" t="s">
        <v>9340</v>
      </c>
      <c r="J467" t="s">
        <v>3630</v>
      </c>
      <c r="K467" t="s">
        <v>74</v>
      </c>
      <c r="L467" t="s">
        <v>74</v>
      </c>
      <c r="M467" t="s">
        <v>78</v>
      </c>
      <c r="N467" t="s">
        <v>108</v>
      </c>
      <c r="O467" t="s">
        <v>74</v>
      </c>
      <c r="P467" t="s">
        <v>74</v>
      </c>
      <c r="Q467" t="s">
        <v>74</v>
      </c>
      <c r="R467" t="s">
        <v>74</v>
      </c>
      <c r="S467" t="s">
        <v>74</v>
      </c>
      <c r="T467" t="s">
        <v>9341</v>
      </c>
      <c r="U467" t="s">
        <v>9342</v>
      </c>
      <c r="V467" t="s">
        <v>9343</v>
      </c>
      <c r="W467" t="s">
        <v>9344</v>
      </c>
      <c r="X467" t="s">
        <v>9345</v>
      </c>
      <c r="Y467" t="s">
        <v>9346</v>
      </c>
      <c r="Z467" t="s">
        <v>9347</v>
      </c>
      <c r="AA467" t="s">
        <v>9348</v>
      </c>
      <c r="AB467" t="s">
        <v>9349</v>
      </c>
      <c r="AC467" t="s">
        <v>9350</v>
      </c>
      <c r="AD467" t="s">
        <v>9351</v>
      </c>
      <c r="AE467" t="s">
        <v>9352</v>
      </c>
      <c r="AF467" t="s">
        <v>74</v>
      </c>
      <c r="AG467">
        <v>30</v>
      </c>
      <c r="AH467">
        <v>5</v>
      </c>
      <c r="AI467">
        <v>7</v>
      </c>
      <c r="AJ467">
        <v>3</v>
      </c>
      <c r="AK467">
        <v>17</v>
      </c>
      <c r="AL467" t="s">
        <v>3615</v>
      </c>
      <c r="AM467" t="s">
        <v>3616</v>
      </c>
      <c r="AN467" t="s">
        <v>3617</v>
      </c>
      <c r="AO467" t="s">
        <v>3643</v>
      </c>
      <c r="AP467" t="s">
        <v>74</v>
      </c>
      <c r="AQ467" t="s">
        <v>74</v>
      </c>
      <c r="AR467" t="s">
        <v>3644</v>
      </c>
      <c r="AS467" t="s">
        <v>3645</v>
      </c>
      <c r="AT467" t="s">
        <v>8453</v>
      </c>
      <c r="AU467">
        <v>2019</v>
      </c>
      <c r="AV467">
        <v>11</v>
      </c>
      <c r="AW467">
        <v>13</v>
      </c>
      <c r="AX467" t="s">
        <v>74</v>
      </c>
      <c r="AY467" t="s">
        <v>74</v>
      </c>
      <c r="AZ467" t="s">
        <v>74</v>
      </c>
      <c r="BA467" t="s">
        <v>74</v>
      </c>
      <c r="BB467" t="s">
        <v>74</v>
      </c>
      <c r="BC467" t="s">
        <v>74</v>
      </c>
      <c r="BD467">
        <v>1616</v>
      </c>
      <c r="BE467" t="s">
        <v>9353</v>
      </c>
      <c r="BF467" t="str">
        <f>HYPERLINK("http://dx.doi.org/10.3390/rs11131616","http://dx.doi.org/10.3390/rs11131616")</f>
        <v>http://dx.doi.org/10.3390/rs11131616</v>
      </c>
      <c r="BG467" t="s">
        <v>74</v>
      </c>
      <c r="BH467" t="s">
        <v>74</v>
      </c>
      <c r="BI467">
        <v>16</v>
      </c>
      <c r="BJ467" t="s">
        <v>3647</v>
      </c>
      <c r="BK467" t="s">
        <v>101</v>
      </c>
      <c r="BL467" t="s">
        <v>3648</v>
      </c>
      <c r="BM467" t="s">
        <v>9336</v>
      </c>
      <c r="BN467" t="s">
        <v>74</v>
      </c>
      <c r="BO467" t="s">
        <v>1197</v>
      </c>
      <c r="BP467" t="s">
        <v>74</v>
      </c>
      <c r="BQ467" t="s">
        <v>74</v>
      </c>
      <c r="BR467" t="s">
        <v>103</v>
      </c>
      <c r="BS467" t="s">
        <v>9354</v>
      </c>
      <c r="BT467" t="str">
        <f>HYPERLINK("https%3A%2F%2Fwww.webofscience.com%2Fwos%2Fwoscc%2Ffull-record%2FWOS:000477049000107","View Full Record in Web of Science")</f>
        <v>View Full Record in Web of Science</v>
      </c>
    </row>
    <row r="468" spans="1:72" x14ac:dyDescent="0.15">
      <c r="A468" t="s">
        <v>72</v>
      </c>
      <c r="B468" t="s">
        <v>9355</v>
      </c>
      <c r="C468" t="s">
        <v>74</v>
      </c>
      <c r="D468" t="s">
        <v>74</v>
      </c>
      <c r="E468" t="s">
        <v>74</v>
      </c>
      <c r="F468" t="s">
        <v>9356</v>
      </c>
      <c r="G468" t="s">
        <v>74</v>
      </c>
      <c r="H468" t="s">
        <v>74</v>
      </c>
      <c r="I468" t="s">
        <v>9357</v>
      </c>
      <c r="J468" t="s">
        <v>9358</v>
      </c>
      <c r="K468" t="s">
        <v>74</v>
      </c>
      <c r="L468" t="s">
        <v>74</v>
      </c>
      <c r="M468" t="s">
        <v>78</v>
      </c>
      <c r="N468" t="s">
        <v>108</v>
      </c>
      <c r="O468" t="s">
        <v>74</v>
      </c>
      <c r="P468" t="s">
        <v>74</v>
      </c>
      <c r="Q468" t="s">
        <v>74</v>
      </c>
      <c r="R468" t="s">
        <v>74</v>
      </c>
      <c r="S468" t="s">
        <v>74</v>
      </c>
      <c r="T468" t="s">
        <v>74</v>
      </c>
      <c r="U468" t="s">
        <v>9359</v>
      </c>
      <c r="V468" t="s">
        <v>9360</v>
      </c>
      <c r="W468" t="s">
        <v>9361</v>
      </c>
      <c r="X468" t="s">
        <v>9362</v>
      </c>
      <c r="Y468" t="s">
        <v>9029</v>
      </c>
      <c r="Z468" t="s">
        <v>9030</v>
      </c>
      <c r="AA468" t="s">
        <v>9363</v>
      </c>
      <c r="AB468" t="s">
        <v>9364</v>
      </c>
      <c r="AC468" t="s">
        <v>9365</v>
      </c>
      <c r="AD468" t="s">
        <v>981</v>
      </c>
      <c r="AE468" t="s">
        <v>9366</v>
      </c>
      <c r="AF468" t="s">
        <v>74</v>
      </c>
      <c r="AG468">
        <v>45</v>
      </c>
      <c r="AH468">
        <v>6</v>
      </c>
      <c r="AI468">
        <v>6</v>
      </c>
      <c r="AJ468">
        <v>0</v>
      </c>
      <c r="AK468">
        <v>3</v>
      </c>
      <c r="AL468" t="s">
        <v>182</v>
      </c>
      <c r="AM468" t="s">
        <v>183</v>
      </c>
      <c r="AN468" t="s">
        <v>184</v>
      </c>
      <c r="AO468" t="s">
        <v>9367</v>
      </c>
      <c r="AP468" t="s">
        <v>74</v>
      </c>
      <c r="AQ468" t="s">
        <v>74</v>
      </c>
      <c r="AR468" t="s">
        <v>9368</v>
      </c>
      <c r="AS468" t="s">
        <v>9369</v>
      </c>
      <c r="AT468" t="s">
        <v>7543</v>
      </c>
      <c r="AU468">
        <v>2019</v>
      </c>
      <c r="AV468">
        <v>17</v>
      </c>
      <c r="AW468">
        <v>7</v>
      </c>
      <c r="AX468" t="s">
        <v>74</v>
      </c>
      <c r="AY468" t="s">
        <v>74</v>
      </c>
      <c r="AZ468" t="s">
        <v>74</v>
      </c>
      <c r="BA468" t="s">
        <v>74</v>
      </c>
      <c r="BB468">
        <v>976</v>
      </c>
      <c r="BC468">
        <v>988</v>
      </c>
      <c r="BD468" t="s">
        <v>74</v>
      </c>
      <c r="BE468" t="s">
        <v>9370</v>
      </c>
      <c r="BF468" t="str">
        <f>HYPERLINK("http://dx.doi.org/10.1029/2019SW002161","http://dx.doi.org/10.1029/2019SW002161")</f>
        <v>http://dx.doi.org/10.1029/2019SW002161</v>
      </c>
      <c r="BG468" t="s">
        <v>74</v>
      </c>
      <c r="BH468" t="s">
        <v>74</v>
      </c>
      <c r="BI468">
        <v>13</v>
      </c>
      <c r="BJ468" t="s">
        <v>9371</v>
      </c>
      <c r="BK468" t="s">
        <v>101</v>
      </c>
      <c r="BL468" t="s">
        <v>9371</v>
      </c>
      <c r="BM468" t="s">
        <v>9372</v>
      </c>
      <c r="BN468" t="s">
        <v>74</v>
      </c>
      <c r="BO468" t="s">
        <v>9373</v>
      </c>
      <c r="BP468" t="s">
        <v>74</v>
      </c>
      <c r="BQ468" t="s">
        <v>74</v>
      </c>
      <c r="BR468" t="s">
        <v>103</v>
      </c>
      <c r="BS468" t="s">
        <v>9374</v>
      </c>
      <c r="BT468" t="str">
        <f>HYPERLINK("https%3A%2F%2Fwww.webofscience.com%2Fwos%2Fwoscc%2Ffull-record%2FWOS:000479282100003","View Full Record in Web of Science")</f>
        <v>View Full Record in Web of Science</v>
      </c>
    </row>
    <row r="469" spans="1:72" x14ac:dyDescent="0.15">
      <c r="A469" t="s">
        <v>72</v>
      </c>
      <c r="B469" t="s">
        <v>9375</v>
      </c>
      <c r="C469" t="s">
        <v>74</v>
      </c>
      <c r="D469" t="s">
        <v>74</v>
      </c>
      <c r="E469" t="s">
        <v>74</v>
      </c>
      <c r="F469" t="s">
        <v>9376</v>
      </c>
      <c r="G469" t="s">
        <v>74</v>
      </c>
      <c r="H469" t="s">
        <v>74</v>
      </c>
      <c r="I469" t="s">
        <v>9377</v>
      </c>
      <c r="J469" t="s">
        <v>9358</v>
      </c>
      <c r="K469" t="s">
        <v>74</v>
      </c>
      <c r="L469" t="s">
        <v>74</v>
      </c>
      <c r="M469" t="s">
        <v>78</v>
      </c>
      <c r="N469" t="s">
        <v>108</v>
      </c>
      <c r="O469" t="s">
        <v>74</v>
      </c>
      <c r="P469" t="s">
        <v>74</v>
      </c>
      <c r="Q469" t="s">
        <v>74</v>
      </c>
      <c r="R469" t="s">
        <v>74</v>
      </c>
      <c r="S469" t="s">
        <v>74</v>
      </c>
      <c r="T469" t="s">
        <v>74</v>
      </c>
      <c r="U469" t="s">
        <v>9378</v>
      </c>
      <c r="V469" t="s">
        <v>9379</v>
      </c>
      <c r="W469" t="s">
        <v>9380</v>
      </c>
      <c r="X469" t="s">
        <v>9381</v>
      </c>
      <c r="Y469" t="s">
        <v>9382</v>
      </c>
      <c r="Z469" t="s">
        <v>9383</v>
      </c>
      <c r="AA469" t="s">
        <v>9384</v>
      </c>
      <c r="AB469" t="s">
        <v>9385</v>
      </c>
      <c r="AC469" t="s">
        <v>9386</v>
      </c>
      <c r="AD469" t="s">
        <v>9387</v>
      </c>
      <c r="AE469" t="s">
        <v>9388</v>
      </c>
      <c r="AF469" t="s">
        <v>74</v>
      </c>
      <c r="AG469">
        <v>51</v>
      </c>
      <c r="AH469">
        <v>9</v>
      </c>
      <c r="AI469">
        <v>9</v>
      </c>
      <c r="AJ469">
        <v>0</v>
      </c>
      <c r="AK469">
        <v>1</v>
      </c>
      <c r="AL469" t="s">
        <v>182</v>
      </c>
      <c r="AM469" t="s">
        <v>183</v>
      </c>
      <c r="AN469" t="s">
        <v>184</v>
      </c>
      <c r="AO469" t="s">
        <v>9367</v>
      </c>
      <c r="AP469" t="s">
        <v>74</v>
      </c>
      <c r="AQ469" t="s">
        <v>74</v>
      </c>
      <c r="AR469" t="s">
        <v>9368</v>
      </c>
      <c r="AS469" t="s">
        <v>9369</v>
      </c>
      <c r="AT469" t="s">
        <v>7543</v>
      </c>
      <c r="AU469">
        <v>2019</v>
      </c>
      <c r="AV469">
        <v>17</v>
      </c>
      <c r="AW469">
        <v>7</v>
      </c>
      <c r="AX469" t="s">
        <v>74</v>
      </c>
      <c r="AY469" t="s">
        <v>74</v>
      </c>
      <c r="AZ469" t="s">
        <v>74</v>
      </c>
      <c r="BA469" t="s">
        <v>74</v>
      </c>
      <c r="BB469">
        <v>1059</v>
      </c>
      <c r="BC469">
        <v>1072</v>
      </c>
      <c r="BD469" t="s">
        <v>74</v>
      </c>
      <c r="BE469" t="s">
        <v>9389</v>
      </c>
      <c r="BF469" t="str">
        <f>HYPERLINK("http://dx.doi.org/10.1029/2019SW002213","http://dx.doi.org/10.1029/2019SW002213")</f>
        <v>http://dx.doi.org/10.1029/2019SW002213</v>
      </c>
      <c r="BG469" t="s">
        <v>74</v>
      </c>
      <c r="BH469" t="s">
        <v>74</v>
      </c>
      <c r="BI469">
        <v>14</v>
      </c>
      <c r="BJ469" t="s">
        <v>9371</v>
      </c>
      <c r="BK469" t="s">
        <v>101</v>
      </c>
      <c r="BL469" t="s">
        <v>9371</v>
      </c>
      <c r="BM469" t="s">
        <v>9372</v>
      </c>
      <c r="BN469" t="s">
        <v>74</v>
      </c>
      <c r="BO469" t="s">
        <v>2112</v>
      </c>
      <c r="BP469" t="s">
        <v>74</v>
      </c>
      <c r="BQ469" t="s">
        <v>74</v>
      </c>
      <c r="BR469" t="s">
        <v>103</v>
      </c>
      <c r="BS469" t="s">
        <v>9390</v>
      </c>
      <c r="BT469" t="str">
        <f>HYPERLINK("https%3A%2F%2Fwww.webofscience.com%2Fwos%2Fwoscc%2Ffull-record%2FWOS:000479282100008","View Full Record in Web of Science")</f>
        <v>View Full Record in Web of Science</v>
      </c>
    </row>
    <row r="470" spans="1:72" x14ac:dyDescent="0.15">
      <c r="A470" t="s">
        <v>72</v>
      </c>
      <c r="B470" t="s">
        <v>9391</v>
      </c>
      <c r="C470" t="s">
        <v>74</v>
      </c>
      <c r="D470" t="s">
        <v>74</v>
      </c>
      <c r="E470" t="s">
        <v>74</v>
      </c>
      <c r="F470" t="s">
        <v>9392</v>
      </c>
      <c r="G470" t="s">
        <v>74</v>
      </c>
      <c r="H470" t="s">
        <v>74</v>
      </c>
      <c r="I470" t="s">
        <v>9393</v>
      </c>
      <c r="J470" t="s">
        <v>9394</v>
      </c>
      <c r="K470" t="s">
        <v>74</v>
      </c>
      <c r="L470" t="s">
        <v>74</v>
      </c>
      <c r="M470" t="s">
        <v>78</v>
      </c>
      <c r="N470" t="s">
        <v>108</v>
      </c>
      <c r="O470" t="s">
        <v>74</v>
      </c>
      <c r="P470" t="s">
        <v>74</v>
      </c>
      <c r="Q470" t="s">
        <v>74</v>
      </c>
      <c r="R470" t="s">
        <v>74</v>
      </c>
      <c r="S470" t="s">
        <v>74</v>
      </c>
      <c r="T470" t="s">
        <v>9395</v>
      </c>
      <c r="U470" t="s">
        <v>9396</v>
      </c>
      <c r="V470" t="s">
        <v>9397</v>
      </c>
      <c r="W470" t="s">
        <v>9398</v>
      </c>
      <c r="X470" t="s">
        <v>9399</v>
      </c>
      <c r="Y470" t="s">
        <v>9400</v>
      </c>
      <c r="Z470" t="s">
        <v>9401</v>
      </c>
      <c r="AA470" t="s">
        <v>9402</v>
      </c>
      <c r="AB470" t="s">
        <v>9403</v>
      </c>
      <c r="AC470" t="s">
        <v>9404</v>
      </c>
      <c r="AD470" t="s">
        <v>9405</v>
      </c>
      <c r="AE470" t="s">
        <v>9406</v>
      </c>
      <c r="AF470" t="s">
        <v>74</v>
      </c>
      <c r="AG470">
        <v>83</v>
      </c>
      <c r="AH470">
        <v>12</v>
      </c>
      <c r="AI470">
        <v>12</v>
      </c>
      <c r="AJ470">
        <v>4</v>
      </c>
      <c r="AK470">
        <v>13</v>
      </c>
      <c r="AL470" t="s">
        <v>3615</v>
      </c>
      <c r="AM470" t="s">
        <v>3616</v>
      </c>
      <c r="AN470" t="s">
        <v>3617</v>
      </c>
      <c r="AO470" t="s">
        <v>74</v>
      </c>
      <c r="AP470" t="s">
        <v>9407</v>
      </c>
      <c r="AQ470" t="s">
        <v>74</v>
      </c>
      <c r="AR470" t="s">
        <v>9408</v>
      </c>
      <c r="AS470" t="s">
        <v>9409</v>
      </c>
      <c r="AT470" t="s">
        <v>7543</v>
      </c>
      <c r="AU470">
        <v>2019</v>
      </c>
      <c r="AV470">
        <v>11</v>
      </c>
      <c r="AW470">
        <v>7</v>
      </c>
      <c r="AX470" t="s">
        <v>74</v>
      </c>
      <c r="AY470" t="s">
        <v>74</v>
      </c>
      <c r="AZ470" t="s">
        <v>74</v>
      </c>
      <c r="BA470" t="s">
        <v>74</v>
      </c>
      <c r="BB470" t="s">
        <v>74</v>
      </c>
      <c r="BC470" t="s">
        <v>74</v>
      </c>
      <c r="BD470">
        <v>1507</v>
      </c>
      <c r="BE470" t="s">
        <v>9410</v>
      </c>
      <c r="BF470" t="str">
        <f>HYPERLINK("http://dx.doi.org/10.3390/w11071507","http://dx.doi.org/10.3390/w11071507")</f>
        <v>http://dx.doi.org/10.3390/w11071507</v>
      </c>
      <c r="BG470" t="s">
        <v>74</v>
      </c>
      <c r="BH470" t="s">
        <v>74</v>
      </c>
      <c r="BI470">
        <v>19</v>
      </c>
      <c r="BJ470" t="s">
        <v>9411</v>
      </c>
      <c r="BK470" t="s">
        <v>101</v>
      </c>
      <c r="BL470" t="s">
        <v>9412</v>
      </c>
      <c r="BM470" t="s">
        <v>9413</v>
      </c>
      <c r="BN470" t="s">
        <v>74</v>
      </c>
      <c r="BO470" t="s">
        <v>1041</v>
      </c>
      <c r="BP470" t="s">
        <v>74</v>
      </c>
      <c r="BQ470" t="s">
        <v>74</v>
      </c>
      <c r="BR470" t="s">
        <v>103</v>
      </c>
      <c r="BS470" t="s">
        <v>9414</v>
      </c>
      <c r="BT470" t="str">
        <f>HYPERLINK("https%3A%2F%2Fwww.webofscience.com%2Fwos%2Fwoscc%2Ffull-record%2FWOS:000480632300192","View Full Record in Web of Science")</f>
        <v>View Full Record in Web of Science</v>
      </c>
    </row>
    <row r="471" spans="1:72" x14ac:dyDescent="0.15">
      <c r="A471" t="s">
        <v>72</v>
      </c>
      <c r="B471" t="s">
        <v>9415</v>
      </c>
      <c r="C471" t="s">
        <v>74</v>
      </c>
      <c r="D471" t="s">
        <v>74</v>
      </c>
      <c r="E471" t="s">
        <v>74</v>
      </c>
      <c r="F471" t="s">
        <v>9416</v>
      </c>
      <c r="G471" t="s">
        <v>74</v>
      </c>
      <c r="H471" t="s">
        <v>74</v>
      </c>
      <c r="I471" t="s">
        <v>9417</v>
      </c>
      <c r="J471" t="s">
        <v>5818</v>
      </c>
      <c r="K471" t="s">
        <v>74</v>
      </c>
      <c r="L471" t="s">
        <v>74</v>
      </c>
      <c r="M471" t="s">
        <v>78</v>
      </c>
      <c r="N471" t="s">
        <v>108</v>
      </c>
      <c r="O471" t="s">
        <v>74</v>
      </c>
      <c r="P471" t="s">
        <v>74</v>
      </c>
      <c r="Q471" t="s">
        <v>74</v>
      </c>
      <c r="R471" t="s">
        <v>74</v>
      </c>
      <c r="S471" t="s">
        <v>74</v>
      </c>
      <c r="T471" t="s">
        <v>74</v>
      </c>
      <c r="U471" t="s">
        <v>9418</v>
      </c>
      <c r="V471" t="s">
        <v>9419</v>
      </c>
      <c r="W471" t="s">
        <v>9420</v>
      </c>
      <c r="X471" t="s">
        <v>9421</v>
      </c>
      <c r="Y471" t="s">
        <v>9422</v>
      </c>
      <c r="Z471" t="s">
        <v>9423</v>
      </c>
      <c r="AA471" t="s">
        <v>9424</v>
      </c>
      <c r="AB471" t="s">
        <v>9425</v>
      </c>
      <c r="AC471" t="s">
        <v>9426</v>
      </c>
      <c r="AD471" t="s">
        <v>9427</v>
      </c>
      <c r="AE471" t="s">
        <v>9428</v>
      </c>
      <c r="AF471" t="s">
        <v>74</v>
      </c>
      <c r="AG471">
        <v>141</v>
      </c>
      <c r="AH471">
        <v>15</v>
      </c>
      <c r="AI471">
        <v>17</v>
      </c>
      <c r="AJ471">
        <v>1</v>
      </c>
      <c r="AK471">
        <v>12</v>
      </c>
      <c r="AL471" t="s">
        <v>1140</v>
      </c>
      <c r="AM471" t="s">
        <v>1141</v>
      </c>
      <c r="AN471" t="s">
        <v>1142</v>
      </c>
      <c r="AO471" t="s">
        <v>5827</v>
      </c>
      <c r="AP471" t="s">
        <v>5828</v>
      </c>
      <c r="AQ471" t="s">
        <v>74</v>
      </c>
      <c r="AR471" t="s">
        <v>5829</v>
      </c>
      <c r="AS471" t="s">
        <v>5830</v>
      </c>
      <c r="AT471" t="s">
        <v>7543</v>
      </c>
      <c r="AU471">
        <v>2019</v>
      </c>
      <c r="AV471">
        <v>54</v>
      </c>
      <c r="AW471">
        <v>7</v>
      </c>
      <c r="AX471" t="s">
        <v>74</v>
      </c>
      <c r="AY471" t="s">
        <v>74</v>
      </c>
      <c r="AZ471" t="s">
        <v>74</v>
      </c>
      <c r="BA471" t="s">
        <v>74</v>
      </c>
      <c r="BB471">
        <v>1401</v>
      </c>
      <c r="BC471">
        <v>1430</v>
      </c>
      <c r="BD471" t="s">
        <v>74</v>
      </c>
      <c r="BE471" t="s">
        <v>9429</v>
      </c>
      <c r="BF471" t="str">
        <f>HYPERLINK("http://dx.doi.org/10.1111/maps.13295","http://dx.doi.org/10.1111/maps.13295")</f>
        <v>http://dx.doi.org/10.1111/maps.13295</v>
      </c>
      <c r="BG471" t="s">
        <v>74</v>
      </c>
      <c r="BH471" t="s">
        <v>74</v>
      </c>
      <c r="BI471">
        <v>30</v>
      </c>
      <c r="BJ471" t="s">
        <v>190</v>
      </c>
      <c r="BK471" t="s">
        <v>101</v>
      </c>
      <c r="BL471" t="s">
        <v>190</v>
      </c>
      <c r="BM471" t="s">
        <v>9430</v>
      </c>
      <c r="BN471" t="s">
        <v>74</v>
      </c>
      <c r="BO471" t="s">
        <v>6963</v>
      </c>
      <c r="BP471" t="s">
        <v>74</v>
      </c>
      <c r="BQ471" t="s">
        <v>74</v>
      </c>
      <c r="BR471" t="s">
        <v>103</v>
      </c>
      <c r="BS471" t="s">
        <v>9431</v>
      </c>
      <c r="BT471" t="str">
        <f>HYPERLINK("https%3A%2F%2Fwww.webofscience.com%2Fwos%2Fwoscc%2Ffull-record%2FWOS:000478847500002","View Full Record in Web of Science")</f>
        <v>View Full Record in Web of Science</v>
      </c>
    </row>
    <row r="472" spans="1:72" x14ac:dyDescent="0.15">
      <c r="A472" t="s">
        <v>72</v>
      </c>
      <c r="B472" t="s">
        <v>9432</v>
      </c>
      <c r="C472" t="s">
        <v>74</v>
      </c>
      <c r="D472" t="s">
        <v>74</v>
      </c>
      <c r="E472" t="s">
        <v>74</v>
      </c>
      <c r="F472" t="s">
        <v>9433</v>
      </c>
      <c r="G472" t="s">
        <v>74</v>
      </c>
      <c r="H472" t="s">
        <v>74</v>
      </c>
      <c r="I472" t="s">
        <v>9434</v>
      </c>
      <c r="J472" t="s">
        <v>5818</v>
      </c>
      <c r="K472" t="s">
        <v>74</v>
      </c>
      <c r="L472" t="s">
        <v>74</v>
      </c>
      <c r="M472" t="s">
        <v>78</v>
      </c>
      <c r="N472" t="s">
        <v>108</v>
      </c>
      <c r="O472" t="s">
        <v>74</v>
      </c>
      <c r="P472" t="s">
        <v>74</v>
      </c>
      <c r="Q472" t="s">
        <v>74</v>
      </c>
      <c r="R472" t="s">
        <v>74</v>
      </c>
      <c r="S472" t="s">
        <v>74</v>
      </c>
      <c r="T472" t="s">
        <v>74</v>
      </c>
      <c r="U472" t="s">
        <v>9435</v>
      </c>
      <c r="V472" t="s">
        <v>9436</v>
      </c>
      <c r="W472" t="s">
        <v>9437</v>
      </c>
      <c r="X472" t="s">
        <v>9438</v>
      </c>
      <c r="Y472" t="s">
        <v>9439</v>
      </c>
      <c r="Z472" t="s">
        <v>9440</v>
      </c>
      <c r="AA472" t="s">
        <v>9441</v>
      </c>
      <c r="AB472" t="s">
        <v>9442</v>
      </c>
      <c r="AC472" t="s">
        <v>9443</v>
      </c>
      <c r="AD472" t="s">
        <v>9444</v>
      </c>
      <c r="AE472" t="s">
        <v>9445</v>
      </c>
      <c r="AF472" t="s">
        <v>74</v>
      </c>
      <c r="AG472">
        <v>43</v>
      </c>
      <c r="AH472">
        <v>5</v>
      </c>
      <c r="AI472">
        <v>5</v>
      </c>
      <c r="AJ472">
        <v>1</v>
      </c>
      <c r="AK472">
        <v>2</v>
      </c>
      <c r="AL472" t="s">
        <v>1140</v>
      </c>
      <c r="AM472" t="s">
        <v>1141</v>
      </c>
      <c r="AN472" t="s">
        <v>1142</v>
      </c>
      <c r="AO472" t="s">
        <v>5827</v>
      </c>
      <c r="AP472" t="s">
        <v>5828</v>
      </c>
      <c r="AQ472" t="s">
        <v>74</v>
      </c>
      <c r="AR472" t="s">
        <v>5829</v>
      </c>
      <c r="AS472" t="s">
        <v>5830</v>
      </c>
      <c r="AT472" t="s">
        <v>7543</v>
      </c>
      <c r="AU472">
        <v>2019</v>
      </c>
      <c r="AV472">
        <v>54</v>
      </c>
      <c r="AW472">
        <v>7</v>
      </c>
      <c r="AX472" t="s">
        <v>74</v>
      </c>
      <c r="AY472" t="s">
        <v>74</v>
      </c>
      <c r="AZ472" t="s">
        <v>74</v>
      </c>
      <c r="BA472" t="s">
        <v>74</v>
      </c>
      <c r="BB472">
        <v>1563</v>
      </c>
      <c r="BC472">
        <v>1578</v>
      </c>
      <c r="BD472" t="s">
        <v>74</v>
      </c>
      <c r="BE472" t="s">
        <v>9446</v>
      </c>
      <c r="BF472" t="str">
        <f>HYPERLINK("http://dx.doi.org/10.1111/maps.13284","http://dx.doi.org/10.1111/maps.13284")</f>
        <v>http://dx.doi.org/10.1111/maps.13284</v>
      </c>
      <c r="BG472" t="s">
        <v>74</v>
      </c>
      <c r="BH472" t="s">
        <v>74</v>
      </c>
      <c r="BI472">
        <v>16</v>
      </c>
      <c r="BJ472" t="s">
        <v>190</v>
      </c>
      <c r="BK472" t="s">
        <v>101</v>
      </c>
      <c r="BL472" t="s">
        <v>190</v>
      </c>
      <c r="BM472" t="s">
        <v>9430</v>
      </c>
      <c r="BN472">
        <v>31423075</v>
      </c>
      <c r="BO472" t="s">
        <v>595</v>
      </c>
      <c r="BP472" t="s">
        <v>74</v>
      </c>
      <c r="BQ472" t="s">
        <v>74</v>
      </c>
      <c r="BR472" t="s">
        <v>103</v>
      </c>
      <c r="BS472" t="s">
        <v>9447</v>
      </c>
      <c r="BT472" t="str">
        <f>HYPERLINK("https%3A%2F%2Fwww.webofscience.com%2Fwos%2Fwoscc%2Ffull-record%2FWOS:000478847500010","View Full Record in Web of Science")</f>
        <v>View Full Record in Web of Science</v>
      </c>
    </row>
    <row r="473" spans="1:72" x14ac:dyDescent="0.15">
      <c r="A473" t="s">
        <v>72</v>
      </c>
      <c r="B473" t="s">
        <v>9448</v>
      </c>
      <c r="C473" t="s">
        <v>74</v>
      </c>
      <c r="D473" t="s">
        <v>74</v>
      </c>
      <c r="E473" t="s">
        <v>74</v>
      </c>
      <c r="F473" t="s">
        <v>9449</v>
      </c>
      <c r="G473" t="s">
        <v>74</v>
      </c>
      <c r="H473" t="s">
        <v>74</v>
      </c>
      <c r="I473" t="s">
        <v>9450</v>
      </c>
      <c r="J473" t="s">
        <v>2867</v>
      </c>
      <c r="K473" t="s">
        <v>74</v>
      </c>
      <c r="L473" t="s">
        <v>74</v>
      </c>
      <c r="M473" t="s">
        <v>78</v>
      </c>
      <c r="N473" t="s">
        <v>108</v>
      </c>
      <c r="O473" t="s">
        <v>74</v>
      </c>
      <c r="P473" t="s">
        <v>74</v>
      </c>
      <c r="Q473" t="s">
        <v>74</v>
      </c>
      <c r="R473" t="s">
        <v>74</v>
      </c>
      <c r="S473" t="s">
        <v>74</v>
      </c>
      <c r="T473" t="s">
        <v>9451</v>
      </c>
      <c r="U473" t="s">
        <v>9452</v>
      </c>
      <c r="V473" t="s">
        <v>9453</v>
      </c>
      <c r="W473" t="s">
        <v>9454</v>
      </c>
      <c r="X473" t="s">
        <v>9455</v>
      </c>
      <c r="Y473" t="s">
        <v>9456</v>
      </c>
      <c r="Z473" t="s">
        <v>9457</v>
      </c>
      <c r="AA473" t="s">
        <v>9458</v>
      </c>
      <c r="AB473" t="s">
        <v>9459</v>
      </c>
      <c r="AC473" t="s">
        <v>2328</v>
      </c>
      <c r="AD473" t="s">
        <v>2329</v>
      </c>
      <c r="AE473" t="s">
        <v>74</v>
      </c>
      <c r="AF473" t="s">
        <v>74</v>
      </c>
      <c r="AG473">
        <v>81</v>
      </c>
      <c r="AH473">
        <v>1</v>
      </c>
      <c r="AI473">
        <v>1</v>
      </c>
      <c r="AJ473">
        <v>0</v>
      </c>
      <c r="AK473">
        <v>5</v>
      </c>
      <c r="AL473" t="s">
        <v>1140</v>
      </c>
      <c r="AM473" t="s">
        <v>1141</v>
      </c>
      <c r="AN473" t="s">
        <v>1142</v>
      </c>
      <c r="AO473" t="s">
        <v>2879</v>
      </c>
      <c r="AP473" t="s">
        <v>74</v>
      </c>
      <c r="AQ473" t="s">
        <v>74</v>
      </c>
      <c r="AR473" t="s">
        <v>2880</v>
      </c>
      <c r="AS473" t="s">
        <v>2881</v>
      </c>
      <c r="AT473" t="s">
        <v>7543</v>
      </c>
      <c r="AU473">
        <v>2019</v>
      </c>
      <c r="AV473">
        <v>9</v>
      </c>
      <c r="AW473">
        <v>14</v>
      </c>
      <c r="AX473" t="s">
        <v>74</v>
      </c>
      <c r="AY473" t="s">
        <v>74</v>
      </c>
      <c r="AZ473" t="s">
        <v>74</v>
      </c>
      <c r="BA473" t="s">
        <v>74</v>
      </c>
      <c r="BB473">
        <v>7985</v>
      </c>
      <c r="BC473">
        <v>7996</v>
      </c>
      <c r="BD473" t="s">
        <v>74</v>
      </c>
      <c r="BE473" t="s">
        <v>9460</v>
      </c>
      <c r="BF473" t="str">
        <f>HYPERLINK("http://dx.doi.org/10.1002/ece3.5317","http://dx.doi.org/10.1002/ece3.5317")</f>
        <v>http://dx.doi.org/10.1002/ece3.5317</v>
      </c>
      <c r="BG473" t="s">
        <v>74</v>
      </c>
      <c r="BH473" t="s">
        <v>74</v>
      </c>
      <c r="BI473">
        <v>12</v>
      </c>
      <c r="BJ473" t="s">
        <v>2883</v>
      </c>
      <c r="BK473" t="s">
        <v>101</v>
      </c>
      <c r="BL473" t="s">
        <v>2884</v>
      </c>
      <c r="BM473" t="s">
        <v>9461</v>
      </c>
      <c r="BN473">
        <v>31380066</v>
      </c>
      <c r="BO473" t="s">
        <v>2313</v>
      </c>
      <c r="BP473" t="s">
        <v>74</v>
      </c>
      <c r="BQ473" t="s">
        <v>74</v>
      </c>
      <c r="BR473" t="s">
        <v>103</v>
      </c>
      <c r="BS473" t="s">
        <v>9462</v>
      </c>
      <c r="BT473" t="str">
        <f>HYPERLINK("https%3A%2F%2Fwww.webofscience.com%2Fwos%2Fwoscc%2Ffull-record%2FWOS:000478644700009","View Full Record in Web of Science")</f>
        <v>View Full Record in Web of Science</v>
      </c>
    </row>
    <row r="474" spans="1:72" x14ac:dyDescent="0.15">
      <c r="A474" t="s">
        <v>72</v>
      </c>
      <c r="B474" t="s">
        <v>9463</v>
      </c>
      <c r="C474" t="s">
        <v>74</v>
      </c>
      <c r="D474" t="s">
        <v>74</v>
      </c>
      <c r="E474" t="s">
        <v>74</v>
      </c>
      <c r="F474" t="s">
        <v>9464</v>
      </c>
      <c r="G474" t="s">
        <v>74</v>
      </c>
      <c r="H474" t="s">
        <v>74</v>
      </c>
      <c r="I474" t="s">
        <v>9465</v>
      </c>
      <c r="J474" t="s">
        <v>2867</v>
      </c>
      <c r="K474" t="s">
        <v>74</v>
      </c>
      <c r="L474" t="s">
        <v>74</v>
      </c>
      <c r="M474" t="s">
        <v>78</v>
      </c>
      <c r="N474" t="s">
        <v>108</v>
      </c>
      <c r="O474" t="s">
        <v>74</v>
      </c>
      <c r="P474" t="s">
        <v>74</v>
      </c>
      <c r="Q474" t="s">
        <v>74</v>
      </c>
      <c r="R474" t="s">
        <v>74</v>
      </c>
      <c r="S474" t="s">
        <v>74</v>
      </c>
      <c r="T474" t="s">
        <v>9466</v>
      </c>
      <c r="U474" t="s">
        <v>9467</v>
      </c>
      <c r="V474" t="s">
        <v>9468</v>
      </c>
      <c r="W474" t="s">
        <v>9469</v>
      </c>
      <c r="X474" t="s">
        <v>9470</v>
      </c>
      <c r="Y474" t="s">
        <v>9471</v>
      </c>
      <c r="Z474" t="s">
        <v>9472</v>
      </c>
      <c r="AA474" t="s">
        <v>9473</v>
      </c>
      <c r="AB474" t="s">
        <v>9474</v>
      </c>
      <c r="AC474" t="s">
        <v>74</v>
      </c>
      <c r="AD474" t="s">
        <v>74</v>
      </c>
      <c r="AE474" t="s">
        <v>74</v>
      </c>
      <c r="AF474" t="s">
        <v>74</v>
      </c>
      <c r="AG474">
        <v>84</v>
      </c>
      <c r="AH474">
        <v>5</v>
      </c>
      <c r="AI474">
        <v>6</v>
      </c>
      <c r="AJ474">
        <v>2</v>
      </c>
      <c r="AK474">
        <v>15</v>
      </c>
      <c r="AL474" t="s">
        <v>1140</v>
      </c>
      <c r="AM474" t="s">
        <v>1141</v>
      </c>
      <c r="AN474" t="s">
        <v>1142</v>
      </c>
      <c r="AO474" t="s">
        <v>2879</v>
      </c>
      <c r="AP474" t="s">
        <v>74</v>
      </c>
      <c r="AQ474" t="s">
        <v>74</v>
      </c>
      <c r="AR474" t="s">
        <v>2880</v>
      </c>
      <c r="AS474" t="s">
        <v>2881</v>
      </c>
      <c r="AT474" t="s">
        <v>7543</v>
      </c>
      <c r="AU474">
        <v>2019</v>
      </c>
      <c r="AV474">
        <v>9</v>
      </c>
      <c r="AW474">
        <v>14</v>
      </c>
      <c r="AX474" t="s">
        <v>74</v>
      </c>
      <c r="AY474" t="s">
        <v>74</v>
      </c>
      <c r="AZ474" t="s">
        <v>74</v>
      </c>
      <c r="BA474" t="s">
        <v>74</v>
      </c>
      <c r="BB474">
        <v>8119</v>
      </c>
      <c r="BC474">
        <v>8132</v>
      </c>
      <c r="BD474" t="s">
        <v>74</v>
      </c>
      <c r="BE474" t="s">
        <v>9475</v>
      </c>
      <c r="BF474" t="str">
        <f>HYPERLINK("http://dx.doi.org/10.1002/ece3.5380","http://dx.doi.org/10.1002/ece3.5380")</f>
        <v>http://dx.doi.org/10.1002/ece3.5380</v>
      </c>
      <c r="BG474" t="s">
        <v>74</v>
      </c>
      <c r="BH474" t="s">
        <v>74</v>
      </c>
      <c r="BI474">
        <v>14</v>
      </c>
      <c r="BJ474" t="s">
        <v>2883</v>
      </c>
      <c r="BK474" t="s">
        <v>101</v>
      </c>
      <c r="BL474" t="s">
        <v>2884</v>
      </c>
      <c r="BM474" t="s">
        <v>9461</v>
      </c>
      <c r="BN474">
        <v>31380076</v>
      </c>
      <c r="BO474" t="s">
        <v>313</v>
      </c>
      <c r="BP474" t="s">
        <v>74</v>
      </c>
      <c r="BQ474" t="s">
        <v>74</v>
      </c>
      <c r="BR474" t="s">
        <v>103</v>
      </c>
      <c r="BS474" t="s">
        <v>9476</v>
      </c>
      <c r="BT474" t="str">
        <f>HYPERLINK("https%3A%2F%2Fwww.webofscience.com%2Fwos%2Fwoscc%2Ffull-record%2FWOS:000478644700019","View Full Record in Web of Science")</f>
        <v>View Full Record in Web of Science</v>
      </c>
    </row>
    <row r="475" spans="1:72" x14ac:dyDescent="0.15">
      <c r="A475" t="s">
        <v>72</v>
      </c>
      <c r="B475" t="s">
        <v>9477</v>
      </c>
      <c r="C475" t="s">
        <v>74</v>
      </c>
      <c r="D475" t="s">
        <v>74</v>
      </c>
      <c r="E475" t="s">
        <v>74</v>
      </c>
      <c r="F475" t="s">
        <v>9478</v>
      </c>
      <c r="G475" t="s">
        <v>74</v>
      </c>
      <c r="H475" t="s">
        <v>74</v>
      </c>
      <c r="I475" t="s">
        <v>9479</v>
      </c>
      <c r="J475" t="s">
        <v>3603</v>
      </c>
      <c r="K475" t="s">
        <v>74</v>
      </c>
      <c r="L475" t="s">
        <v>74</v>
      </c>
      <c r="M475" t="s">
        <v>78</v>
      </c>
      <c r="N475" t="s">
        <v>108</v>
      </c>
      <c r="O475" t="s">
        <v>74</v>
      </c>
      <c r="P475" t="s">
        <v>74</v>
      </c>
      <c r="Q475" t="s">
        <v>74</v>
      </c>
      <c r="R475" t="s">
        <v>74</v>
      </c>
      <c r="S475" t="s">
        <v>74</v>
      </c>
      <c r="T475" t="s">
        <v>9480</v>
      </c>
      <c r="U475" t="s">
        <v>9481</v>
      </c>
      <c r="V475" t="s">
        <v>9482</v>
      </c>
      <c r="W475" t="s">
        <v>9483</v>
      </c>
      <c r="X475" t="s">
        <v>9484</v>
      </c>
      <c r="Y475" t="s">
        <v>9485</v>
      </c>
      <c r="Z475" t="s">
        <v>9486</v>
      </c>
      <c r="AA475" t="s">
        <v>74</v>
      </c>
      <c r="AB475" t="s">
        <v>74</v>
      </c>
      <c r="AC475" t="s">
        <v>9487</v>
      </c>
      <c r="AD475" t="s">
        <v>9488</v>
      </c>
      <c r="AE475" t="s">
        <v>9489</v>
      </c>
      <c r="AF475" t="s">
        <v>74</v>
      </c>
      <c r="AG475">
        <v>29</v>
      </c>
      <c r="AH475">
        <v>11</v>
      </c>
      <c r="AI475">
        <v>11</v>
      </c>
      <c r="AJ475">
        <v>3</v>
      </c>
      <c r="AK475">
        <v>13</v>
      </c>
      <c r="AL475" t="s">
        <v>3615</v>
      </c>
      <c r="AM475" t="s">
        <v>3616</v>
      </c>
      <c r="AN475" t="s">
        <v>3617</v>
      </c>
      <c r="AO475" t="s">
        <v>3618</v>
      </c>
      <c r="AP475" t="s">
        <v>74</v>
      </c>
      <c r="AQ475" t="s">
        <v>74</v>
      </c>
      <c r="AR475" t="s">
        <v>3619</v>
      </c>
      <c r="AS475" t="s">
        <v>3620</v>
      </c>
      <c r="AT475" t="s">
        <v>7543</v>
      </c>
      <c r="AU475">
        <v>2019</v>
      </c>
      <c r="AV475">
        <v>17</v>
      </c>
      <c r="AW475">
        <v>7</v>
      </c>
      <c r="AX475" t="s">
        <v>74</v>
      </c>
      <c r="AY475" t="s">
        <v>74</v>
      </c>
      <c r="AZ475" t="s">
        <v>74</v>
      </c>
      <c r="BA475" t="s">
        <v>74</v>
      </c>
      <c r="BB475" t="s">
        <v>74</v>
      </c>
      <c r="BC475" t="s">
        <v>74</v>
      </c>
      <c r="BD475">
        <v>430</v>
      </c>
      <c r="BE475" t="s">
        <v>9490</v>
      </c>
      <c r="BF475" t="str">
        <f>HYPERLINK("http://dx.doi.org/10.3390/md17070430","http://dx.doi.org/10.3390/md17070430")</f>
        <v>http://dx.doi.org/10.3390/md17070430</v>
      </c>
      <c r="BG475" t="s">
        <v>74</v>
      </c>
      <c r="BH475" t="s">
        <v>74</v>
      </c>
      <c r="BI475">
        <v>10</v>
      </c>
      <c r="BJ475" t="s">
        <v>3622</v>
      </c>
      <c r="BK475" t="s">
        <v>101</v>
      </c>
      <c r="BL475" t="s">
        <v>3623</v>
      </c>
      <c r="BM475" t="s">
        <v>9491</v>
      </c>
      <c r="BN475">
        <v>31340514</v>
      </c>
      <c r="BO475" t="s">
        <v>9492</v>
      </c>
      <c r="BP475" t="s">
        <v>74</v>
      </c>
      <c r="BQ475" t="s">
        <v>74</v>
      </c>
      <c r="BR475" t="s">
        <v>103</v>
      </c>
      <c r="BS475" t="s">
        <v>9493</v>
      </c>
      <c r="BT475" t="str">
        <f>HYPERLINK("https%3A%2F%2Fwww.webofscience.com%2Fwos%2Fwoscc%2Ffull-record%2FWOS:000478650600023","View Full Record in Web of Science")</f>
        <v>View Full Record in Web of Science</v>
      </c>
    </row>
    <row r="476" spans="1:72" x14ac:dyDescent="0.15">
      <c r="A476" t="s">
        <v>72</v>
      </c>
      <c r="B476" t="s">
        <v>9494</v>
      </c>
      <c r="C476" t="s">
        <v>74</v>
      </c>
      <c r="D476" t="s">
        <v>74</v>
      </c>
      <c r="E476" t="s">
        <v>74</v>
      </c>
      <c r="F476" t="s">
        <v>9495</v>
      </c>
      <c r="G476" t="s">
        <v>74</v>
      </c>
      <c r="H476" t="s">
        <v>74</v>
      </c>
      <c r="I476" t="s">
        <v>9496</v>
      </c>
      <c r="J476" t="s">
        <v>3603</v>
      </c>
      <c r="K476" t="s">
        <v>74</v>
      </c>
      <c r="L476" t="s">
        <v>74</v>
      </c>
      <c r="M476" t="s">
        <v>78</v>
      </c>
      <c r="N476" t="s">
        <v>108</v>
      </c>
      <c r="O476" t="s">
        <v>74</v>
      </c>
      <c r="P476" t="s">
        <v>74</v>
      </c>
      <c r="Q476" t="s">
        <v>74</v>
      </c>
      <c r="R476" t="s">
        <v>74</v>
      </c>
      <c r="S476" t="s">
        <v>74</v>
      </c>
      <c r="T476" t="s">
        <v>9497</v>
      </c>
      <c r="U476" t="s">
        <v>9498</v>
      </c>
      <c r="V476" t="s">
        <v>9499</v>
      </c>
      <c r="W476" t="s">
        <v>9500</v>
      </c>
      <c r="X476" t="s">
        <v>9501</v>
      </c>
      <c r="Y476" t="s">
        <v>9502</v>
      </c>
      <c r="Z476" t="s">
        <v>9503</v>
      </c>
      <c r="AA476" t="s">
        <v>74</v>
      </c>
      <c r="AB476" t="s">
        <v>9504</v>
      </c>
      <c r="AC476" t="s">
        <v>9505</v>
      </c>
      <c r="AD476" t="s">
        <v>9506</v>
      </c>
      <c r="AE476" t="s">
        <v>9507</v>
      </c>
      <c r="AF476" t="s">
        <v>74</v>
      </c>
      <c r="AG476">
        <v>47</v>
      </c>
      <c r="AH476">
        <v>13</v>
      </c>
      <c r="AI476">
        <v>16</v>
      </c>
      <c r="AJ476">
        <v>0</v>
      </c>
      <c r="AK476">
        <v>12</v>
      </c>
      <c r="AL476" t="s">
        <v>3615</v>
      </c>
      <c r="AM476" t="s">
        <v>3616</v>
      </c>
      <c r="AN476" t="s">
        <v>3617</v>
      </c>
      <c r="AO476" t="s">
        <v>74</v>
      </c>
      <c r="AP476" t="s">
        <v>3618</v>
      </c>
      <c r="AQ476" t="s">
        <v>74</v>
      </c>
      <c r="AR476" t="s">
        <v>3619</v>
      </c>
      <c r="AS476" t="s">
        <v>3620</v>
      </c>
      <c r="AT476" t="s">
        <v>7543</v>
      </c>
      <c r="AU476">
        <v>2019</v>
      </c>
      <c r="AV476">
        <v>17</v>
      </c>
      <c r="AW476">
        <v>7</v>
      </c>
      <c r="AX476" t="s">
        <v>74</v>
      </c>
      <c r="AY476" t="s">
        <v>74</v>
      </c>
      <c r="AZ476" t="s">
        <v>74</v>
      </c>
      <c r="BA476" t="s">
        <v>74</v>
      </c>
      <c r="BB476" t="s">
        <v>74</v>
      </c>
      <c r="BC476" t="s">
        <v>74</v>
      </c>
      <c r="BD476">
        <v>388</v>
      </c>
      <c r="BE476" t="s">
        <v>9508</v>
      </c>
      <c r="BF476" t="str">
        <f>HYPERLINK("http://dx.doi.org/10.3390/md17070388","http://dx.doi.org/10.3390/md17070388")</f>
        <v>http://dx.doi.org/10.3390/md17070388</v>
      </c>
      <c r="BG476" t="s">
        <v>74</v>
      </c>
      <c r="BH476" t="s">
        <v>74</v>
      </c>
      <c r="BI476">
        <v>15</v>
      </c>
      <c r="BJ476" t="s">
        <v>3622</v>
      </c>
      <c r="BK476" t="s">
        <v>101</v>
      </c>
      <c r="BL476" t="s">
        <v>3623</v>
      </c>
      <c r="BM476" t="s">
        <v>9491</v>
      </c>
      <c r="BN476">
        <v>31266176</v>
      </c>
      <c r="BO476" t="s">
        <v>313</v>
      </c>
      <c r="BP476" t="s">
        <v>74</v>
      </c>
      <c r="BQ476" t="s">
        <v>74</v>
      </c>
      <c r="BR476" t="s">
        <v>103</v>
      </c>
      <c r="BS476" t="s">
        <v>9509</v>
      </c>
      <c r="BT476" t="str">
        <f>HYPERLINK("https%3A%2F%2Fwww.webofscience.com%2Fwos%2Fwoscc%2Ffull-record%2FWOS:000478650600048","View Full Record in Web of Science")</f>
        <v>View Full Record in Web of Science</v>
      </c>
    </row>
    <row r="477" spans="1:72" x14ac:dyDescent="0.15">
      <c r="A477" t="s">
        <v>72</v>
      </c>
      <c r="B477" t="s">
        <v>9510</v>
      </c>
      <c r="C477" t="s">
        <v>74</v>
      </c>
      <c r="D477" t="s">
        <v>74</v>
      </c>
      <c r="E477" t="s">
        <v>74</v>
      </c>
      <c r="F477" t="s">
        <v>9511</v>
      </c>
      <c r="G477" t="s">
        <v>74</v>
      </c>
      <c r="H477" t="s">
        <v>74</v>
      </c>
      <c r="I477" t="s">
        <v>9512</v>
      </c>
      <c r="J477" t="s">
        <v>9513</v>
      </c>
      <c r="K477" t="s">
        <v>74</v>
      </c>
      <c r="L477" t="s">
        <v>74</v>
      </c>
      <c r="M477" t="s">
        <v>78</v>
      </c>
      <c r="N477" t="s">
        <v>108</v>
      </c>
      <c r="O477" t="s">
        <v>74</v>
      </c>
      <c r="P477" t="s">
        <v>74</v>
      </c>
      <c r="Q477" t="s">
        <v>74</v>
      </c>
      <c r="R477" t="s">
        <v>74</v>
      </c>
      <c r="S477" t="s">
        <v>74</v>
      </c>
      <c r="T477" t="s">
        <v>9514</v>
      </c>
      <c r="U477" t="s">
        <v>9515</v>
      </c>
      <c r="V477" t="s">
        <v>9516</v>
      </c>
      <c r="W477" t="s">
        <v>9517</v>
      </c>
      <c r="X477" t="s">
        <v>9518</v>
      </c>
      <c r="Y477" t="s">
        <v>9519</v>
      </c>
      <c r="Z477" t="s">
        <v>9520</v>
      </c>
      <c r="AA477" t="s">
        <v>9521</v>
      </c>
      <c r="AB477" t="s">
        <v>9522</v>
      </c>
      <c r="AC477" t="s">
        <v>9523</v>
      </c>
      <c r="AD477" t="s">
        <v>9524</v>
      </c>
      <c r="AE477" t="s">
        <v>9525</v>
      </c>
      <c r="AF477" t="s">
        <v>74</v>
      </c>
      <c r="AG477">
        <v>90</v>
      </c>
      <c r="AH477">
        <v>10</v>
      </c>
      <c r="AI477">
        <v>10</v>
      </c>
      <c r="AJ477">
        <v>2</v>
      </c>
      <c r="AK477">
        <v>15</v>
      </c>
      <c r="AL477" t="s">
        <v>3615</v>
      </c>
      <c r="AM477" t="s">
        <v>3616</v>
      </c>
      <c r="AN477" t="s">
        <v>3617</v>
      </c>
      <c r="AO477" t="s">
        <v>74</v>
      </c>
      <c r="AP477" t="s">
        <v>9526</v>
      </c>
      <c r="AQ477" t="s">
        <v>74</v>
      </c>
      <c r="AR477" t="s">
        <v>9513</v>
      </c>
      <c r="AS477" t="s">
        <v>9527</v>
      </c>
      <c r="AT477" t="s">
        <v>7543</v>
      </c>
      <c r="AU477">
        <v>2019</v>
      </c>
      <c r="AV477">
        <v>7</v>
      </c>
      <c r="AW477">
        <v>7</v>
      </c>
      <c r="AX477" t="s">
        <v>74</v>
      </c>
      <c r="AY477" t="s">
        <v>74</v>
      </c>
      <c r="AZ477" t="s">
        <v>74</v>
      </c>
      <c r="BA477" t="s">
        <v>74</v>
      </c>
      <c r="BB477" t="s">
        <v>74</v>
      </c>
      <c r="BC477" t="s">
        <v>74</v>
      </c>
      <c r="BD477">
        <v>203</v>
      </c>
      <c r="BE477" t="s">
        <v>9528</v>
      </c>
      <c r="BF477" t="str">
        <f>HYPERLINK("http://dx.doi.org/10.3390/microorganisms7070203","http://dx.doi.org/10.3390/microorganisms7070203")</f>
        <v>http://dx.doi.org/10.3390/microorganisms7070203</v>
      </c>
      <c r="BG477" t="s">
        <v>74</v>
      </c>
      <c r="BH477" t="s">
        <v>74</v>
      </c>
      <c r="BI477">
        <v>22</v>
      </c>
      <c r="BJ477" t="s">
        <v>1514</v>
      </c>
      <c r="BK477" t="s">
        <v>101</v>
      </c>
      <c r="BL477" t="s">
        <v>1514</v>
      </c>
      <c r="BM477" t="s">
        <v>9529</v>
      </c>
      <c r="BN477">
        <v>31323808</v>
      </c>
      <c r="BO477" t="s">
        <v>1197</v>
      </c>
      <c r="BP477" t="s">
        <v>74</v>
      </c>
      <c r="BQ477" t="s">
        <v>74</v>
      </c>
      <c r="BR477" t="s">
        <v>103</v>
      </c>
      <c r="BS477" t="s">
        <v>9530</v>
      </c>
      <c r="BT477" t="str">
        <f>HYPERLINK("https%3A%2F%2Fwww.webofscience.com%2Fwos%2Fwoscc%2Ffull-record%2FWOS:000478618800004","View Full Record in Web of Science")</f>
        <v>View Full Record in Web of Science</v>
      </c>
    </row>
    <row r="478" spans="1:72" x14ac:dyDescent="0.15">
      <c r="A478" t="s">
        <v>72</v>
      </c>
      <c r="B478" t="s">
        <v>9531</v>
      </c>
      <c r="C478" t="s">
        <v>74</v>
      </c>
      <c r="D478" t="s">
        <v>74</v>
      </c>
      <c r="E478" t="s">
        <v>74</v>
      </c>
      <c r="F478" t="s">
        <v>9532</v>
      </c>
      <c r="G478" t="s">
        <v>74</v>
      </c>
      <c r="H478" t="s">
        <v>74</v>
      </c>
      <c r="I478" t="s">
        <v>9533</v>
      </c>
      <c r="J478" t="s">
        <v>9534</v>
      </c>
      <c r="K478" t="s">
        <v>74</v>
      </c>
      <c r="L478" t="s">
        <v>74</v>
      </c>
      <c r="M478" t="s">
        <v>78</v>
      </c>
      <c r="N478" t="s">
        <v>108</v>
      </c>
      <c r="O478" t="s">
        <v>74</v>
      </c>
      <c r="P478" t="s">
        <v>74</v>
      </c>
      <c r="Q478" t="s">
        <v>74</v>
      </c>
      <c r="R478" t="s">
        <v>74</v>
      </c>
      <c r="S478" t="s">
        <v>74</v>
      </c>
      <c r="T478" t="s">
        <v>9535</v>
      </c>
      <c r="U478" t="s">
        <v>9536</v>
      </c>
      <c r="V478" t="s">
        <v>9537</v>
      </c>
      <c r="W478" t="s">
        <v>9538</v>
      </c>
      <c r="X478" t="s">
        <v>9539</v>
      </c>
      <c r="Y478" t="s">
        <v>9540</v>
      </c>
      <c r="Z478" t="s">
        <v>9541</v>
      </c>
      <c r="AA478" t="s">
        <v>9542</v>
      </c>
      <c r="AB478" t="s">
        <v>9543</v>
      </c>
      <c r="AC478" t="s">
        <v>9544</v>
      </c>
      <c r="AD478" t="s">
        <v>9545</v>
      </c>
      <c r="AE478" t="s">
        <v>9546</v>
      </c>
      <c r="AF478" t="s">
        <v>74</v>
      </c>
      <c r="AG478">
        <v>217</v>
      </c>
      <c r="AH478">
        <v>137</v>
      </c>
      <c r="AI478">
        <v>153</v>
      </c>
      <c r="AJ478">
        <v>19</v>
      </c>
      <c r="AK478">
        <v>181</v>
      </c>
      <c r="AL478" t="s">
        <v>9547</v>
      </c>
      <c r="AM478" t="s">
        <v>3563</v>
      </c>
      <c r="AN478" t="s">
        <v>9548</v>
      </c>
      <c r="AO478" t="s">
        <v>9549</v>
      </c>
      <c r="AP478" t="s">
        <v>74</v>
      </c>
      <c r="AQ478" t="s">
        <v>74</v>
      </c>
      <c r="AR478" t="s">
        <v>9534</v>
      </c>
      <c r="AS478" t="s">
        <v>9550</v>
      </c>
      <c r="AT478" t="s">
        <v>7543</v>
      </c>
      <c r="AU478">
        <v>2019</v>
      </c>
      <c r="AV478">
        <v>42</v>
      </c>
      <c r="AW478" t="s">
        <v>74</v>
      </c>
      <c r="AX478" t="s">
        <v>74</v>
      </c>
      <c r="AY478" t="s">
        <v>74</v>
      </c>
      <c r="AZ478" t="s">
        <v>74</v>
      </c>
      <c r="BA478" t="s">
        <v>74</v>
      </c>
      <c r="BB478">
        <v>291</v>
      </c>
      <c r="BC478">
        <v>473</v>
      </c>
      <c r="BD478" t="s">
        <v>74</v>
      </c>
      <c r="BE478" t="s">
        <v>9551</v>
      </c>
      <c r="BF478" t="str">
        <f>HYPERLINK("http://dx.doi.org/10.3767/persoonia.2019.42.11","http://dx.doi.org/10.3767/persoonia.2019.42.11")</f>
        <v>http://dx.doi.org/10.3767/persoonia.2019.42.11</v>
      </c>
      <c r="BG478" t="s">
        <v>74</v>
      </c>
      <c r="BH478" t="s">
        <v>74</v>
      </c>
      <c r="BI478">
        <v>183</v>
      </c>
      <c r="BJ478" t="s">
        <v>9552</v>
      </c>
      <c r="BK478" t="s">
        <v>101</v>
      </c>
      <c r="BL478" t="s">
        <v>9552</v>
      </c>
      <c r="BM478" t="s">
        <v>9553</v>
      </c>
      <c r="BN478">
        <v>31551622</v>
      </c>
      <c r="BO478" t="s">
        <v>9554</v>
      </c>
      <c r="BP478" t="s">
        <v>1784</v>
      </c>
      <c r="BQ478" t="s">
        <v>1785</v>
      </c>
      <c r="BR478" t="s">
        <v>103</v>
      </c>
      <c r="BS478" t="s">
        <v>9555</v>
      </c>
      <c r="BT478" t="str">
        <f>HYPERLINK("https%3A%2F%2Fwww.webofscience.com%2Fwos%2Fwoscc%2Ffull-record%2FWOS:000478958400011","View Full Record in Web of Science")</f>
        <v>View Full Record in Web of Science</v>
      </c>
    </row>
    <row r="479" spans="1:72" x14ac:dyDescent="0.15">
      <c r="A479" t="s">
        <v>72</v>
      </c>
      <c r="B479" t="s">
        <v>9556</v>
      </c>
      <c r="C479" t="s">
        <v>74</v>
      </c>
      <c r="D479" t="s">
        <v>74</v>
      </c>
      <c r="E479" t="s">
        <v>74</v>
      </c>
      <c r="F479" t="s">
        <v>9557</v>
      </c>
      <c r="G479" t="s">
        <v>74</v>
      </c>
      <c r="H479" t="s">
        <v>74</v>
      </c>
      <c r="I479" t="s">
        <v>9558</v>
      </c>
      <c r="J479" t="s">
        <v>3275</v>
      </c>
      <c r="K479" t="s">
        <v>74</v>
      </c>
      <c r="L479" t="s">
        <v>74</v>
      </c>
      <c r="M479" t="s">
        <v>78</v>
      </c>
      <c r="N479" t="s">
        <v>108</v>
      </c>
      <c r="O479" t="s">
        <v>74</v>
      </c>
      <c r="P479" t="s">
        <v>74</v>
      </c>
      <c r="Q479" t="s">
        <v>74</v>
      </c>
      <c r="R479" t="s">
        <v>74</v>
      </c>
      <c r="S479" t="s">
        <v>74</v>
      </c>
      <c r="T479" t="s">
        <v>74</v>
      </c>
      <c r="U479" t="s">
        <v>9559</v>
      </c>
      <c r="V479" t="s">
        <v>9560</v>
      </c>
      <c r="W479" t="s">
        <v>9561</v>
      </c>
      <c r="X479" t="s">
        <v>9562</v>
      </c>
      <c r="Y479" t="s">
        <v>9563</v>
      </c>
      <c r="Z479" t="s">
        <v>9564</v>
      </c>
      <c r="AA479" t="s">
        <v>9565</v>
      </c>
      <c r="AB479" t="s">
        <v>9566</v>
      </c>
      <c r="AC479" t="s">
        <v>9567</v>
      </c>
      <c r="AD479" t="s">
        <v>9568</v>
      </c>
      <c r="AE479" t="s">
        <v>9569</v>
      </c>
      <c r="AF479" t="s">
        <v>74</v>
      </c>
      <c r="AG479">
        <v>66</v>
      </c>
      <c r="AH479">
        <v>15</v>
      </c>
      <c r="AI479">
        <v>16</v>
      </c>
      <c r="AJ479">
        <v>0</v>
      </c>
      <c r="AK479">
        <v>14</v>
      </c>
      <c r="AL479" t="s">
        <v>3287</v>
      </c>
      <c r="AM479" t="s">
        <v>183</v>
      </c>
      <c r="AN479" t="s">
        <v>3288</v>
      </c>
      <c r="AO479" t="s">
        <v>3289</v>
      </c>
      <c r="AP479" t="s">
        <v>74</v>
      </c>
      <c r="AQ479" t="s">
        <v>74</v>
      </c>
      <c r="AR479" t="s">
        <v>3290</v>
      </c>
      <c r="AS479" t="s">
        <v>3291</v>
      </c>
      <c r="AT479" t="s">
        <v>7543</v>
      </c>
      <c r="AU479">
        <v>2019</v>
      </c>
      <c r="AV479">
        <v>5</v>
      </c>
      <c r="AW479">
        <v>7</v>
      </c>
      <c r="AX479" t="s">
        <v>74</v>
      </c>
      <c r="AY479" t="s">
        <v>74</v>
      </c>
      <c r="AZ479" t="s">
        <v>74</v>
      </c>
      <c r="BA479" t="s">
        <v>74</v>
      </c>
      <c r="BB479" t="s">
        <v>74</v>
      </c>
      <c r="BC479" t="s">
        <v>74</v>
      </c>
      <c r="BD479" t="s">
        <v>9570</v>
      </c>
      <c r="BE479" t="s">
        <v>9571</v>
      </c>
      <c r="BF479" t="str">
        <f>HYPERLINK("http://dx.doi.org/10.1126/sciadv.aaw4132","http://dx.doi.org/10.1126/sciadv.aaw4132")</f>
        <v>http://dx.doi.org/10.1126/sciadv.aaw4132</v>
      </c>
      <c r="BG479" t="s">
        <v>74</v>
      </c>
      <c r="BH479" t="s">
        <v>74</v>
      </c>
      <c r="BI479">
        <v>7</v>
      </c>
      <c r="BJ479" t="s">
        <v>1004</v>
      </c>
      <c r="BK479" t="s">
        <v>101</v>
      </c>
      <c r="BL479" t="s">
        <v>1005</v>
      </c>
      <c r="BM479" t="s">
        <v>9572</v>
      </c>
      <c r="BN479">
        <v>31328165</v>
      </c>
      <c r="BO479" t="s">
        <v>313</v>
      </c>
      <c r="BP479" t="s">
        <v>74</v>
      </c>
      <c r="BQ479" t="s">
        <v>74</v>
      </c>
      <c r="BR479" t="s">
        <v>103</v>
      </c>
      <c r="BS479" t="s">
        <v>9573</v>
      </c>
      <c r="BT479" t="str">
        <f>HYPERLINK("https%3A%2F%2Fwww.webofscience.com%2Fwos%2Fwoscc%2Ffull-record%2FWOS:000478770400070","View Full Record in Web of Science")</f>
        <v>View Full Record in Web of Science</v>
      </c>
    </row>
    <row r="480" spans="1:72" x14ac:dyDescent="0.15">
      <c r="A480" t="s">
        <v>72</v>
      </c>
      <c r="B480" t="s">
        <v>9574</v>
      </c>
      <c r="C480" t="s">
        <v>74</v>
      </c>
      <c r="D480" t="s">
        <v>74</v>
      </c>
      <c r="E480" t="s">
        <v>74</v>
      </c>
      <c r="F480" t="s">
        <v>9575</v>
      </c>
      <c r="G480" t="s">
        <v>74</v>
      </c>
      <c r="H480" t="s">
        <v>74</v>
      </c>
      <c r="I480" t="s">
        <v>9576</v>
      </c>
      <c r="J480" t="s">
        <v>3275</v>
      </c>
      <c r="K480" t="s">
        <v>74</v>
      </c>
      <c r="L480" t="s">
        <v>74</v>
      </c>
      <c r="M480" t="s">
        <v>78</v>
      </c>
      <c r="N480" t="s">
        <v>108</v>
      </c>
      <c r="O480" t="s">
        <v>74</v>
      </c>
      <c r="P480" t="s">
        <v>74</v>
      </c>
      <c r="Q480" t="s">
        <v>74</v>
      </c>
      <c r="R480" t="s">
        <v>74</v>
      </c>
      <c r="S480" t="s">
        <v>74</v>
      </c>
      <c r="T480" t="s">
        <v>74</v>
      </c>
      <c r="U480" t="s">
        <v>9577</v>
      </c>
      <c r="V480" t="s">
        <v>9578</v>
      </c>
      <c r="W480" t="s">
        <v>9579</v>
      </c>
      <c r="X480" t="s">
        <v>9580</v>
      </c>
      <c r="Y480" t="s">
        <v>9581</v>
      </c>
      <c r="Z480" t="s">
        <v>9582</v>
      </c>
      <c r="AA480" t="s">
        <v>9583</v>
      </c>
      <c r="AB480" t="s">
        <v>9584</v>
      </c>
      <c r="AC480" t="s">
        <v>9585</v>
      </c>
      <c r="AD480" t="s">
        <v>9585</v>
      </c>
      <c r="AE480" t="s">
        <v>9586</v>
      </c>
      <c r="AF480" t="s">
        <v>74</v>
      </c>
      <c r="AG480">
        <v>36</v>
      </c>
      <c r="AH480">
        <v>27</v>
      </c>
      <c r="AI480">
        <v>27</v>
      </c>
      <c r="AJ480">
        <v>2</v>
      </c>
      <c r="AK480">
        <v>38</v>
      </c>
      <c r="AL480" t="s">
        <v>3287</v>
      </c>
      <c r="AM480" t="s">
        <v>183</v>
      </c>
      <c r="AN480" t="s">
        <v>3288</v>
      </c>
      <c r="AO480" t="s">
        <v>3289</v>
      </c>
      <c r="AP480" t="s">
        <v>74</v>
      </c>
      <c r="AQ480" t="s">
        <v>74</v>
      </c>
      <c r="AR480" t="s">
        <v>3290</v>
      </c>
      <c r="AS480" t="s">
        <v>3291</v>
      </c>
      <c r="AT480" t="s">
        <v>7543</v>
      </c>
      <c r="AU480">
        <v>2019</v>
      </c>
      <c r="AV480">
        <v>5</v>
      </c>
      <c r="AW480">
        <v>7</v>
      </c>
      <c r="AX480" t="s">
        <v>74</v>
      </c>
      <c r="AY480" t="s">
        <v>74</v>
      </c>
      <c r="AZ480" t="s">
        <v>74</v>
      </c>
      <c r="BA480" t="s">
        <v>74</v>
      </c>
      <c r="BB480" t="s">
        <v>74</v>
      </c>
      <c r="BC480" t="s">
        <v>74</v>
      </c>
      <c r="BD480" t="s">
        <v>9587</v>
      </c>
      <c r="BE480" t="s">
        <v>9588</v>
      </c>
      <c r="BF480" t="str">
        <f>HYPERLINK("http://dx.doi.org/10.1126/sciadv.aav4157","http://dx.doi.org/10.1126/sciadv.aav4157")</f>
        <v>http://dx.doi.org/10.1126/sciadv.aav4157</v>
      </c>
      <c r="BG480" t="s">
        <v>74</v>
      </c>
      <c r="BH480" t="s">
        <v>74</v>
      </c>
      <c r="BI480">
        <v>8</v>
      </c>
      <c r="BJ480" t="s">
        <v>1004</v>
      </c>
      <c r="BK480" t="s">
        <v>101</v>
      </c>
      <c r="BL480" t="s">
        <v>1005</v>
      </c>
      <c r="BM480" t="s">
        <v>9572</v>
      </c>
      <c r="BN480">
        <v>31328156</v>
      </c>
      <c r="BO480" t="s">
        <v>331</v>
      </c>
      <c r="BP480" t="s">
        <v>74</v>
      </c>
      <c r="BQ480" t="s">
        <v>74</v>
      </c>
      <c r="BR480" t="s">
        <v>103</v>
      </c>
      <c r="BS480" t="s">
        <v>9589</v>
      </c>
      <c r="BT480" t="str">
        <f>HYPERLINK("https%3A%2F%2Fwww.webofscience.com%2Fwos%2Fwoscc%2Ffull-record%2FWOS:000478770400022","View Full Record in Web of Science")</f>
        <v>View Full Record in Web of Science</v>
      </c>
    </row>
    <row r="481" spans="1:72" x14ac:dyDescent="0.15">
      <c r="A481" t="s">
        <v>72</v>
      </c>
      <c r="B481" t="s">
        <v>9590</v>
      </c>
      <c r="C481" t="s">
        <v>74</v>
      </c>
      <c r="D481" t="s">
        <v>74</v>
      </c>
      <c r="E481" t="s">
        <v>74</v>
      </c>
      <c r="F481" t="s">
        <v>9591</v>
      </c>
      <c r="G481" t="s">
        <v>74</v>
      </c>
      <c r="H481" t="s">
        <v>74</v>
      </c>
      <c r="I481" t="s">
        <v>9592</v>
      </c>
      <c r="J481" t="s">
        <v>3832</v>
      </c>
      <c r="K481" t="s">
        <v>74</v>
      </c>
      <c r="L481" t="s">
        <v>74</v>
      </c>
      <c r="M481" t="s">
        <v>78</v>
      </c>
      <c r="N481" t="s">
        <v>108</v>
      </c>
      <c r="O481" t="s">
        <v>74</v>
      </c>
      <c r="P481" t="s">
        <v>74</v>
      </c>
      <c r="Q481" t="s">
        <v>74</v>
      </c>
      <c r="R481" t="s">
        <v>74</v>
      </c>
      <c r="S481" t="s">
        <v>74</v>
      </c>
      <c r="T481" t="s">
        <v>74</v>
      </c>
      <c r="U481" t="s">
        <v>9593</v>
      </c>
      <c r="V481" t="s">
        <v>9594</v>
      </c>
      <c r="W481" t="s">
        <v>9595</v>
      </c>
      <c r="X481" t="s">
        <v>9596</v>
      </c>
      <c r="Y481" t="s">
        <v>9597</v>
      </c>
      <c r="Z481" t="s">
        <v>9598</v>
      </c>
      <c r="AA481" t="s">
        <v>9599</v>
      </c>
      <c r="AB481" t="s">
        <v>9600</v>
      </c>
      <c r="AC481" t="s">
        <v>9601</v>
      </c>
      <c r="AD481" t="s">
        <v>9602</v>
      </c>
      <c r="AE481" t="s">
        <v>9603</v>
      </c>
      <c r="AF481" t="s">
        <v>74</v>
      </c>
      <c r="AG481">
        <v>23</v>
      </c>
      <c r="AH481">
        <v>44</v>
      </c>
      <c r="AI481">
        <v>46</v>
      </c>
      <c r="AJ481">
        <v>3</v>
      </c>
      <c r="AK481">
        <v>75</v>
      </c>
      <c r="AL481" t="s">
        <v>1577</v>
      </c>
      <c r="AM481" t="s">
        <v>183</v>
      </c>
      <c r="AN481" t="s">
        <v>1578</v>
      </c>
      <c r="AO481" t="s">
        <v>3844</v>
      </c>
      <c r="AP481" t="s">
        <v>3845</v>
      </c>
      <c r="AQ481" t="s">
        <v>74</v>
      </c>
      <c r="AR481" t="s">
        <v>3846</v>
      </c>
      <c r="AS481" t="s">
        <v>3847</v>
      </c>
      <c r="AT481" t="s">
        <v>7543</v>
      </c>
      <c r="AU481">
        <v>2019</v>
      </c>
      <c r="AV481">
        <v>82</v>
      </c>
      <c r="AW481">
        <v>7</v>
      </c>
      <c r="AX481" t="s">
        <v>74</v>
      </c>
      <c r="AY481" t="s">
        <v>74</v>
      </c>
      <c r="AZ481" t="s">
        <v>74</v>
      </c>
      <c r="BA481" t="s">
        <v>74</v>
      </c>
      <c r="BB481">
        <v>2013</v>
      </c>
      <c r="BC481">
        <v>2017</v>
      </c>
      <c r="BD481" t="s">
        <v>74</v>
      </c>
      <c r="BE481" t="s">
        <v>9604</v>
      </c>
      <c r="BF481" t="str">
        <f>HYPERLINK("http://dx.doi.org/10.1021/acs.jnatprod.9b00345","http://dx.doi.org/10.1021/acs.jnatprod.9b00345")</f>
        <v>http://dx.doi.org/10.1021/acs.jnatprod.9b00345</v>
      </c>
      <c r="BG481" t="s">
        <v>74</v>
      </c>
      <c r="BH481" t="s">
        <v>74</v>
      </c>
      <c r="BI481">
        <v>5</v>
      </c>
      <c r="BJ481" t="s">
        <v>3849</v>
      </c>
      <c r="BK481" t="s">
        <v>3850</v>
      </c>
      <c r="BL481" t="s">
        <v>3851</v>
      </c>
      <c r="BM481" t="s">
        <v>9605</v>
      </c>
      <c r="BN481">
        <v>31265288</v>
      </c>
      <c r="BO481" t="s">
        <v>74</v>
      </c>
      <c r="BP481" t="s">
        <v>74</v>
      </c>
      <c r="BQ481" t="s">
        <v>74</v>
      </c>
      <c r="BR481" t="s">
        <v>103</v>
      </c>
      <c r="BS481" t="s">
        <v>9606</v>
      </c>
      <c r="BT481" t="str">
        <f>HYPERLINK("https%3A%2F%2Fwww.webofscience.com%2Fwos%2Fwoscc%2Ffull-record%2FWOS:000477917800033","View Full Record in Web of Science")</f>
        <v>View Full Record in Web of Science</v>
      </c>
    </row>
    <row r="482" spans="1:72" x14ac:dyDescent="0.15">
      <c r="A482" t="s">
        <v>72</v>
      </c>
      <c r="B482" t="s">
        <v>9607</v>
      </c>
      <c r="C482" t="s">
        <v>74</v>
      </c>
      <c r="D482" t="s">
        <v>74</v>
      </c>
      <c r="E482" t="s">
        <v>74</v>
      </c>
      <c r="F482" t="s">
        <v>9608</v>
      </c>
      <c r="G482" t="s">
        <v>74</v>
      </c>
      <c r="H482" t="s">
        <v>74</v>
      </c>
      <c r="I482" t="s">
        <v>9609</v>
      </c>
      <c r="J482" t="s">
        <v>7296</v>
      </c>
      <c r="K482" t="s">
        <v>74</v>
      </c>
      <c r="L482" t="s">
        <v>74</v>
      </c>
      <c r="M482" t="s">
        <v>78</v>
      </c>
      <c r="N482" t="s">
        <v>108</v>
      </c>
      <c r="O482" t="s">
        <v>74</v>
      </c>
      <c r="P482" t="s">
        <v>74</v>
      </c>
      <c r="Q482" t="s">
        <v>74</v>
      </c>
      <c r="R482" t="s">
        <v>74</v>
      </c>
      <c r="S482" t="s">
        <v>74</v>
      </c>
      <c r="T482" t="s">
        <v>9610</v>
      </c>
      <c r="U482" t="s">
        <v>9611</v>
      </c>
      <c r="V482" t="s">
        <v>9612</v>
      </c>
      <c r="W482" t="s">
        <v>9613</v>
      </c>
      <c r="X482" t="s">
        <v>9614</v>
      </c>
      <c r="Y482" t="s">
        <v>9615</v>
      </c>
      <c r="Z482" t="s">
        <v>9616</v>
      </c>
      <c r="AA482" t="s">
        <v>74</v>
      </c>
      <c r="AB482" t="s">
        <v>74</v>
      </c>
      <c r="AC482" t="s">
        <v>9617</v>
      </c>
      <c r="AD482" t="s">
        <v>9618</v>
      </c>
      <c r="AE482" t="s">
        <v>9619</v>
      </c>
      <c r="AF482" t="s">
        <v>74</v>
      </c>
      <c r="AG482">
        <v>33</v>
      </c>
      <c r="AH482">
        <v>13</v>
      </c>
      <c r="AI482">
        <v>16</v>
      </c>
      <c r="AJ482">
        <v>7</v>
      </c>
      <c r="AK482">
        <v>37</v>
      </c>
      <c r="AL482" t="s">
        <v>1140</v>
      </c>
      <c r="AM482" t="s">
        <v>1141</v>
      </c>
      <c r="AN482" t="s">
        <v>1142</v>
      </c>
      <c r="AO482" t="s">
        <v>7309</v>
      </c>
      <c r="AP482" t="s">
        <v>74</v>
      </c>
      <c r="AQ482" t="s">
        <v>74</v>
      </c>
      <c r="AR482" t="s">
        <v>7310</v>
      </c>
      <c r="AS482" t="s">
        <v>7311</v>
      </c>
      <c r="AT482" t="s">
        <v>7543</v>
      </c>
      <c r="AU482">
        <v>2019</v>
      </c>
      <c r="AV482">
        <v>7</v>
      </c>
      <c r="AW482">
        <v>7</v>
      </c>
      <c r="AX482" t="s">
        <v>74</v>
      </c>
      <c r="AY482" t="s">
        <v>74</v>
      </c>
      <c r="AZ482" t="s">
        <v>74</v>
      </c>
      <c r="BA482" t="s">
        <v>74</v>
      </c>
      <c r="BB482">
        <v>2224</v>
      </c>
      <c r="BC482">
        <v>2230</v>
      </c>
      <c r="BD482" t="s">
        <v>74</v>
      </c>
      <c r="BE482" t="s">
        <v>9620</v>
      </c>
      <c r="BF482" t="str">
        <f>HYPERLINK("http://dx.doi.org/10.1002/fsn3.1017","http://dx.doi.org/10.1002/fsn3.1017")</f>
        <v>http://dx.doi.org/10.1002/fsn3.1017</v>
      </c>
      <c r="BG482" t="s">
        <v>74</v>
      </c>
      <c r="BH482" t="s">
        <v>74</v>
      </c>
      <c r="BI482">
        <v>7</v>
      </c>
      <c r="BJ482" t="s">
        <v>7313</v>
      </c>
      <c r="BK482" t="s">
        <v>101</v>
      </c>
      <c r="BL482" t="s">
        <v>7313</v>
      </c>
      <c r="BM482" t="s">
        <v>9621</v>
      </c>
      <c r="BN482">
        <v>31367351</v>
      </c>
      <c r="BO482" t="s">
        <v>331</v>
      </c>
      <c r="BP482" t="s">
        <v>74</v>
      </c>
      <c r="BQ482" t="s">
        <v>74</v>
      </c>
      <c r="BR482" t="s">
        <v>103</v>
      </c>
      <c r="BS482" t="s">
        <v>9622</v>
      </c>
      <c r="BT482" t="str">
        <f>HYPERLINK("https%3A%2F%2Fwww.webofscience.com%2Fwos%2Fwoscc%2Ffull-record%2FWOS:000477059700003","View Full Record in Web of Science")</f>
        <v>View Full Record in Web of Science</v>
      </c>
    </row>
    <row r="483" spans="1:72" x14ac:dyDescent="0.15">
      <c r="A483" t="s">
        <v>72</v>
      </c>
      <c r="B483" t="s">
        <v>9623</v>
      </c>
      <c r="C483" t="s">
        <v>74</v>
      </c>
      <c r="D483" t="s">
        <v>74</v>
      </c>
      <c r="E483" t="s">
        <v>74</v>
      </c>
      <c r="F483" t="s">
        <v>9624</v>
      </c>
      <c r="G483" t="s">
        <v>74</v>
      </c>
      <c r="H483" t="s">
        <v>74</v>
      </c>
      <c r="I483" t="s">
        <v>9625</v>
      </c>
      <c r="J483" t="s">
        <v>9626</v>
      </c>
      <c r="K483" t="s">
        <v>74</v>
      </c>
      <c r="L483" t="s">
        <v>74</v>
      </c>
      <c r="M483" t="s">
        <v>78</v>
      </c>
      <c r="N483" t="s">
        <v>108</v>
      </c>
      <c r="O483" t="s">
        <v>74</v>
      </c>
      <c r="P483" t="s">
        <v>74</v>
      </c>
      <c r="Q483" t="s">
        <v>74</v>
      </c>
      <c r="R483" t="s">
        <v>74</v>
      </c>
      <c r="S483" t="s">
        <v>74</v>
      </c>
      <c r="T483" t="s">
        <v>9627</v>
      </c>
      <c r="U483" t="s">
        <v>9628</v>
      </c>
      <c r="V483" t="s">
        <v>9629</v>
      </c>
      <c r="W483" t="s">
        <v>9630</v>
      </c>
      <c r="X483" t="s">
        <v>9631</v>
      </c>
      <c r="Y483" t="s">
        <v>9632</v>
      </c>
      <c r="Z483" t="s">
        <v>9633</v>
      </c>
      <c r="AA483" t="s">
        <v>9634</v>
      </c>
      <c r="AB483" t="s">
        <v>9635</v>
      </c>
      <c r="AC483" t="s">
        <v>9636</v>
      </c>
      <c r="AD483" t="s">
        <v>9637</v>
      </c>
      <c r="AE483" t="s">
        <v>9638</v>
      </c>
      <c r="AF483" t="s">
        <v>74</v>
      </c>
      <c r="AG483">
        <v>68</v>
      </c>
      <c r="AH483">
        <v>16</v>
      </c>
      <c r="AI483">
        <v>16</v>
      </c>
      <c r="AJ483">
        <v>1</v>
      </c>
      <c r="AK483">
        <v>13</v>
      </c>
      <c r="AL483" t="s">
        <v>438</v>
      </c>
      <c r="AM483" t="s">
        <v>439</v>
      </c>
      <c r="AN483" t="s">
        <v>440</v>
      </c>
      <c r="AO483" t="s">
        <v>9639</v>
      </c>
      <c r="AP483" t="s">
        <v>74</v>
      </c>
      <c r="AQ483" t="s">
        <v>74</v>
      </c>
      <c r="AR483" t="s">
        <v>9640</v>
      </c>
      <c r="AS483" t="s">
        <v>9641</v>
      </c>
      <c r="AT483" t="s">
        <v>7543</v>
      </c>
      <c r="AU483">
        <v>2019</v>
      </c>
      <c r="AV483">
        <v>19</v>
      </c>
      <c r="AW483" t="s">
        <v>74</v>
      </c>
      <c r="AX483" t="s">
        <v>74</v>
      </c>
      <c r="AY483" t="s">
        <v>74</v>
      </c>
      <c r="AZ483" t="s">
        <v>74</v>
      </c>
      <c r="BA483" t="s">
        <v>74</v>
      </c>
      <c r="BB483" t="s">
        <v>74</v>
      </c>
      <c r="BC483" t="s">
        <v>74</v>
      </c>
      <c r="BD483" t="s">
        <v>9642</v>
      </c>
      <c r="BE483" t="s">
        <v>9643</v>
      </c>
      <c r="BF483" t="str">
        <f>HYPERLINK("http://dx.doi.org/10.1016/j.gecco.2019.e00679","http://dx.doi.org/10.1016/j.gecco.2019.e00679")</f>
        <v>http://dx.doi.org/10.1016/j.gecco.2019.e00679</v>
      </c>
      <c r="BG483" t="s">
        <v>74</v>
      </c>
      <c r="BH483" t="s">
        <v>74</v>
      </c>
      <c r="BI483">
        <v>16</v>
      </c>
      <c r="BJ483" t="s">
        <v>3802</v>
      </c>
      <c r="BK483" t="s">
        <v>101</v>
      </c>
      <c r="BL483" t="s">
        <v>1646</v>
      </c>
      <c r="BM483" t="s">
        <v>9644</v>
      </c>
      <c r="BN483" t="s">
        <v>74</v>
      </c>
      <c r="BO483" t="s">
        <v>366</v>
      </c>
      <c r="BP483" t="s">
        <v>74</v>
      </c>
      <c r="BQ483" t="s">
        <v>74</v>
      </c>
      <c r="BR483" t="s">
        <v>103</v>
      </c>
      <c r="BS483" t="s">
        <v>9645</v>
      </c>
      <c r="BT483" t="str">
        <f>HYPERLINK("https%3A%2F%2Fwww.webofscience.com%2Fwos%2Fwoscc%2Ffull-record%2FWOS:000477695200032","View Full Record in Web of Science")</f>
        <v>View Full Record in Web of Science</v>
      </c>
    </row>
    <row r="484" spans="1:72" x14ac:dyDescent="0.15">
      <c r="A484" t="s">
        <v>72</v>
      </c>
      <c r="B484" t="s">
        <v>9646</v>
      </c>
      <c r="C484" t="s">
        <v>74</v>
      </c>
      <c r="D484" t="s">
        <v>74</v>
      </c>
      <c r="E484" t="s">
        <v>74</v>
      </c>
      <c r="F484" t="s">
        <v>9647</v>
      </c>
      <c r="G484" t="s">
        <v>74</v>
      </c>
      <c r="H484" t="s">
        <v>74</v>
      </c>
      <c r="I484" t="s">
        <v>9648</v>
      </c>
      <c r="J484" t="s">
        <v>9649</v>
      </c>
      <c r="K484" t="s">
        <v>74</v>
      </c>
      <c r="L484" t="s">
        <v>74</v>
      </c>
      <c r="M484" t="s">
        <v>78</v>
      </c>
      <c r="N484" t="s">
        <v>108</v>
      </c>
      <c r="O484" t="s">
        <v>74</v>
      </c>
      <c r="P484" t="s">
        <v>74</v>
      </c>
      <c r="Q484" t="s">
        <v>74</v>
      </c>
      <c r="R484" t="s">
        <v>74</v>
      </c>
      <c r="S484" t="s">
        <v>74</v>
      </c>
      <c r="T484" t="s">
        <v>9650</v>
      </c>
      <c r="U484" t="s">
        <v>9651</v>
      </c>
      <c r="V484" t="s">
        <v>9652</v>
      </c>
      <c r="W484" t="s">
        <v>9653</v>
      </c>
      <c r="X484" t="s">
        <v>9654</v>
      </c>
      <c r="Y484" t="s">
        <v>9655</v>
      </c>
      <c r="Z484" t="s">
        <v>9656</v>
      </c>
      <c r="AA484" t="s">
        <v>9657</v>
      </c>
      <c r="AB484" t="s">
        <v>9658</v>
      </c>
      <c r="AC484" t="s">
        <v>9659</v>
      </c>
      <c r="AD484" t="s">
        <v>9660</v>
      </c>
      <c r="AE484" t="s">
        <v>74</v>
      </c>
      <c r="AF484" t="s">
        <v>74</v>
      </c>
      <c r="AG484">
        <v>41</v>
      </c>
      <c r="AH484">
        <v>4</v>
      </c>
      <c r="AI484">
        <v>4</v>
      </c>
      <c r="AJ484">
        <v>1</v>
      </c>
      <c r="AK484">
        <v>12</v>
      </c>
      <c r="AL484" t="s">
        <v>1140</v>
      </c>
      <c r="AM484" t="s">
        <v>1141</v>
      </c>
      <c r="AN484" t="s">
        <v>1142</v>
      </c>
      <c r="AO484" t="s">
        <v>9661</v>
      </c>
      <c r="AP484" t="s">
        <v>9662</v>
      </c>
      <c r="AQ484" t="s">
        <v>74</v>
      </c>
      <c r="AR484" t="s">
        <v>9663</v>
      </c>
      <c r="AS484" t="s">
        <v>9664</v>
      </c>
      <c r="AT484" t="s">
        <v>7543</v>
      </c>
      <c r="AU484">
        <v>2019</v>
      </c>
      <c r="AV484">
        <v>15</v>
      </c>
      <c r="AW484">
        <v>4</v>
      </c>
      <c r="AX484" t="s">
        <v>74</v>
      </c>
      <c r="AY484" t="s">
        <v>74</v>
      </c>
      <c r="AZ484" t="s">
        <v>74</v>
      </c>
      <c r="BA484" t="s">
        <v>74</v>
      </c>
      <c r="BB484">
        <v>565</v>
      </c>
      <c r="BC484">
        <v>574</v>
      </c>
      <c r="BD484" t="s">
        <v>74</v>
      </c>
      <c r="BE484" t="s">
        <v>9665</v>
      </c>
      <c r="BF484" t="str">
        <f>HYPERLINK("http://dx.doi.org/10.1002/ieam.4148","http://dx.doi.org/10.1002/ieam.4148")</f>
        <v>http://dx.doi.org/10.1002/ieam.4148</v>
      </c>
      <c r="BG484" t="s">
        <v>74</v>
      </c>
      <c r="BH484" t="s">
        <v>74</v>
      </c>
      <c r="BI484">
        <v>10</v>
      </c>
      <c r="BJ484" t="s">
        <v>6166</v>
      </c>
      <c r="BK484" t="s">
        <v>101</v>
      </c>
      <c r="BL484" t="s">
        <v>6167</v>
      </c>
      <c r="BM484" t="s">
        <v>9666</v>
      </c>
      <c r="BN484">
        <v>30900814</v>
      </c>
      <c r="BO484" t="s">
        <v>74</v>
      </c>
      <c r="BP484" t="s">
        <v>74</v>
      </c>
      <c r="BQ484" t="s">
        <v>74</v>
      </c>
      <c r="BR484" t="s">
        <v>103</v>
      </c>
      <c r="BS484" t="s">
        <v>9667</v>
      </c>
      <c r="BT484" t="str">
        <f>HYPERLINK("https%3A%2F%2Fwww.webofscience.com%2Fwos%2Fwoscc%2Ffull-record%2FWOS:000477668500009","View Full Record in Web of Science")</f>
        <v>View Full Record in Web of Science</v>
      </c>
    </row>
    <row r="485" spans="1:72" x14ac:dyDescent="0.15">
      <c r="A485" t="s">
        <v>72</v>
      </c>
      <c r="B485" t="s">
        <v>9668</v>
      </c>
      <c r="C485" t="s">
        <v>74</v>
      </c>
      <c r="D485" t="s">
        <v>74</v>
      </c>
      <c r="E485" t="s">
        <v>74</v>
      </c>
      <c r="F485" t="s">
        <v>9669</v>
      </c>
      <c r="G485" t="s">
        <v>74</v>
      </c>
      <c r="H485" t="s">
        <v>74</v>
      </c>
      <c r="I485" t="s">
        <v>9670</v>
      </c>
      <c r="J485" t="s">
        <v>9671</v>
      </c>
      <c r="K485" t="s">
        <v>74</v>
      </c>
      <c r="L485" t="s">
        <v>74</v>
      </c>
      <c r="M485" t="s">
        <v>78</v>
      </c>
      <c r="N485" t="s">
        <v>108</v>
      </c>
      <c r="O485" t="s">
        <v>74</v>
      </c>
      <c r="P485" t="s">
        <v>74</v>
      </c>
      <c r="Q485" t="s">
        <v>74</v>
      </c>
      <c r="R485" t="s">
        <v>74</v>
      </c>
      <c r="S485" t="s">
        <v>74</v>
      </c>
      <c r="T485" t="s">
        <v>74</v>
      </c>
      <c r="U485" t="s">
        <v>9672</v>
      </c>
      <c r="V485" t="s">
        <v>9673</v>
      </c>
      <c r="W485" t="s">
        <v>9674</v>
      </c>
      <c r="X485" t="s">
        <v>74</v>
      </c>
      <c r="Y485" t="s">
        <v>9675</v>
      </c>
      <c r="Z485" t="s">
        <v>74</v>
      </c>
      <c r="AA485" t="s">
        <v>74</v>
      </c>
      <c r="AB485" t="s">
        <v>74</v>
      </c>
      <c r="AC485" t="s">
        <v>9676</v>
      </c>
      <c r="AD485" t="s">
        <v>9677</v>
      </c>
      <c r="AE485" t="s">
        <v>9678</v>
      </c>
      <c r="AF485" t="s">
        <v>74</v>
      </c>
      <c r="AG485">
        <v>119</v>
      </c>
      <c r="AH485">
        <v>3</v>
      </c>
      <c r="AI485">
        <v>3</v>
      </c>
      <c r="AJ485">
        <v>0</v>
      </c>
      <c r="AK485">
        <v>8</v>
      </c>
      <c r="AL485" t="s">
        <v>9679</v>
      </c>
      <c r="AM485" t="s">
        <v>9680</v>
      </c>
      <c r="AN485" t="s">
        <v>9681</v>
      </c>
      <c r="AO485" t="s">
        <v>9682</v>
      </c>
      <c r="AP485" t="s">
        <v>9683</v>
      </c>
      <c r="AQ485" t="s">
        <v>74</v>
      </c>
      <c r="AR485" t="s">
        <v>9684</v>
      </c>
      <c r="AS485" t="s">
        <v>9685</v>
      </c>
      <c r="AT485" t="s">
        <v>8453</v>
      </c>
      <c r="AU485">
        <v>2019</v>
      </c>
      <c r="AV485">
        <v>127</v>
      </c>
      <c r="AW485">
        <v>4</v>
      </c>
      <c r="AX485" t="s">
        <v>74</v>
      </c>
      <c r="AY485" t="s">
        <v>74</v>
      </c>
      <c r="AZ485" t="s">
        <v>74</v>
      </c>
      <c r="BA485" t="s">
        <v>74</v>
      </c>
      <c r="BB485">
        <v>411</v>
      </c>
      <c r="BC485">
        <v>435</v>
      </c>
      <c r="BD485" t="s">
        <v>74</v>
      </c>
      <c r="BE485" t="s">
        <v>9686</v>
      </c>
      <c r="BF485" t="str">
        <f>HYPERLINK("http://dx.doi.org/10.1086/703537","http://dx.doi.org/10.1086/703537")</f>
        <v>http://dx.doi.org/10.1086/703537</v>
      </c>
      <c r="BG485" t="s">
        <v>74</v>
      </c>
      <c r="BH485" t="s">
        <v>74</v>
      </c>
      <c r="BI485">
        <v>25</v>
      </c>
      <c r="BJ485" t="s">
        <v>472</v>
      </c>
      <c r="BK485" t="s">
        <v>101</v>
      </c>
      <c r="BL485" t="s">
        <v>472</v>
      </c>
      <c r="BM485" t="s">
        <v>9687</v>
      </c>
      <c r="BN485" t="s">
        <v>74</v>
      </c>
      <c r="BO485" t="s">
        <v>74</v>
      </c>
      <c r="BP485" t="s">
        <v>74</v>
      </c>
      <c r="BQ485" t="s">
        <v>74</v>
      </c>
      <c r="BR485" t="s">
        <v>103</v>
      </c>
      <c r="BS485" t="s">
        <v>9688</v>
      </c>
      <c r="BT485" t="str">
        <f>HYPERLINK("https%3A%2F%2Fwww.webofscience.com%2Fwos%2Fwoscc%2Ffull-record%2FWOS:000477013000002","View Full Record in Web of Science")</f>
        <v>View Full Record in Web of Science</v>
      </c>
    </row>
    <row r="486" spans="1:72" x14ac:dyDescent="0.15">
      <c r="A486" t="s">
        <v>72</v>
      </c>
      <c r="B486" t="s">
        <v>9689</v>
      </c>
      <c r="C486" t="s">
        <v>74</v>
      </c>
      <c r="D486" t="s">
        <v>74</v>
      </c>
      <c r="E486" t="s">
        <v>74</v>
      </c>
      <c r="F486" t="s">
        <v>9690</v>
      </c>
      <c r="G486" t="s">
        <v>74</v>
      </c>
      <c r="H486" t="s">
        <v>74</v>
      </c>
      <c r="I486" t="s">
        <v>9691</v>
      </c>
      <c r="J486" t="s">
        <v>7942</v>
      </c>
      <c r="K486" t="s">
        <v>74</v>
      </c>
      <c r="L486" t="s">
        <v>74</v>
      </c>
      <c r="M486" t="s">
        <v>78</v>
      </c>
      <c r="N486" t="s">
        <v>108</v>
      </c>
      <c r="O486" t="s">
        <v>74</v>
      </c>
      <c r="P486" t="s">
        <v>74</v>
      </c>
      <c r="Q486" t="s">
        <v>74</v>
      </c>
      <c r="R486" t="s">
        <v>74</v>
      </c>
      <c r="S486" t="s">
        <v>74</v>
      </c>
      <c r="T486" t="s">
        <v>9692</v>
      </c>
      <c r="U486" t="s">
        <v>9693</v>
      </c>
      <c r="V486" t="s">
        <v>9694</v>
      </c>
      <c r="W486" t="s">
        <v>9695</v>
      </c>
      <c r="X486" t="s">
        <v>9696</v>
      </c>
      <c r="Y486" t="s">
        <v>9697</v>
      </c>
      <c r="Z486" t="s">
        <v>9698</v>
      </c>
      <c r="AA486" t="s">
        <v>9699</v>
      </c>
      <c r="AB486" t="s">
        <v>9700</v>
      </c>
      <c r="AC486" t="s">
        <v>9701</v>
      </c>
      <c r="AD486" t="s">
        <v>9702</v>
      </c>
      <c r="AE486" t="s">
        <v>74</v>
      </c>
      <c r="AF486" t="s">
        <v>74</v>
      </c>
      <c r="AG486">
        <v>157</v>
      </c>
      <c r="AH486">
        <v>21</v>
      </c>
      <c r="AI486">
        <v>22</v>
      </c>
      <c r="AJ486">
        <v>0</v>
      </c>
      <c r="AK486">
        <v>37</v>
      </c>
      <c r="AL486" t="s">
        <v>1140</v>
      </c>
      <c r="AM486" t="s">
        <v>1141</v>
      </c>
      <c r="AN486" t="s">
        <v>1142</v>
      </c>
      <c r="AO486" t="s">
        <v>7955</v>
      </c>
      <c r="AP486" t="s">
        <v>7956</v>
      </c>
      <c r="AQ486" t="s">
        <v>74</v>
      </c>
      <c r="AR486" t="s">
        <v>7957</v>
      </c>
      <c r="AS486" t="s">
        <v>7958</v>
      </c>
      <c r="AT486" t="s">
        <v>7543</v>
      </c>
      <c r="AU486">
        <v>2019</v>
      </c>
      <c r="AV486">
        <v>28</v>
      </c>
      <c r="AW486">
        <v>13</v>
      </c>
      <c r="AX486" t="s">
        <v>74</v>
      </c>
      <c r="AY486" t="s">
        <v>74</v>
      </c>
      <c r="AZ486" t="s">
        <v>74</v>
      </c>
      <c r="BA486" t="s">
        <v>74</v>
      </c>
      <c r="BB486">
        <v>3151</v>
      </c>
      <c r="BC486">
        <v>3170</v>
      </c>
      <c r="BD486" t="s">
        <v>74</v>
      </c>
      <c r="BE486" t="s">
        <v>9703</v>
      </c>
      <c r="BF486" t="str">
        <f>HYPERLINK("http://dx.doi.org/10.1111/mec.15135","http://dx.doi.org/10.1111/mec.15135")</f>
        <v>http://dx.doi.org/10.1111/mec.15135</v>
      </c>
      <c r="BG486" t="s">
        <v>74</v>
      </c>
      <c r="BH486" t="s">
        <v>74</v>
      </c>
      <c r="BI486">
        <v>20</v>
      </c>
      <c r="BJ486" t="s">
        <v>5789</v>
      </c>
      <c r="BK486" t="s">
        <v>101</v>
      </c>
      <c r="BL486" t="s">
        <v>5790</v>
      </c>
      <c r="BM486" t="s">
        <v>9704</v>
      </c>
      <c r="BN486">
        <v>31125991</v>
      </c>
      <c r="BO486" t="s">
        <v>1648</v>
      </c>
      <c r="BP486" t="s">
        <v>74</v>
      </c>
      <c r="BQ486" t="s">
        <v>74</v>
      </c>
      <c r="BR486" t="s">
        <v>103</v>
      </c>
      <c r="BS486" t="s">
        <v>9705</v>
      </c>
      <c r="BT486" t="str">
        <f>HYPERLINK("https%3A%2F%2Fwww.webofscience.com%2Fwos%2Fwoscc%2Ffull-record%2FWOS:000477750800003","View Full Record in Web of Science")</f>
        <v>View Full Record in Web of Science</v>
      </c>
    </row>
    <row r="487" spans="1:72" x14ac:dyDescent="0.15">
      <c r="A487" t="s">
        <v>72</v>
      </c>
      <c r="B487" t="s">
        <v>9706</v>
      </c>
      <c r="C487" t="s">
        <v>74</v>
      </c>
      <c r="D487" t="s">
        <v>74</v>
      </c>
      <c r="E487" t="s">
        <v>74</v>
      </c>
      <c r="F487" t="s">
        <v>9707</v>
      </c>
      <c r="G487" t="s">
        <v>74</v>
      </c>
      <c r="H487" t="s">
        <v>74</v>
      </c>
      <c r="I487" t="s">
        <v>9708</v>
      </c>
      <c r="J487" t="s">
        <v>9709</v>
      </c>
      <c r="K487" t="s">
        <v>74</v>
      </c>
      <c r="L487" t="s">
        <v>74</v>
      </c>
      <c r="M487" t="s">
        <v>78</v>
      </c>
      <c r="N487" t="s">
        <v>108</v>
      </c>
      <c r="O487" t="s">
        <v>74</v>
      </c>
      <c r="P487" t="s">
        <v>74</v>
      </c>
      <c r="Q487" t="s">
        <v>74</v>
      </c>
      <c r="R487" t="s">
        <v>74</v>
      </c>
      <c r="S487" t="s">
        <v>74</v>
      </c>
      <c r="T487" t="s">
        <v>9710</v>
      </c>
      <c r="U487" t="s">
        <v>9711</v>
      </c>
      <c r="V487" t="s">
        <v>9712</v>
      </c>
      <c r="W487" t="s">
        <v>9713</v>
      </c>
      <c r="X487" t="s">
        <v>9714</v>
      </c>
      <c r="Y487" t="s">
        <v>9715</v>
      </c>
      <c r="Z487" t="s">
        <v>9716</v>
      </c>
      <c r="AA487" t="s">
        <v>9717</v>
      </c>
      <c r="AB487" t="s">
        <v>9718</v>
      </c>
      <c r="AC487" t="s">
        <v>9719</v>
      </c>
      <c r="AD487" t="s">
        <v>9720</v>
      </c>
      <c r="AE487" t="s">
        <v>9721</v>
      </c>
      <c r="AF487" t="s">
        <v>74</v>
      </c>
      <c r="AG487">
        <v>75</v>
      </c>
      <c r="AH487">
        <v>9</v>
      </c>
      <c r="AI487">
        <v>11</v>
      </c>
      <c r="AJ487">
        <v>2</v>
      </c>
      <c r="AK487">
        <v>38</v>
      </c>
      <c r="AL487" t="s">
        <v>438</v>
      </c>
      <c r="AM487" t="s">
        <v>439</v>
      </c>
      <c r="AN487" t="s">
        <v>440</v>
      </c>
      <c r="AO487" t="s">
        <v>9722</v>
      </c>
      <c r="AP487" t="s">
        <v>74</v>
      </c>
      <c r="AQ487" t="s">
        <v>74</v>
      </c>
      <c r="AR487" t="s">
        <v>9723</v>
      </c>
      <c r="AS487" t="s">
        <v>9724</v>
      </c>
      <c r="AT487" t="s">
        <v>7543</v>
      </c>
      <c r="AU487">
        <v>2019</v>
      </c>
      <c r="AV487">
        <v>30</v>
      </c>
      <c r="AW487" t="s">
        <v>74</v>
      </c>
      <c r="AX487" t="s">
        <v>74</v>
      </c>
      <c r="AY487" t="s">
        <v>74</v>
      </c>
      <c r="AZ487" t="s">
        <v>74</v>
      </c>
      <c r="BA487" t="s">
        <v>74</v>
      </c>
      <c r="BB487" t="s">
        <v>74</v>
      </c>
      <c r="BC487" t="s">
        <v>74</v>
      </c>
      <c r="BD487">
        <v>100731</v>
      </c>
      <c r="BE487" t="s">
        <v>9725</v>
      </c>
      <c r="BF487" t="str">
        <f>HYPERLINK("http://dx.doi.org/10.1016/j.rsma.2019.100731","http://dx.doi.org/10.1016/j.rsma.2019.100731")</f>
        <v>http://dx.doi.org/10.1016/j.rsma.2019.100731</v>
      </c>
      <c r="BG487" t="s">
        <v>74</v>
      </c>
      <c r="BH487" t="s">
        <v>74</v>
      </c>
      <c r="BI487">
        <v>9</v>
      </c>
      <c r="BJ487" t="s">
        <v>5077</v>
      </c>
      <c r="BK487" t="s">
        <v>101</v>
      </c>
      <c r="BL487" t="s">
        <v>877</v>
      </c>
      <c r="BM487" t="s">
        <v>9726</v>
      </c>
      <c r="BN487" t="s">
        <v>74</v>
      </c>
      <c r="BO487" t="s">
        <v>74</v>
      </c>
      <c r="BP487" t="s">
        <v>74</v>
      </c>
      <c r="BQ487" t="s">
        <v>74</v>
      </c>
      <c r="BR487" t="s">
        <v>103</v>
      </c>
      <c r="BS487" t="s">
        <v>9727</v>
      </c>
      <c r="BT487" t="str">
        <f>HYPERLINK("https%3A%2F%2Fwww.webofscience.com%2Fwos%2Fwoscc%2Ffull-record%2FWOS:000477764900014","View Full Record in Web of Science")</f>
        <v>View Full Record in Web of Science</v>
      </c>
    </row>
    <row r="488" spans="1:72" x14ac:dyDescent="0.15">
      <c r="A488" t="s">
        <v>72</v>
      </c>
      <c r="B488" t="s">
        <v>9728</v>
      </c>
      <c r="C488" t="s">
        <v>74</v>
      </c>
      <c r="D488" t="s">
        <v>74</v>
      </c>
      <c r="E488" t="s">
        <v>74</v>
      </c>
      <c r="F488" t="s">
        <v>9729</v>
      </c>
      <c r="G488" t="s">
        <v>74</v>
      </c>
      <c r="H488" t="s">
        <v>74</v>
      </c>
      <c r="I488" t="s">
        <v>9730</v>
      </c>
      <c r="J488" t="s">
        <v>4221</v>
      </c>
      <c r="K488" t="s">
        <v>74</v>
      </c>
      <c r="L488" t="s">
        <v>74</v>
      </c>
      <c r="M488" t="s">
        <v>78</v>
      </c>
      <c r="N488" t="s">
        <v>108</v>
      </c>
      <c r="O488" t="s">
        <v>74</v>
      </c>
      <c r="P488" t="s">
        <v>74</v>
      </c>
      <c r="Q488" t="s">
        <v>74</v>
      </c>
      <c r="R488" t="s">
        <v>74</v>
      </c>
      <c r="S488" t="s">
        <v>74</v>
      </c>
      <c r="T488" t="s">
        <v>9731</v>
      </c>
      <c r="U488" t="s">
        <v>9732</v>
      </c>
      <c r="V488" t="s">
        <v>9733</v>
      </c>
      <c r="W488" t="s">
        <v>9734</v>
      </c>
      <c r="X488" t="s">
        <v>9735</v>
      </c>
      <c r="Y488" t="s">
        <v>9736</v>
      </c>
      <c r="Z488" t="s">
        <v>9737</v>
      </c>
      <c r="AA488" t="s">
        <v>9738</v>
      </c>
      <c r="AB488" t="s">
        <v>9739</v>
      </c>
      <c r="AC488" t="s">
        <v>9740</v>
      </c>
      <c r="AD488" t="s">
        <v>9741</v>
      </c>
      <c r="AE488" t="s">
        <v>9742</v>
      </c>
      <c r="AF488" t="s">
        <v>74</v>
      </c>
      <c r="AG488">
        <v>59</v>
      </c>
      <c r="AH488">
        <v>37</v>
      </c>
      <c r="AI488">
        <v>39</v>
      </c>
      <c r="AJ488">
        <v>2</v>
      </c>
      <c r="AK488">
        <v>47</v>
      </c>
      <c r="AL488" t="s">
        <v>1687</v>
      </c>
      <c r="AM488" t="s">
        <v>1688</v>
      </c>
      <c r="AN488" t="s">
        <v>1689</v>
      </c>
      <c r="AO488" t="s">
        <v>4234</v>
      </c>
      <c r="AP488" t="s">
        <v>74</v>
      </c>
      <c r="AQ488" t="s">
        <v>74</v>
      </c>
      <c r="AR488" t="s">
        <v>4235</v>
      </c>
      <c r="AS488" t="s">
        <v>4236</v>
      </c>
      <c r="AT488" t="s">
        <v>7543</v>
      </c>
      <c r="AU488">
        <v>2019</v>
      </c>
      <c r="AV488">
        <v>14</v>
      </c>
      <c r="AW488">
        <v>7</v>
      </c>
      <c r="AX488" t="s">
        <v>74</v>
      </c>
      <c r="AY488" t="s">
        <v>74</v>
      </c>
      <c r="AZ488" t="s">
        <v>74</v>
      </c>
      <c r="BA488" t="s">
        <v>74</v>
      </c>
      <c r="BB488" t="s">
        <v>74</v>
      </c>
      <c r="BC488" t="s">
        <v>74</v>
      </c>
      <c r="BD488">
        <v>74027</v>
      </c>
      <c r="BE488" t="s">
        <v>9743</v>
      </c>
      <c r="BF488" t="str">
        <f>HYPERLINK("http://dx.doi.org/10.1088/1748-9326/ab2928","http://dx.doi.org/10.1088/1748-9326/ab2928")</f>
        <v>http://dx.doi.org/10.1088/1748-9326/ab2928</v>
      </c>
      <c r="BG488" t="s">
        <v>74</v>
      </c>
      <c r="BH488" t="s">
        <v>74</v>
      </c>
      <c r="BI488">
        <v>11</v>
      </c>
      <c r="BJ488" t="s">
        <v>2267</v>
      </c>
      <c r="BK488" t="s">
        <v>101</v>
      </c>
      <c r="BL488" t="s">
        <v>2268</v>
      </c>
      <c r="BM488" t="s">
        <v>9744</v>
      </c>
      <c r="BN488" t="s">
        <v>74</v>
      </c>
      <c r="BO488" t="s">
        <v>2313</v>
      </c>
      <c r="BP488" t="s">
        <v>74</v>
      </c>
      <c r="BQ488" t="s">
        <v>74</v>
      </c>
      <c r="BR488" t="s">
        <v>103</v>
      </c>
      <c r="BS488" t="s">
        <v>9745</v>
      </c>
      <c r="BT488" t="str">
        <f>HYPERLINK("https%3A%2F%2Fwww.webofscience.com%2Fwos%2Fwoscc%2Ffull-record%2FWOS:000475794700004","View Full Record in Web of Science")</f>
        <v>View Full Record in Web of Science</v>
      </c>
    </row>
    <row r="489" spans="1:72" x14ac:dyDescent="0.15">
      <c r="A489" t="s">
        <v>72</v>
      </c>
      <c r="B489" t="s">
        <v>9746</v>
      </c>
      <c r="C489" t="s">
        <v>74</v>
      </c>
      <c r="D489" t="s">
        <v>74</v>
      </c>
      <c r="E489" t="s">
        <v>74</v>
      </c>
      <c r="F489" t="s">
        <v>9747</v>
      </c>
      <c r="G489" t="s">
        <v>74</v>
      </c>
      <c r="H489" t="s">
        <v>74</v>
      </c>
      <c r="I489" t="s">
        <v>9748</v>
      </c>
      <c r="J489" t="s">
        <v>6485</v>
      </c>
      <c r="K489" t="s">
        <v>74</v>
      </c>
      <c r="L489" t="s">
        <v>74</v>
      </c>
      <c r="M489" t="s">
        <v>78</v>
      </c>
      <c r="N489" t="s">
        <v>108</v>
      </c>
      <c r="O489" t="s">
        <v>74</v>
      </c>
      <c r="P489" t="s">
        <v>74</v>
      </c>
      <c r="Q489" t="s">
        <v>74</v>
      </c>
      <c r="R489" t="s">
        <v>74</v>
      </c>
      <c r="S489" t="s">
        <v>74</v>
      </c>
      <c r="T489" t="s">
        <v>9749</v>
      </c>
      <c r="U489" t="s">
        <v>9750</v>
      </c>
      <c r="V489" t="s">
        <v>9751</v>
      </c>
      <c r="W489" t="s">
        <v>9752</v>
      </c>
      <c r="X489" t="s">
        <v>9753</v>
      </c>
      <c r="Y489" t="s">
        <v>9754</v>
      </c>
      <c r="Z489" t="s">
        <v>9755</v>
      </c>
      <c r="AA489" t="s">
        <v>9756</v>
      </c>
      <c r="AB489" t="s">
        <v>9757</v>
      </c>
      <c r="AC489" t="s">
        <v>9758</v>
      </c>
      <c r="AD489" t="s">
        <v>9759</v>
      </c>
      <c r="AE489" t="s">
        <v>9760</v>
      </c>
      <c r="AF489" t="s">
        <v>74</v>
      </c>
      <c r="AG489">
        <v>104</v>
      </c>
      <c r="AH489">
        <v>18</v>
      </c>
      <c r="AI489">
        <v>18</v>
      </c>
      <c r="AJ489">
        <v>1</v>
      </c>
      <c r="AK489">
        <v>31</v>
      </c>
      <c r="AL489" t="s">
        <v>6495</v>
      </c>
      <c r="AM489" t="s">
        <v>657</v>
      </c>
      <c r="AN489" t="s">
        <v>6496</v>
      </c>
      <c r="AO489" t="s">
        <v>6497</v>
      </c>
      <c r="AP489" t="s">
        <v>6498</v>
      </c>
      <c r="AQ489" t="s">
        <v>74</v>
      </c>
      <c r="AR489" t="s">
        <v>6485</v>
      </c>
      <c r="AS489" t="s">
        <v>6499</v>
      </c>
      <c r="AT489" t="s">
        <v>7543</v>
      </c>
      <c r="AU489">
        <v>2019</v>
      </c>
      <c r="AV489">
        <v>29</v>
      </c>
      <c r="AW489">
        <v>7</v>
      </c>
      <c r="AX489" t="s">
        <v>74</v>
      </c>
      <c r="AY489" t="s">
        <v>74</v>
      </c>
      <c r="AZ489" t="s">
        <v>74</v>
      </c>
      <c r="BA489" t="s">
        <v>74</v>
      </c>
      <c r="BB489">
        <v>1155</v>
      </c>
      <c r="BC489">
        <v>1175</v>
      </c>
      <c r="BD489" t="s">
        <v>74</v>
      </c>
      <c r="BE489" t="s">
        <v>9761</v>
      </c>
      <c r="BF489" t="str">
        <f>HYPERLINK("http://dx.doi.org/10.1177/0959683619838033","http://dx.doi.org/10.1177/0959683619838033")</f>
        <v>http://dx.doi.org/10.1177/0959683619838033</v>
      </c>
      <c r="BG489" t="s">
        <v>74</v>
      </c>
      <c r="BH489" t="s">
        <v>74</v>
      </c>
      <c r="BI489">
        <v>21</v>
      </c>
      <c r="BJ489" t="s">
        <v>310</v>
      </c>
      <c r="BK489" t="s">
        <v>101</v>
      </c>
      <c r="BL489" t="s">
        <v>311</v>
      </c>
      <c r="BM489" t="s">
        <v>9762</v>
      </c>
      <c r="BN489" t="s">
        <v>74</v>
      </c>
      <c r="BO489" t="s">
        <v>74</v>
      </c>
      <c r="BP489" t="s">
        <v>74</v>
      </c>
      <c r="BQ489" t="s">
        <v>74</v>
      </c>
      <c r="BR489" t="s">
        <v>103</v>
      </c>
      <c r="BS489" t="s">
        <v>9763</v>
      </c>
      <c r="BT489" t="str">
        <f>HYPERLINK("https%3A%2F%2Fwww.webofscience.com%2Fwos%2Fwoscc%2Ffull-record%2FWOS:000475684800005","View Full Record in Web of Science")</f>
        <v>View Full Record in Web of Science</v>
      </c>
    </row>
    <row r="490" spans="1:72" x14ac:dyDescent="0.15">
      <c r="A490" t="s">
        <v>72</v>
      </c>
      <c r="B490" t="s">
        <v>9764</v>
      </c>
      <c r="C490" t="s">
        <v>74</v>
      </c>
      <c r="D490" t="s">
        <v>74</v>
      </c>
      <c r="E490" t="s">
        <v>74</v>
      </c>
      <c r="F490" t="s">
        <v>9765</v>
      </c>
      <c r="G490" t="s">
        <v>74</v>
      </c>
      <c r="H490" t="s">
        <v>74</v>
      </c>
      <c r="I490" t="s">
        <v>9766</v>
      </c>
      <c r="J490" t="s">
        <v>4952</v>
      </c>
      <c r="K490" t="s">
        <v>74</v>
      </c>
      <c r="L490" t="s">
        <v>74</v>
      </c>
      <c r="M490" t="s">
        <v>78</v>
      </c>
      <c r="N490" t="s">
        <v>108</v>
      </c>
      <c r="O490" t="s">
        <v>74</v>
      </c>
      <c r="P490" t="s">
        <v>74</v>
      </c>
      <c r="Q490" t="s">
        <v>74</v>
      </c>
      <c r="R490" t="s">
        <v>74</v>
      </c>
      <c r="S490" t="s">
        <v>74</v>
      </c>
      <c r="T490" t="s">
        <v>9767</v>
      </c>
      <c r="U490" t="s">
        <v>9768</v>
      </c>
      <c r="V490" t="s">
        <v>9769</v>
      </c>
      <c r="W490" t="s">
        <v>9770</v>
      </c>
      <c r="X490" t="s">
        <v>9771</v>
      </c>
      <c r="Y490" t="s">
        <v>9772</v>
      </c>
      <c r="Z490" t="s">
        <v>9773</v>
      </c>
      <c r="AA490" t="s">
        <v>9774</v>
      </c>
      <c r="AB490" t="s">
        <v>9775</v>
      </c>
      <c r="AC490" t="s">
        <v>9776</v>
      </c>
      <c r="AD490" t="s">
        <v>9777</v>
      </c>
      <c r="AE490" t="s">
        <v>9778</v>
      </c>
      <c r="AF490" t="s">
        <v>74</v>
      </c>
      <c r="AG490">
        <v>93</v>
      </c>
      <c r="AH490">
        <v>61</v>
      </c>
      <c r="AI490">
        <v>64</v>
      </c>
      <c r="AJ490">
        <v>1</v>
      </c>
      <c r="AK490">
        <v>53</v>
      </c>
      <c r="AL490" t="s">
        <v>3533</v>
      </c>
      <c r="AM490" t="s">
        <v>93</v>
      </c>
      <c r="AN490" t="s">
        <v>3534</v>
      </c>
      <c r="AO490" t="s">
        <v>4965</v>
      </c>
      <c r="AP490" t="s">
        <v>4966</v>
      </c>
      <c r="AQ490" t="s">
        <v>74</v>
      </c>
      <c r="AR490" t="s">
        <v>4967</v>
      </c>
      <c r="AS490" t="s">
        <v>4968</v>
      </c>
      <c r="AT490" t="s">
        <v>8453</v>
      </c>
      <c r="AU490">
        <v>2019</v>
      </c>
      <c r="AV490">
        <v>177</v>
      </c>
      <c r="AW490" t="s">
        <v>74</v>
      </c>
      <c r="AX490" t="s">
        <v>74</v>
      </c>
      <c r="AY490" t="s">
        <v>74</v>
      </c>
      <c r="AZ490" t="s">
        <v>74</v>
      </c>
      <c r="BA490" t="s">
        <v>74</v>
      </c>
      <c r="BB490">
        <v>127</v>
      </c>
      <c r="BC490">
        <v>138</v>
      </c>
      <c r="BD490" t="s">
        <v>74</v>
      </c>
      <c r="BE490" t="s">
        <v>9779</v>
      </c>
      <c r="BF490" t="str">
        <f>HYPERLINK("http://dx.doi.org/10.1016/j.ocecoaman.2019.04.008","http://dx.doi.org/10.1016/j.ocecoaman.2019.04.008")</f>
        <v>http://dx.doi.org/10.1016/j.ocecoaman.2019.04.008</v>
      </c>
      <c r="BG490" t="s">
        <v>74</v>
      </c>
      <c r="BH490" t="s">
        <v>74</v>
      </c>
      <c r="BI490">
        <v>12</v>
      </c>
      <c r="BJ490" t="s">
        <v>4970</v>
      </c>
      <c r="BK490" t="s">
        <v>3718</v>
      </c>
      <c r="BL490" t="s">
        <v>4970</v>
      </c>
      <c r="BM490" t="s">
        <v>9780</v>
      </c>
      <c r="BN490" t="s">
        <v>74</v>
      </c>
      <c r="BO490" t="s">
        <v>74</v>
      </c>
      <c r="BP490" t="s">
        <v>74</v>
      </c>
      <c r="BQ490" t="s">
        <v>74</v>
      </c>
      <c r="BR490" t="s">
        <v>103</v>
      </c>
      <c r="BS490" t="s">
        <v>9781</v>
      </c>
      <c r="BT490" t="str">
        <f>HYPERLINK("https%3A%2F%2Fwww.webofscience.com%2Fwos%2Fwoscc%2Ffull-record%2FWOS:000475995800010","View Full Record in Web of Science")</f>
        <v>View Full Record in Web of Science</v>
      </c>
    </row>
    <row r="491" spans="1:72" x14ac:dyDescent="0.15">
      <c r="A491" t="s">
        <v>72</v>
      </c>
      <c r="B491" t="s">
        <v>9782</v>
      </c>
      <c r="C491" t="s">
        <v>74</v>
      </c>
      <c r="D491" t="s">
        <v>74</v>
      </c>
      <c r="E491" t="s">
        <v>74</v>
      </c>
      <c r="F491" t="s">
        <v>9783</v>
      </c>
      <c r="G491" t="s">
        <v>74</v>
      </c>
      <c r="H491" t="s">
        <v>74</v>
      </c>
      <c r="I491" t="s">
        <v>9784</v>
      </c>
      <c r="J491" t="s">
        <v>9785</v>
      </c>
      <c r="K491" t="s">
        <v>74</v>
      </c>
      <c r="L491" t="s">
        <v>74</v>
      </c>
      <c r="M491" t="s">
        <v>78</v>
      </c>
      <c r="N491" t="s">
        <v>108</v>
      </c>
      <c r="O491" t="s">
        <v>74</v>
      </c>
      <c r="P491" t="s">
        <v>74</v>
      </c>
      <c r="Q491" t="s">
        <v>74</v>
      </c>
      <c r="R491" t="s">
        <v>74</v>
      </c>
      <c r="S491" t="s">
        <v>74</v>
      </c>
      <c r="T491" t="s">
        <v>9786</v>
      </c>
      <c r="U491" t="s">
        <v>9787</v>
      </c>
      <c r="V491" t="s">
        <v>9788</v>
      </c>
      <c r="W491" t="s">
        <v>9789</v>
      </c>
      <c r="X491" t="s">
        <v>9790</v>
      </c>
      <c r="Y491" t="s">
        <v>9791</v>
      </c>
      <c r="Z491" t="s">
        <v>9792</v>
      </c>
      <c r="AA491" t="s">
        <v>9793</v>
      </c>
      <c r="AB491" t="s">
        <v>9794</v>
      </c>
      <c r="AC491" t="s">
        <v>9795</v>
      </c>
      <c r="AD491" t="s">
        <v>9796</v>
      </c>
      <c r="AE491" t="s">
        <v>9797</v>
      </c>
      <c r="AF491" t="s">
        <v>74</v>
      </c>
      <c r="AG491">
        <v>62</v>
      </c>
      <c r="AH491">
        <v>10</v>
      </c>
      <c r="AI491">
        <v>10</v>
      </c>
      <c r="AJ491">
        <v>0</v>
      </c>
      <c r="AK491">
        <v>8</v>
      </c>
      <c r="AL491" t="s">
        <v>9798</v>
      </c>
      <c r="AM491" t="s">
        <v>9799</v>
      </c>
      <c r="AN491" t="s">
        <v>9800</v>
      </c>
      <c r="AO491" t="s">
        <v>9801</v>
      </c>
      <c r="AP491" t="s">
        <v>9802</v>
      </c>
      <c r="AQ491" t="s">
        <v>74</v>
      </c>
      <c r="AR491" t="s">
        <v>9803</v>
      </c>
      <c r="AS491" t="s">
        <v>9804</v>
      </c>
      <c r="AT491" t="s">
        <v>7543</v>
      </c>
      <c r="AU491">
        <v>2019</v>
      </c>
      <c r="AV491">
        <v>152</v>
      </c>
      <c r="AW491">
        <v>2</v>
      </c>
      <c r="AX491" t="s">
        <v>74</v>
      </c>
      <c r="AY491" t="s">
        <v>74</v>
      </c>
      <c r="AZ491" t="s">
        <v>74</v>
      </c>
      <c r="BA491" t="s">
        <v>74</v>
      </c>
      <c r="BB491">
        <v>313</v>
      </c>
      <c r="BC491">
        <v>326</v>
      </c>
      <c r="BD491" t="s">
        <v>74</v>
      </c>
      <c r="BE491" t="s">
        <v>9805</v>
      </c>
      <c r="BF491" t="str">
        <f>HYPERLINK("http://dx.doi.org/10.5091/plecevo.2019.1607","http://dx.doi.org/10.5091/plecevo.2019.1607")</f>
        <v>http://dx.doi.org/10.5091/plecevo.2019.1607</v>
      </c>
      <c r="BG491" t="s">
        <v>74</v>
      </c>
      <c r="BH491" t="s">
        <v>74</v>
      </c>
      <c r="BI491">
        <v>14</v>
      </c>
      <c r="BJ491" t="s">
        <v>2907</v>
      </c>
      <c r="BK491" t="s">
        <v>101</v>
      </c>
      <c r="BL491" t="s">
        <v>2907</v>
      </c>
      <c r="BM491" t="s">
        <v>9806</v>
      </c>
      <c r="BN491" t="s">
        <v>74</v>
      </c>
      <c r="BO491" t="s">
        <v>402</v>
      </c>
      <c r="BP491" t="s">
        <v>74</v>
      </c>
      <c r="BQ491" t="s">
        <v>74</v>
      </c>
      <c r="BR491" t="s">
        <v>103</v>
      </c>
      <c r="BS491" t="s">
        <v>9807</v>
      </c>
      <c r="BT491" t="str">
        <f>HYPERLINK("https%3A%2F%2Fwww.webofscience.com%2Fwos%2Fwoscc%2Ffull-record%2FWOS:000475963600016","View Full Record in Web of Science")</f>
        <v>View Full Record in Web of Science</v>
      </c>
    </row>
    <row r="492" spans="1:72" x14ac:dyDescent="0.15">
      <c r="A492" t="s">
        <v>72</v>
      </c>
      <c r="B492" t="s">
        <v>9808</v>
      </c>
      <c r="C492" t="s">
        <v>74</v>
      </c>
      <c r="D492" t="s">
        <v>74</v>
      </c>
      <c r="E492" t="s">
        <v>74</v>
      </c>
      <c r="F492" t="s">
        <v>9809</v>
      </c>
      <c r="G492" t="s">
        <v>74</v>
      </c>
      <c r="H492" t="s">
        <v>74</v>
      </c>
      <c r="I492" t="s">
        <v>9810</v>
      </c>
      <c r="J492" t="s">
        <v>9785</v>
      </c>
      <c r="K492" t="s">
        <v>74</v>
      </c>
      <c r="L492" t="s">
        <v>74</v>
      </c>
      <c r="M492" t="s">
        <v>78</v>
      </c>
      <c r="N492" t="s">
        <v>108</v>
      </c>
      <c r="O492" t="s">
        <v>74</v>
      </c>
      <c r="P492" t="s">
        <v>74</v>
      </c>
      <c r="Q492" t="s">
        <v>74</v>
      </c>
      <c r="R492" t="s">
        <v>74</v>
      </c>
      <c r="S492" t="s">
        <v>74</v>
      </c>
      <c r="T492" t="s">
        <v>9811</v>
      </c>
      <c r="U492" t="s">
        <v>74</v>
      </c>
      <c r="V492" t="s">
        <v>9812</v>
      </c>
      <c r="W492" t="s">
        <v>9813</v>
      </c>
      <c r="X492" t="s">
        <v>9814</v>
      </c>
      <c r="Y492" t="s">
        <v>9815</v>
      </c>
      <c r="Z492" t="s">
        <v>9816</v>
      </c>
      <c r="AA492" t="s">
        <v>9817</v>
      </c>
      <c r="AB492" t="s">
        <v>9818</v>
      </c>
      <c r="AC492" t="s">
        <v>74</v>
      </c>
      <c r="AD492" t="s">
        <v>74</v>
      </c>
      <c r="AE492" t="s">
        <v>74</v>
      </c>
      <c r="AF492" t="s">
        <v>74</v>
      </c>
      <c r="AG492">
        <v>10</v>
      </c>
      <c r="AH492">
        <v>2</v>
      </c>
      <c r="AI492">
        <v>2</v>
      </c>
      <c r="AJ492">
        <v>0</v>
      </c>
      <c r="AK492">
        <v>0</v>
      </c>
      <c r="AL492" t="s">
        <v>9798</v>
      </c>
      <c r="AM492" t="s">
        <v>9799</v>
      </c>
      <c r="AN492" t="s">
        <v>9800</v>
      </c>
      <c r="AO492" t="s">
        <v>9801</v>
      </c>
      <c r="AP492" t="s">
        <v>9802</v>
      </c>
      <c r="AQ492" t="s">
        <v>74</v>
      </c>
      <c r="AR492" t="s">
        <v>9803</v>
      </c>
      <c r="AS492" t="s">
        <v>9804</v>
      </c>
      <c r="AT492" t="s">
        <v>7543</v>
      </c>
      <c r="AU492">
        <v>2019</v>
      </c>
      <c r="AV492">
        <v>152</v>
      </c>
      <c r="AW492">
        <v>2</v>
      </c>
      <c r="AX492" t="s">
        <v>74</v>
      </c>
      <c r="AY492" t="s">
        <v>74</v>
      </c>
      <c r="AZ492" t="s">
        <v>74</v>
      </c>
      <c r="BA492" t="s">
        <v>74</v>
      </c>
      <c r="BB492">
        <v>409</v>
      </c>
      <c r="BC492">
        <v>411</v>
      </c>
      <c r="BD492" t="s">
        <v>74</v>
      </c>
      <c r="BE492" t="s">
        <v>9819</v>
      </c>
      <c r="BF492" t="str">
        <f>HYPERLINK("http://dx.doi.org/10.5091/plecevo.2019.1610","http://dx.doi.org/10.5091/plecevo.2019.1610")</f>
        <v>http://dx.doi.org/10.5091/plecevo.2019.1610</v>
      </c>
      <c r="BG492" t="s">
        <v>74</v>
      </c>
      <c r="BH492" t="s">
        <v>74</v>
      </c>
      <c r="BI492">
        <v>3</v>
      </c>
      <c r="BJ492" t="s">
        <v>2907</v>
      </c>
      <c r="BK492" t="s">
        <v>101</v>
      </c>
      <c r="BL492" t="s">
        <v>2907</v>
      </c>
      <c r="BM492" t="s">
        <v>9806</v>
      </c>
      <c r="BN492" t="s">
        <v>74</v>
      </c>
      <c r="BO492" t="s">
        <v>331</v>
      </c>
      <c r="BP492" t="s">
        <v>74</v>
      </c>
      <c r="BQ492" t="s">
        <v>74</v>
      </c>
      <c r="BR492" t="s">
        <v>103</v>
      </c>
      <c r="BS492" t="s">
        <v>9820</v>
      </c>
      <c r="BT492" t="str">
        <f>HYPERLINK("https%3A%2F%2Fwww.webofscience.com%2Fwos%2Fwoscc%2Ffull-record%2FWOS:000475963600025","View Full Record in Web of Science")</f>
        <v>View Full Record in Web of Science</v>
      </c>
    </row>
    <row r="493" spans="1:72" x14ac:dyDescent="0.15">
      <c r="A493" t="s">
        <v>72</v>
      </c>
      <c r="B493" t="s">
        <v>9821</v>
      </c>
      <c r="C493" t="s">
        <v>74</v>
      </c>
      <c r="D493" t="s">
        <v>74</v>
      </c>
      <c r="E493" t="s">
        <v>74</v>
      </c>
      <c r="F493" t="s">
        <v>9822</v>
      </c>
      <c r="G493" t="s">
        <v>74</v>
      </c>
      <c r="H493" t="s">
        <v>74</v>
      </c>
      <c r="I493" t="s">
        <v>9823</v>
      </c>
      <c r="J493" t="s">
        <v>4003</v>
      </c>
      <c r="K493" t="s">
        <v>74</v>
      </c>
      <c r="L493" t="s">
        <v>74</v>
      </c>
      <c r="M493" t="s">
        <v>78</v>
      </c>
      <c r="N493" t="s">
        <v>108</v>
      </c>
      <c r="O493" t="s">
        <v>74</v>
      </c>
      <c r="P493" t="s">
        <v>74</v>
      </c>
      <c r="Q493" t="s">
        <v>74</v>
      </c>
      <c r="R493" t="s">
        <v>74</v>
      </c>
      <c r="S493" t="s">
        <v>74</v>
      </c>
      <c r="T493" t="s">
        <v>9824</v>
      </c>
      <c r="U493" t="s">
        <v>9825</v>
      </c>
      <c r="V493" t="s">
        <v>9826</v>
      </c>
      <c r="W493" t="s">
        <v>9827</v>
      </c>
      <c r="X493" t="s">
        <v>9828</v>
      </c>
      <c r="Y493" t="s">
        <v>9829</v>
      </c>
      <c r="Z493" t="s">
        <v>9830</v>
      </c>
      <c r="AA493" t="s">
        <v>9831</v>
      </c>
      <c r="AB493" t="s">
        <v>9832</v>
      </c>
      <c r="AC493" t="s">
        <v>9833</v>
      </c>
      <c r="AD493" t="s">
        <v>9834</v>
      </c>
      <c r="AE493" t="s">
        <v>9835</v>
      </c>
      <c r="AF493" t="s">
        <v>74</v>
      </c>
      <c r="AG493">
        <v>112</v>
      </c>
      <c r="AH493">
        <v>12</v>
      </c>
      <c r="AI493">
        <v>13</v>
      </c>
      <c r="AJ493">
        <v>0</v>
      </c>
      <c r="AK493">
        <v>6</v>
      </c>
      <c r="AL493" t="s">
        <v>154</v>
      </c>
      <c r="AM493" t="s">
        <v>4016</v>
      </c>
      <c r="AN493" t="s">
        <v>4040</v>
      </c>
      <c r="AO493" t="s">
        <v>4018</v>
      </c>
      <c r="AP493" t="s">
        <v>4019</v>
      </c>
      <c r="AQ493" t="s">
        <v>74</v>
      </c>
      <c r="AR493" t="s">
        <v>4020</v>
      </c>
      <c r="AS493" t="s">
        <v>4021</v>
      </c>
      <c r="AT493" t="s">
        <v>7543</v>
      </c>
      <c r="AU493">
        <v>2019</v>
      </c>
      <c r="AV493">
        <v>42</v>
      </c>
      <c r="AW493">
        <v>7</v>
      </c>
      <c r="AX493" t="s">
        <v>74</v>
      </c>
      <c r="AY493" t="s">
        <v>74</v>
      </c>
      <c r="AZ493" t="s">
        <v>74</v>
      </c>
      <c r="BA493" t="s">
        <v>74</v>
      </c>
      <c r="BB493">
        <v>1271</v>
      </c>
      <c r="BC493">
        <v>1286</v>
      </c>
      <c r="BD493" t="s">
        <v>74</v>
      </c>
      <c r="BE493" t="s">
        <v>9836</v>
      </c>
      <c r="BF493" t="str">
        <f>HYPERLINK("http://dx.doi.org/10.1007/s00300-019-02516-1","http://dx.doi.org/10.1007/s00300-019-02516-1")</f>
        <v>http://dx.doi.org/10.1007/s00300-019-02516-1</v>
      </c>
      <c r="BG493" t="s">
        <v>74</v>
      </c>
      <c r="BH493" t="s">
        <v>74</v>
      </c>
      <c r="BI493">
        <v>16</v>
      </c>
      <c r="BJ493" t="s">
        <v>3802</v>
      </c>
      <c r="BK493" t="s">
        <v>101</v>
      </c>
      <c r="BL493" t="s">
        <v>1646</v>
      </c>
      <c r="BM493" t="s">
        <v>9837</v>
      </c>
      <c r="BN493" t="s">
        <v>74</v>
      </c>
      <c r="BO493" t="s">
        <v>74</v>
      </c>
      <c r="BP493" t="s">
        <v>74</v>
      </c>
      <c r="BQ493" t="s">
        <v>74</v>
      </c>
      <c r="BR493" t="s">
        <v>103</v>
      </c>
      <c r="BS493" t="s">
        <v>9838</v>
      </c>
      <c r="BT493" t="str">
        <f>HYPERLINK("https%3A%2F%2Fwww.webofscience.com%2Fwos%2Fwoscc%2Ffull-record%2FWOS:000475570000004","View Full Record in Web of Science")</f>
        <v>View Full Record in Web of Science</v>
      </c>
    </row>
    <row r="494" spans="1:72" x14ac:dyDescent="0.15">
      <c r="A494" t="s">
        <v>72</v>
      </c>
      <c r="B494" t="s">
        <v>9839</v>
      </c>
      <c r="C494" t="s">
        <v>74</v>
      </c>
      <c r="D494" t="s">
        <v>74</v>
      </c>
      <c r="E494" t="s">
        <v>74</v>
      </c>
      <c r="F494" t="s">
        <v>9840</v>
      </c>
      <c r="G494" t="s">
        <v>74</v>
      </c>
      <c r="H494" t="s">
        <v>74</v>
      </c>
      <c r="I494" t="s">
        <v>9841</v>
      </c>
      <c r="J494" t="s">
        <v>4003</v>
      </c>
      <c r="K494" t="s">
        <v>74</v>
      </c>
      <c r="L494" t="s">
        <v>74</v>
      </c>
      <c r="M494" t="s">
        <v>78</v>
      </c>
      <c r="N494" t="s">
        <v>108</v>
      </c>
      <c r="O494" t="s">
        <v>74</v>
      </c>
      <c r="P494" t="s">
        <v>74</v>
      </c>
      <c r="Q494" t="s">
        <v>74</v>
      </c>
      <c r="R494" t="s">
        <v>74</v>
      </c>
      <c r="S494" t="s">
        <v>74</v>
      </c>
      <c r="T494" t="s">
        <v>9842</v>
      </c>
      <c r="U494" t="s">
        <v>9843</v>
      </c>
      <c r="V494" t="s">
        <v>9844</v>
      </c>
      <c r="W494" t="s">
        <v>9845</v>
      </c>
      <c r="X494" t="s">
        <v>9846</v>
      </c>
      <c r="Y494" t="s">
        <v>9847</v>
      </c>
      <c r="Z494" t="s">
        <v>9848</v>
      </c>
      <c r="AA494" t="s">
        <v>9849</v>
      </c>
      <c r="AB494" t="s">
        <v>9850</v>
      </c>
      <c r="AC494" t="s">
        <v>9851</v>
      </c>
      <c r="AD494" t="s">
        <v>9852</v>
      </c>
      <c r="AE494" t="s">
        <v>9853</v>
      </c>
      <c r="AF494" t="s">
        <v>74</v>
      </c>
      <c r="AG494">
        <v>37</v>
      </c>
      <c r="AH494">
        <v>15</v>
      </c>
      <c r="AI494">
        <v>17</v>
      </c>
      <c r="AJ494">
        <v>0</v>
      </c>
      <c r="AK494">
        <v>54</v>
      </c>
      <c r="AL494" t="s">
        <v>154</v>
      </c>
      <c r="AM494" t="s">
        <v>4016</v>
      </c>
      <c r="AN494" t="s">
        <v>4040</v>
      </c>
      <c r="AO494" t="s">
        <v>4018</v>
      </c>
      <c r="AP494" t="s">
        <v>4019</v>
      </c>
      <c r="AQ494" t="s">
        <v>74</v>
      </c>
      <c r="AR494" t="s">
        <v>4020</v>
      </c>
      <c r="AS494" t="s">
        <v>4021</v>
      </c>
      <c r="AT494" t="s">
        <v>7543</v>
      </c>
      <c r="AU494">
        <v>2019</v>
      </c>
      <c r="AV494">
        <v>42</v>
      </c>
      <c r="AW494">
        <v>7</v>
      </c>
      <c r="AX494" t="s">
        <v>74</v>
      </c>
      <c r="AY494" t="s">
        <v>74</v>
      </c>
      <c r="AZ494" t="s">
        <v>74</v>
      </c>
      <c r="BA494" t="s">
        <v>74</v>
      </c>
      <c r="BB494">
        <v>1299</v>
      </c>
      <c r="BC494">
        <v>1306</v>
      </c>
      <c r="BD494" t="s">
        <v>74</v>
      </c>
      <c r="BE494" t="s">
        <v>9854</v>
      </c>
      <c r="BF494" t="str">
        <f>HYPERLINK("http://dx.doi.org/10.1007/s00300-019-02518-z","http://dx.doi.org/10.1007/s00300-019-02518-z")</f>
        <v>http://dx.doi.org/10.1007/s00300-019-02518-z</v>
      </c>
      <c r="BG494" t="s">
        <v>74</v>
      </c>
      <c r="BH494" t="s">
        <v>74</v>
      </c>
      <c r="BI494">
        <v>8</v>
      </c>
      <c r="BJ494" t="s">
        <v>3802</v>
      </c>
      <c r="BK494" t="s">
        <v>101</v>
      </c>
      <c r="BL494" t="s">
        <v>1646</v>
      </c>
      <c r="BM494" t="s">
        <v>9837</v>
      </c>
      <c r="BN494" t="s">
        <v>74</v>
      </c>
      <c r="BO494" t="s">
        <v>74</v>
      </c>
      <c r="BP494" t="s">
        <v>74</v>
      </c>
      <c r="BQ494" t="s">
        <v>74</v>
      </c>
      <c r="BR494" t="s">
        <v>103</v>
      </c>
      <c r="BS494" t="s">
        <v>9855</v>
      </c>
      <c r="BT494" t="str">
        <f>HYPERLINK("https%3A%2F%2Fwww.webofscience.com%2Fwos%2Fwoscc%2Ffull-record%2FWOS:000475570000006","View Full Record in Web of Science")</f>
        <v>View Full Record in Web of Science</v>
      </c>
    </row>
    <row r="495" spans="1:72" x14ac:dyDescent="0.15">
      <c r="A495" t="s">
        <v>72</v>
      </c>
      <c r="B495" t="s">
        <v>9856</v>
      </c>
      <c r="C495" t="s">
        <v>74</v>
      </c>
      <c r="D495" t="s">
        <v>74</v>
      </c>
      <c r="E495" t="s">
        <v>74</v>
      </c>
      <c r="F495" t="s">
        <v>9857</v>
      </c>
      <c r="G495" t="s">
        <v>74</v>
      </c>
      <c r="H495" t="s">
        <v>74</v>
      </c>
      <c r="I495" t="s">
        <v>9858</v>
      </c>
      <c r="J495" t="s">
        <v>4003</v>
      </c>
      <c r="K495" t="s">
        <v>74</v>
      </c>
      <c r="L495" t="s">
        <v>74</v>
      </c>
      <c r="M495" t="s">
        <v>78</v>
      </c>
      <c r="N495" t="s">
        <v>108</v>
      </c>
      <c r="O495" t="s">
        <v>74</v>
      </c>
      <c r="P495" t="s">
        <v>74</v>
      </c>
      <c r="Q495" t="s">
        <v>74</v>
      </c>
      <c r="R495" t="s">
        <v>74</v>
      </c>
      <c r="S495" t="s">
        <v>74</v>
      </c>
      <c r="T495" t="s">
        <v>9859</v>
      </c>
      <c r="U495" t="s">
        <v>9860</v>
      </c>
      <c r="V495" t="s">
        <v>9861</v>
      </c>
      <c r="W495" t="s">
        <v>9862</v>
      </c>
      <c r="X495" t="s">
        <v>9863</v>
      </c>
      <c r="Y495" t="s">
        <v>9864</v>
      </c>
      <c r="Z495" t="s">
        <v>9865</v>
      </c>
      <c r="AA495" t="s">
        <v>9866</v>
      </c>
      <c r="AB495" t="s">
        <v>9867</v>
      </c>
      <c r="AC495" t="s">
        <v>9868</v>
      </c>
      <c r="AD495" t="s">
        <v>9869</v>
      </c>
      <c r="AE495" t="s">
        <v>9870</v>
      </c>
      <c r="AF495" t="s">
        <v>74</v>
      </c>
      <c r="AG495">
        <v>27</v>
      </c>
      <c r="AH495">
        <v>4</v>
      </c>
      <c r="AI495">
        <v>7</v>
      </c>
      <c r="AJ495">
        <v>0</v>
      </c>
      <c r="AK495">
        <v>4</v>
      </c>
      <c r="AL495" t="s">
        <v>154</v>
      </c>
      <c r="AM495" t="s">
        <v>4016</v>
      </c>
      <c r="AN495" t="s">
        <v>4040</v>
      </c>
      <c r="AO495" t="s">
        <v>4018</v>
      </c>
      <c r="AP495" t="s">
        <v>4019</v>
      </c>
      <c r="AQ495" t="s">
        <v>74</v>
      </c>
      <c r="AR495" t="s">
        <v>4020</v>
      </c>
      <c r="AS495" t="s">
        <v>4021</v>
      </c>
      <c r="AT495" t="s">
        <v>7543</v>
      </c>
      <c r="AU495">
        <v>2019</v>
      </c>
      <c r="AV495">
        <v>42</v>
      </c>
      <c r="AW495">
        <v>7</v>
      </c>
      <c r="AX495" t="s">
        <v>74</v>
      </c>
      <c r="AY495" t="s">
        <v>74</v>
      </c>
      <c r="AZ495" t="s">
        <v>74</v>
      </c>
      <c r="BA495" t="s">
        <v>74</v>
      </c>
      <c r="BB495">
        <v>1369</v>
      </c>
      <c r="BC495">
        <v>1376</v>
      </c>
      <c r="BD495" t="s">
        <v>74</v>
      </c>
      <c r="BE495" t="s">
        <v>9871</v>
      </c>
      <c r="BF495" t="str">
        <f>HYPERLINK("http://dx.doi.org/10.1007/s00300-019-02525-0","http://dx.doi.org/10.1007/s00300-019-02525-0")</f>
        <v>http://dx.doi.org/10.1007/s00300-019-02525-0</v>
      </c>
      <c r="BG495" t="s">
        <v>74</v>
      </c>
      <c r="BH495" t="s">
        <v>74</v>
      </c>
      <c r="BI495">
        <v>8</v>
      </c>
      <c r="BJ495" t="s">
        <v>3802</v>
      </c>
      <c r="BK495" t="s">
        <v>101</v>
      </c>
      <c r="BL495" t="s">
        <v>1646</v>
      </c>
      <c r="BM495" t="s">
        <v>9837</v>
      </c>
      <c r="BN495" t="s">
        <v>74</v>
      </c>
      <c r="BO495" t="s">
        <v>537</v>
      </c>
      <c r="BP495" t="s">
        <v>74</v>
      </c>
      <c r="BQ495" t="s">
        <v>74</v>
      </c>
      <c r="BR495" t="s">
        <v>103</v>
      </c>
      <c r="BS495" t="s">
        <v>9872</v>
      </c>
      <c r="BT495" t="str">
        <f>HYPERLINK("https%3A%2F%2Fwww.webofscience.com%2Fwos%2Fwoscc%2Ffull-record%2FWOS:000475570000011","View Full Record in Web of Science")</f>
        <v>View Full Record in Web of Science</v>
      </c>
    </row>
    <row r="496" spans="1:72" x14ac:dyDescent="0.15">
      <c r="A496" t="s">
        <v>72</v>
      </c>
      <c r="B496" t="s">
        <v>9873</v>
      </c>
      <c r="C496" t="s">
        <v>74</v>
      </c>
      <c r="D496" t="s">
        <v>74</v>
      </c>
      <c r="E496" t="s">
        <v>74</v>
      </c>
      <c r="F496" t="s">
        <v>9874</v>
      </c>
      <c r="G496" t="s">
        <v>74</v>
      </c>
      <c r="H496" t="s">
        <v>74</v>
      </c>
      <c r="I496" t="s">
        <v>9875</v>
      </c>
      <c r="J496" t="s">
        <v>4003</v>
      </c>
      <c r="K496" t="s">
        <v>74</v>
      </c>
      <c r="L496" t="s">
        <v>74</v>
      </c>
      <c r="M496" t="s">
        <v>78</v>
      </c>
      <c r="N496" t="s">
        <v>108</v>
      </c>
      <c r="O496" t="s">
        <v>74</v>
      </c>
      <c r="P496" t="s">
        <v>74</v>
      </c>
      <c r="Q496" t="s">
        <v>74</v>
      </c>
      <c r="R496" t="s">
        <v>74</v>
      </c>
      <c r="S496" t="s">
        <v>74</v>
      </c>
      <c r="T496" t="s">
        <v>9876</v>
      </c>
      <c r="U496" t="s">
        <v>9877</v>
      </c>
      <c r="V496" t="s">
        <v>9878</v>
      </c>
      <c r="W496" t="s">
        <v>9879</v>
      </c>
      <c r="X496" t="s">
        <v>6091</v>
      </c>
      <c r="Y496" t="s">
        <v>9880</v>
      </c>
      <c r="Z496" t="s">
        <v>9881</v>
      </c>
      <c r="AA496" t="s">
        <v>74</v>
      </c>
      <c r="AB496" t="s">
        <v>74</v>
      </c>
      <c r="AC496" t="s">
        <v>74</v>
      </c>
      <c r="AD496" t="s">
        <v>74</v>
      </c>
      <c r="AE496" t="s">
        <v>74</v>
      </c>
      <c r="AF496" t="s">
        <v>74</v>
      </c>
      <c r="AG496">
        <v>29</v>
      </c>
      <c r="AH496">
        <v>1</v>
      </c>
      <c r="AI496">
        <v>1</v>
      </c>
      <c r="AJ496">
        <v>0</v>
      </c>
      <c r="AK496">
        <v>13</v>
      </c>
      <c r="AL496" t="s">
        <v>154</v>
      </c>
      <c r="AM496" t="s">
        <v>4016</v>
      </c>
      <c r="AN496" t="s">
        <v>4040</v>
      </c>
      <c r="AO496" t="s">
        <v>4018</v>
      </c>
      <c r="AP496" t="s">
        <v>4019</v>
      </c>
      <c r="AQ496" t="s">
        <v>74</v>
      </c>
      <c r="AR496" t="s">
        <v>4020</v>
      </c>
      <c r="AS496" t="s">
        <v>4021</v>
      </c>
      <c r="AT496" t="s">
        <v>7543</v>
      </c>
      <c r="AU496">
        <v>2019</v>
      </c>
      <c r="AV496">
        <v>42</v>
      </c>
      <c r="AW496">
        <v>7</v>
      </c>
      <c r="AX496" t="s">
        <v>74</v>
      </c>
      <c r="AY496" t="s">
        <v>74</v>
      </c>
      <c r="AZ496" t="s">
        <v>74</v>
      </c>
      <c r="BA496" t="s">
        <v>74</v>
      </c>
      <c r="BB496">
        <v>1397</v>
      </c>
      <c r="BC496">
        <v>1403</v>
      </c>
      <c r="BD496" t="s">
        <v>74</v>
      </c>
      <c r="BE496" t="s">
        <v>9882</v>
      </c>
      <c r="BF496" t="str">
        <f>HYPERLINK("http://dx.doi.org/10.1007/s00300-019-02527-y","http://dx.doi.org/10.1007/s00300-019-02527-y")</f>
        <v>http://dx.doi.org/10.1007/s00300-019-02527-y</v>
      </c>
      <c r="BG496" t="s">
        <v>74</v>
      </c>
      <c r="BH496" t="s">
        <v>74</v>
      </c>
      <c r="BI496">
        <v>7</v>
      </c>
      <c r="BJ496" t="s">
        <v>3802</v>
      </c>
      <c r="BK496" t="s">
        <v>101</v>
      </c>
      <c r="BL496" t="s">
        <v>1646</v>
      </c>
      <c r="BM496" t="s">
        <v>9837</v>
      </c>
      <c r="BN496" t="s">
        <v>74</v>
      </c>
      <c r="BO496" t="s">
        <v>74</v>
      </c>
      <c r="BP496" t="s">
        <v>74</v>
      </c>
      <c r="BQ496" t="s">
        <v>74</v>
      </c>
      <c r="BR496" t="s">
        <v>103</v>
      </c>
      <c r="BS496" t="s">
        <v>9883</v>
      </c>
      <c r="BT496" t="str">
        <f>HYPERLINK("https%3A%2F%2Fwww.webofscience.com%2Fwos%2Fwoscc%2Ffull-record%2FWOS:000475570000013","View Full Record in Web of Science")</f>
        <v>View Full Record in Web of Science</v>
      </c>
    </row>
    <row r="497" spans="1:72" x14ac:dyDescent="0.15">
      <c r="A497" t="s">
        <v>72</v>
      </c>
      <c r="B497" t="s">
        <v>9884</v>
      </c>
      <c r="C497" t="s">
        <v>74</v>
      </c>
      <c r="D497" t="s">
        <v>74</v>
      </c>
      <c r="E497" t="s">
        <v>74</v>
      </c>
      <c r="F497" t="s">
        <v>9885</v>
      </c>
      <c r="G497" t="s">
        <v>74</v>
      </c>
      <c r="H497" t="s">
        <v>74</v>
      </c>
      <c r="I497" t="s">
        <v>9886</v>
      </c>
      <c r="J497" t="s">
        <v>77</v>
      </c>
      <c r="K497" t="s">
        <v>74</v>
      </c>
      <c r="L497" t="s">
        <v>74</v>
      </c>
      <c r="M497" t="s">
        <v>78</v>
      </c>
      <c r="N497" t="s">
        <v>108</v>
      </c>
      <c r="O497" t="s">
        <v>74</v>
      </c>
      <c r="P497" t="s">
        <v>74</v>
      </c>
      <c r="Q497" t="s">
        <v>74</v>
      </c>
      <c r="R497" t="s">
        <v>74</v>
      </c>
      <c r="S497" t="s">
        <v>74</v>
      </c>
      <c r="T497" t="s">
        <v>9887</v>
      </c>
      <c r="U497" t="s">
        <v>9888</v>
      </c>
      <c r="V497" t="s">
        <v>9889</v>
      </c>
      <c r="W497" t="s">
        <v>9890</v>
      </c>
      <c r="X497" t="s">
        <v>7093</v>
      </c>
      <c r="Y497" t="s">
        <v>9891</v>
      </c>
      <c r="Z497" t="s">
        <v>9892</v>
      </c>
      <c r="AA497" t="s">
        <v>74</v>
      </c>
      <c r="AB497" t="s">
        <v>9893</v>
      </c>
      <c r="AC497" t="s">
        <v>74</v>
      </c>
      <c r="AD497" t="s">
        <v>74</v>
      </c>
      <c r="AE497" t="s">
        <v>74</v>
      </c>
      <c r="AF497" t="s">
        <v>74</v>
      </c>
      <c r="AG497">
        <v>56</v>
      </c>
      <c r="AH497">
        <v>24</v>
      </c>
      <c r="AI497">
        <v>26</v>
      </c>
      <c r="AJ497">
        <v>0</v>
      </c>
      <c r="AK497">
        <v>17</v>
      </c>
      <c r="AL497" t="s">
        <v>92</v>
      </c>
      <c r="AM497" t="s">
        <v>93</v>
      </c>
      <c r="AN497" t="s">
        <v>94</v>
      </c>
      <c r="AO497" t="s">
        <v>95</v>
      </c>
      <c r="AP497" t="s">
        <v>74</v>
      </c>
      <c r="AQ497" t="s">
        <v>74</v>
      </c>
      <c r="AR497" t="s">
        <v>96</v>
      </c>
      <c r="AS497" t="s">
        <v>97</v>
      </c>
      <c r="AT497" t="s">
        <v>8777</v>
      </c>
      <c r="AU497">
        <v>2019</v>
      </c>
      <c r="AV497">
        <v>175</v>
      </c>
      <c r="AW497" t="s">
        <v>74</v>
      </c>
      <c r="AX497" t="s">
        <v>74</v>
      </c>
      <c r="AY497" t="s">
        <v>74</v>
      </c>
      <c r="AZ497" t="s">
        <v>74</v>
      </c>
      <c r="BA497" t="s">
        <v>74</v>
      </c>
      <c r="BB497">
        <v>263</v>
      </c>
      <c r="BC497">
        <v>283</v>
      </c>
      <c r="BD497" t="s">
        <v>74</v>
      </c>
      <c r="BE497" t="s">
        <v>9894</v>
      </c>
      <c r="BF497" t="str">
        <f>HYPERLINK("http://dx.doi.org/10.1016/j.pocean.2019.04.006","http://dx.doi.org/10.1016/j.pocean.2019.04.006")</f>
        <v>http://dx.doi.org/10.1016/j.pocean.2019.04.006</v>
      </c>
      <c r="BG497" t="s">
        <v>74</v>
      </c>
      <c r="BH497" t="s">
        <v>74</v>
      </c>
      <c r="BI497">
        <v>21</v>
      </c>
      <c r="BJ497" t="s">
        <v>100</v>
      </c>
      <c r="BK497" t="s">
        <v>101</v>
      </c>
      <c r="BL497" t="s">
        <v>100</v>
      </c>
      <c r="BM497" t="s">
        <v>9895</v>
      </c>
      <c r="BN497" t="s">
        <v>74</v>
      </c>
      <c r="BO497" t="s">
        <v>537</v>
      </c>
      <c r="BP497" t="s">
        <v>74</v>
      </c>
      <c r="BQ497" t="s">
        <v>74</v>
      </c>
      <c r="BR497" t="s">
        <v>103</v>
      </c>
      <c r="BS497" t="s">
        <v>9896</v>
      </c>
      <c r="BT497" t="str">
        <f>HYPERLINK("https%3A%2F%2Fwww.webofscience.com%2Fwos%2Fwoscc%2Ffull-record%2FWOS:000472990800020","View Full Record in Web of Science")</f>
        <v>View Full Record in Web of Science</v>
      </c>
    </row>
    <row r="498" spans="1:72" x14ac:dyDescent="0.15">
      <c r="A498" t="s">
        <v>72</v>
      </c>
      <c r="B498" t="s">
        <v>9897</v>
      </c>
      <c r="C498" t="s">
        <v>74</v>
      </c>
      <c r="D498" t="s">
        <v>74</v>
      </c>
      <c r="E498" t="s">
        <v>74</v>
      </c>
      <c r="F498" t="s">
        <v>9898</v>
      </c>
      <c r="G498" t="s">
        <v>74</v>
      </c>
      <c r="H498" t="s">
        <v>74</v>
      </c>
      <c r="I498" t="s">
        <v>9899</v>
      </c>
      <c r="J498" t="s">
        <v>9900</v>
      </c>
      <c r="K498" t="s">
        <v>74</v>
      </c>
      <c r="L498" t="s">
        <v>74</v>
      </c>
      <c r="M498" t="s">
        <v>9901</v>
      </c>
      <c r="N498" t="s">
        <v>108</v>
      </c>
      <c r="O498" t="s">
        <v>74</v>
      </c>
      <c r="P498" t="s">
        <v>74</v>
      </c>
      <c r="Q498" t="s">
        <v>74</v>
      </c>
      <c r="R498" t="s">
        <v>74</v>
      </c>
      <c r="S498" t="s">
        <v>74</v>
      </c>
      <c r="T498" t="s">
        <v>9902</v>
      </c>
      <c r="U498" t="s">
        <v>9903</v>
      </c>
      <c r="V498" t="s">
        <v>9904</v>
      </c>
      <c r="W498" t="s">
        <v>9905</v>
      </c>
      <c r="X498" t="s">
        <v>9906</v>
      </c>
      <c r="Y498" t="s">
        <v>9907</v>
      </c>
      <c r="Z498" t="s">
        <v>9908</v>
      </c>
      <c r="AA498" t="s">
        <v>74</v>
      </c>
      <c r="AB498" t="s">
        <v>9909</v>
      </c>
      <c r="AC498" t="s">
        <v>74</v>
      </c>
      <c r="AD498" t="s">
        <v>74</v>
      </c>
      <c r="AE498" t="s">
        <v>74</v>
      </c>
      <c r="AF498" t="s">
        <v>74</v>
      </c>
      <c r="AG498">
        <v>37</v>
      </c>
      <c r="AH498">
        <v>1</v>
      </c>
      <c r="AI498">
        <v>1</v>
      </c>
      <c r="AJ498">
        <v>1</v>
      </c>
      <c r="AK498">
        <v>10</v>
      </c>
      <c r="AL498" t="s">
        <v>9910</v>
      </c>
      <c r="AM498" t="s">
        <v>9911</v>
      </c>
      <c r="AN498" t="s">
        <v>9912</v>
      </c>
      <c r="AO498" t="s">
        <v>9913</v>
      </c>
      <c r="AP498" t="s">
        <v>9914</v>
      </c>
      <c r="AQ498" t="s">
        <v>74</v>
      </c>
      <c r="AR498" t="s">
        <v>9915</v>
      </c>
      <c r="AS498" t="s">
        <v>9916</v>
      </c>
      <c r="AT498" t="s">
        <v>9917</v>
      </c>
      <c r="AU498">
        <v>2019</v>
      </c>
      <c r="AV498">
        <v>20</v>
      </c>
      <c r="AW498">
        <v>3</v>
      </c>
      <c r="AX498" t="s">
        <v>74</v>
      </c>
      <c r="AY498" t="s">
        <v>74</v>
      </c>
      <c r="AZ498" t="s">
        <v>74</v>
      </c>
      <c r="BA498" t="s">
        <v>74</v>
      </c>
      <c r="BB498">
        <v>509</v>
      </c>
      <c r="BC498">
        <v>523</v>
      </c>
      <c r="BD498" t="s">
        <v>74</v>
      </c>
      <c r="BE498" t="s">
        <v>9918</v>
      </c>
      <c r="BF498" t="str">
        <f>HYPERLINK("http://dx.doi.org/10.20502/rbg.v20i3.1547","http://dx.doi.org/10.20502/rbg.v20i3.1547")</f>
        <v>http://dx.doi.org/10.20502/rbg.v20i3.1547</v>
      </c>
      <c r="BG498" t="s">
        <v>74</v>
      </c>
      <c r="BH498" t="s">
        <v>74</v>
      </c>
      <c r="BI498">
        <v>15</v>
      </c>
      <c r="BJ498" t="s">
        <v>9919</v>
      </c>
      <c r="BK498" t="s">
        <v>2978</v>
      </c>
      <c r="BL498" t="s">
        <v>9920</v>
      </c>
      <c r="BM498" t="s">
        <v>9921</v>
      </c>
      <c r="BN498" t="s">
        <v>74</v>
      </c>
      <c r="BO498" t="s">
        <v>366</v>
      </c>
      <c r="BP498" t="s">
        <v>74</v>
      </c>
      <c r="BQ498" t="s">
        <v>74</v>
      </c>
      <c r="BR498" t="s">
        <v>103</v>
      </c>
      <c r="BS498" t="s">
        <v>9922</v>
      </c>
      <c r="BT498" t="str">
        <f>HYPERLINK("https%3A%2F%2Fwww.webofscience.com%2Fwos%2Fwoscc%2Ffull-record%2FWOS:000475432400005","View Full Record in Web of Science")</f>
        <v>View Full Record in Web of Science</v>
      </c>
    </row>
    <row r="499" spans="1:72" x14ac:dyDescent="0.15">
      <c r="A499" t="s">
        <v>72</v>
      </c>
      <c r="B499" t="s">
        <v>9923</v>
      </c>
      <c r="C499" t="s">
        <v>74</v>
      </c>
      <c r="D499" t="s">
        <v>74</v>
      </c>
      <c r="E499" t="s">
        <v>74</v>
      </c>
      <c r="F499" t="s">
        <v>9924</v>
      </c>
      <c r="G499" t="s">
        <v>74</v>
      </c>
      <c r="H499" t="s">
        <v>74</v>
      </c>
      <c r="I499" t="s">
        <v>9925</v>
      </c>
      <c r="J499" t="s">
        <v>9926</v>
      </c>
      <c r="K499" t="s">
        <v>74</v>
      </c>
      <c r="L499" t="s">
        <v>74</v>
      </c>
      <c r="M499" t="s">
        <v>78</v>
      </c>
      <c r="N499" t="s">
        <v>108</v>
      </c>
      <c r="O499" t="s">
        <v>74</v>
      </c>
      <c r="P499" t="s">
        <v>74</v>
      </c>
      <c r="Q499" t="s">
        <v>74</v>
      </c>
      <c r="R499" t="s">
        <v>74</v>
      </c>
      <c r="S499" t="s">
        <v>74</v>
      </c>
      <c r="T499" t="s">
        <v>9927</v>
      </c>
      <c r="U499" t="s">
        <v>9928</v>
      </c>
      <c r="V499" t="s">
        <v>9929</v>
      </c>
      <c r="W499" t="s">
        <v>9930</v>
      </c>
      <c r="X499" t="s">
        <v>9931</v>
      </c>
      <c r="Y499" t="s">
        <v>9932</v>
      </c>
      <c r="Z499" t="s">
        <v>9933</v>
      </c>
      <c r="AA499" t="s">
        <v>9934</v>
      </c>
      <c r="AB499" t="s">
        <v>9935</v>
      </c>
      <c r="AC499" t="s">
        <v>9936</v>
      </c>
      <c r="AD499" t="s">
        <v>9937</v>
      </c>
      <c r="AE499" t="s">
        <v>9938</v>
      </c>
      <c r="AF499" t="s">
        <v>74</v>
      </c>
      <c r="AG499">
        <v>93</v>
      </c>
      <c r="AH499">
        <v>9</v>
      </c>
      <c r="AI499">
        <v>10</v>
      </c>
      <c r="AJ499">
        <v>2</v>
      </c>
      <c r="AK499">
        <v>15</v>
      </c>
      <c r="AL499" t="s">
        <v>438</v>
      </c>
      <c r="AM499" t="s">
        <v>439</v>
      </c>
      <c r="AN499" t="s">
        <v>440</v>
      </c>
      <c r="AO499" t="s">
        <v>9939</v>
      </c>
      <c r="AP499" t="s">
        <v>9940</v>
      </c>
      <c r="AQ499" t="s">
        <v>74</v>
      </c>
      <c r="AR499" t="s">
        <v>9941</v>
      </c>
      <c r="AS499" t="s">
        <v>9942</v>
      </c>
      <c r="AT499" t="s">
        <v>7543</v>
      </c>
      <c r="AU499">
        <v>2019</v>
      </c>
      <c r="AV499">
        <v>98</v>
      </c>
      <c r="AW499" t="s">
        <v>74</v>
      </c>
      <c r="AX499" t="s">
        <v>74</v>
      </c>
      <c r="AY499" t="s">
        <v>74</v>
      </c>
      <c r="AZ499" t="s">
        <v>74</v>
      </c>
      <c r="BA499" t="s">
        <v>74</v>
      </c>
      <c r="BB499">
        <v>50</v>
      </c>
      <c r="BC499">
        <v>58</v>
      </c>
      <c r="BD499" t="s">
        <v>74</v>
      </c>
      <c r="BE499" t="s">
        <v>9943</v>
      </c>
      <c r="BF499" t="str">
        <f>HYPERLINK("http://dx.doi.org/10.1016/j.actao.2019.05.007","http://dx.doi.org/10.1016/j.actao.2019.05.007")</f>
        <v>http://dx.doi.org/10.1016/j.actao.2019.05.007</v>
      </c>
      <c r="BG499" t="s">
        <v>74</v>
      </c>
      <c r="BH499" t="s">
        <v>74</v>
      </c>
      <c r="BI499">
        <v>9</v>
      </c>
      <c r="BJ499" t="s">
        <v>1150</v>
      </c>
      <c r="BK499" t="s">
        <v>101</v>
      </c>
      <c r="BL499" t="s">
        <v>799</v>
      </c>
      <c r="BM499" t="s">
        <v>9944</v>
      </c>
      <c r="BN499" t="s">
        <v>74</v>
      </c>
      <c r="BO499" t="s">
        <v>74</v>
      </c>
      <c r="BP499" t="s">
        <v>74</v>
      </c>
      <c r="BQ499" t="s">
        <v>74</v>
      </c>
      <c r="BR499" t="s">
        <v>103</v>
      </c>
      <c r="BS499" t="s">
        <v>9945</v>
      </c>
      <c r="BT499" t="str">
        <f>HYPERLINK("https%3A%2F%2Fwww.webofscience.com%2Fwos%2Fwoscc%2Ffull-record%2FWOS:000474318800008","View Full Record in Web of Science")</f>
        <v>View Full Record in Web of Science</v>
      </c>
    </row>
    <row r="500" spans="1:72" x14ac:dyDescent="0.15">
      <c r="A500" t="s">
        <v>72</v>
      </c>
      <c r="B500" t="s">
        <v>9946</v>
      </c>
      <c r="C500" t="s">
        <v>74</v>
      </c>
      <c r="D500" t="s">
        <v>74</v>
      </c>
      <c r="E500" t="s">
        <v>74</v>
      </c>
      <c r="F500" t="s">
        <v>9947</v>
      </c>
      <c r="G500" t="s">
        <v>74</v>
      </c>
      <c r="H500" t="s">
        <v>74</v>
      </c>
      <c r="I500" t="s">
        <v>9948</v>
      </c>
      <c r="J500" t="s">
        <v>9949</v>
      </c>
      <c r="K500" t="s">
        <v>74</v>
      </c>
      <c r="L500" t="s">
        <v>74</v>
      </c>
      <c r="M500" t="s">
        <v>78</v>
      </c>
      <c r="N500" t="s">
        <v>108</v>
      </c>
      <c r="O500" t="s">
        <v>74</v>
      </c>
      <c r="P500" t="s">
        <v>74</v>
      </c>
      <c r="Q500" t="s">
        <v>74</v>
      </c>
      <c r="R500" t="s">
        <v>74</v>
      </c>
      <c r="S500" t="s">
        <v>74</v>
      </c>
      <c r="T500" t="s">
        <v>9950</v>
      </c>
      <c r="U500" t="s">
        <v>9951</v>
      </c>
      <c r="V500" t="s">
        <v>9952</v>
      </c>
      <c r="W500" t="s">
        <v>9953</v>
      </c>
      <c r="X500" t="s">
        <v>9954</v>
      </c>
      <c r="Y500" t="s">
        <v>9955</v>
      </c>
      <c r="Z500" t="s">
        <v>9956</v>
      </c>
      <c r="AA500" t="s">
        <v>74</v>
      </c>
      <c r="AB500" t="s">
        <v>9957</v>
      </c>
      <c r="AC500" t="s">
        <v>9958</v>
      </c>
      <c r="AD500" t="s">
        <v>9958</v>
      </c>
      <c r="AE500" t="s">
        <v>9959</v>
      </c>
      <c r="AF500" t="s">
        <v>74</v>
      </c>
      <c r="AG500">
        <v>162</v>
      </c>
      <c r="AH500">
        <v>6</v>
      </c>
      <c r="AI500">
        <v>6</v>
      </c>
      <c r="AJ500">
        <v>0</v>
      </c>
      <c r="AK500">
        <v>5</v>
      </c>
      <c r="AL500" t="s">
        <v>1274</v>
      </c>
      <c r="AM500" t="s">
        <v>1275</v>
      </c>
      <c r="AN500" t="s">
        <v>1276</v>
      </c>
      <c r="AO500" t="s">
        <v>9960</v>
      </c>
      <c r="AP500" t="s">
        <v>9961</v>
      </c>
      <c r="AQ500" t="s">
        <v>74</v>
      </c>
      <c r="AR500" t="s">
        <v>9949</v>
      </c>
      <c r="AS500" t="s">
        <v>9962</v>
      </c>
      <c r="AT500" t="s">
        <v>1281</v>
      </c>
      <c r="AU500">
        <v>2020</v>
      </c>
      <c r="AV500">
        <v>44</v>
      </c>
      <c r="AW500">
        <v>1</v>
      </c>
      <c r="AX500" t="s">
        <v>74</v>
      </c>
      <c r="AY500" t="s">
        <v>74</v>
      </c>
      <c r="AZ500" t="s">
        <v>74</v>
      </c>
      <c r="BA500" t="s">
        <v>74</v>
      </c>
      <c r="BB500">
        <v>64</v>
      </c>
      <c r="BC500">
        <v>92</v>
      </c>
      <c r="BD500" t="s">
        <v>74</v>
      </c>
      <c r="BE500" t="s">
        <v>9963</v>
      </c>
      <c r="BF500" t="str">
        <f>HYPERLINK("http://dx.doi.org/10.1080/03115518.2019.1622779","http://dx.doi.org/10.1080/03115518.2019.1622779")</f>
        <v>http://dx.doi.org/10.1080/03115518.2019.1622779</v>
      </c>
      <c r="BG500" t="s">
        <v>74</v>
      </c>
      <c r="BH500" t="s">
        <v>6119</v>
      </c>
      <c r="BI500">
        <v>29</v>
      </c>
      <c r="BJ500" t="s">
        <v>9964</v>
      </c>
      <c r="BK500" t="s">
        <v>101</v>
      </c>
      <c r="BL500" t="s">
        <v>9964</v>
      </c>
      <c r="BM500" t="s">
        <v>9965</v>
      </c>
      <c r="BN500" t="s">
        <v>74</v>
      </c>
      <c r="BO500" t="s">
        <v>74</v>
      </c>
      <c r="BP500" t="s">
        <v>74</v>
      </c>
      <c r="BQ500" t="s">
        <v>74</v>
      </c>
      <c r="BR500" t="s">
        <v>103</v>
      </c>
      <c r="BS500" t="s">
        <v>9966</v>
      </c>
      <c r="BT500" t="str">
        <f>HYPERLINK("https%3A%2F%2Fwww.webofscience.com%2Fwos%2Fwoscc%2Ffull-record%2FWOS:000474750400001","View Full Record in Web of Science")</f>
        <v>View Full Record in Web of Science</v>
      </c>
    </row>
    <row r="501" spans="1:72" x14ac:dyDescent="0.15">
      <c r="A501" t="s">
        <v>72</v>
      </c>
      <c r="B501" t="s">
        <v>9967</v>
      </c>
      <c r="C501" t="s">
        <v>74</v>
      </c>
      <c r="D501" t="s">
        <v>74</v>
      </c>
      <c r="E501" t="s">
        <v>74</v>
      </c>
      <c r="F501" t="s">
        <v>9968</v>
      </c>
      <c r="G501" t="s">
        <v>74</v>
      </c>
      <c r="H501" t="s">
        <v>74</v>
      </c>
      <c r="I501" t="s">
        <v>9969</v>
      </c>
      <c r="J501" t="s">
        <v>9970</v>
      </c>
      <c r="K501" t="s">
        <v>74</v>
      </c>
      <c r="L501" t="s">
        <v>74</v>
      </c>
      <c r="M501" t="s">
        <v>78</v>
      </c>
      <c r="N501" t="s">
        <v>108</v>
      </c>
      <c r="O501" t="s">
        <v>74</v>
      </c>
      <c r="P501" t="s">
        <v>74</v>
      </c>
      <c r="Q501" t="s">
        <v>74</v>
      </c>
      <c r="R501" t="s">
        <v>74</v>
      </c>
      <c r="S501" t="s">
        <v>74</v>
      </c>
      <c r="T501" t="s">
        <v>9971</v>
      </c>
      <c r="U501" t="s">
        <v>9972</v>
      </c>
      <c r="V501" t="s">
        <v>9973</v>
      </c>
      <c r="W501" t="s">
        <v>9974</v>
      </c>
      <c r="X501" t="s">
        <v>9975</v>
      </c>
      <c r="Y501" t="s">
        <v>9976</v>
      </c>
      <c r="Z501" t="s">
        <v>9977</v>
      </c>
      <c r="AA501" t="s">
        <v>9978</v>
      </c>
      <c r="AB501" t="s">
        <v>9979</v>
      </c>
      <c r="AC501" t="s">
        <v>9980</v>
      </c>
      <c r="AD501" t="s">
        <v>74</v>
      </c>
      <c r="AE501" t="s">
        <v>9981</v>
      </c>
      <c r="AF501" t="s">
        <v>74</v>
      </c>
      <c r="AG501">
        <v>56</v>
      </c>
      <c r="AH501">
        <v>7</v>
      </c>
      <c r="AI501">
        <v>7</v>
      </c>
      <c r="AJ501">
        <v>0</v>
      </c>
      <c r="AK501">
        <v>14</v>
      </c>
      <c r="AL501" t="s">
        <v>9982</v>
      </c>
      <c r="AM501" t="s">
        <v>9983</v>
      </c>
      <c r="AN501" t="s">
        <v>9984</v>
      </c>
      <c r="AO501" t="s">
        <v>9985</v>
      </c>
      <c r="AP501" t="s">
        <v>9986</v>
      </c>
      <c r="AQ501" t="s">
        <v>74</v>
      </c>
      <c r="AR501" t="s">
        <v>9987</v>
      </c>
      <c r="AS501" t="s">
        <v>9988</v>
      </c>
      <c r="AT501" t="s">
        <v>7543</v>
      </c>
      <c r="AU501">
        <v>2019</v>
      </c>
      <c r="AV501">
        <v>97</v>
      </c>
      <c r="AW501">
        <v>7</v>
      </c>
      <c r="AX501" t="s">
        <v>74</v>
      </c>
      <c r="AY501" t="s">
        <v>74</v>
      </c>
      <c r="AZ501" t="s">
        <v>74</v>
      </c>
      <c r="BA501" t="s">
        <v>74</v>
      </c>
      <c r="BB501">
        <v>619</v>
      </c>
      <c r="BC501">
        <v>630</v>
      </c>
      <c r="BD501" t="s">
        <v>74</v>
      </c>
      <c r="BE501" t="s">
        <v>9989</v>
      </c>
      <c r="BF501" t="str">
        <f>HYPERLINK("http://dx.doi.org/10.1139/cjz-2018-0119","http://dx.doi.org/10.1139/cjz-2018-0119")</f>
        <v>http://dx.doi.org/10.1139/cjz-2018-0119</v>
      </c>
      <c r="BG501" t="s">
        <v>74</v>
      </c>
      <c r="BH501" t="s">
        <v>74</v>
      </c>
      <c r="BI501">
        <v>12</v>
      </c>
      <c r="BJ501" t="s">
        <v>1348</v>
      </c>
      <c r="BK501" t="s">
        <v>101</v>
      </c>
      <c r="BL501" t="s">
        <v>1348</v>
      </c>
      <c r="BM501" t="s">
        <v>9990</v>
      </c>
      <c r="BN501" t="s">
        <v>74</v>
      </c>
      <c r="BO501" t="s">
        <v>2003</v>
      </c>
      <c r="BP501" t="s">
        <v>74</v>
      </c>
      <c r="BQ501" t="s">
        <v>74</v>
      </c>
      <c r="BR501" t="s">
        <v>103</v>
      </c>
      <c r="BS501" t="s">
        <v>9991</v>
      </c>
      <c r="BT501" t="str">
        <f>HYPERLINK("https%3A%2F%2Fwww.webofscience.com%2Fwos%2Fwoscc%2Ffull-record%2FWOS:000474247000006","View Full Record in Web of Science")</f>
        <v>View Full Record in Web of Science</v>
      </c>
    </row>
    <row r="502" spans="1:72" x14ac:dyDescent="0.15">
      <c r="A502" t="s">
        <v>72</v>
      </c>
      <c r="B502" t="s">
        <v>9992</v>
      </c>
      <c r="C502" t="s">
        <v>74</v>
      </c>
      <c r="D502" t="s">
        <v>74</v>
      </c>
      <c r="E502" t="s">
        <v>74</v>
      </c>
      <c r="F502" t="s">
        <v>9993</v>
      </c>
      <c r="G502" t="s">
        <v>74</v>
      </c>
      <c r="H502" t="s">
        <v>74</v>
      </c>
      <c r="I502" t="s">
        <v>9994</v>
      </c>
      <c r="J502" t="s">
        <v>9995</v>
      </c>
      <c r="K502" t="s">
        <v>74</v>
      </c>
      <c r="L502" t="s">
        <v>74</v>
      </c>
      <c r="M502" t="s">
        <v>78</v>
      </c>
      <c r="N502" t="s">
        <v>108</v>
      </c>
      <c r="O502" t="s">
        <v>74</v>
      </c>
      <c r="P502" t="s">
        <v>74</v>
      </c>
      <c r="Q502" t="s">
        <v>74</v>
      </c>
      <c r="R502" t="s">
        <v>74</v>
      </c>
      <c r="S502" t="s">
        <v>74</v>
      </c>
      <c r="T502" t="s">
        <v>74</v>
      </c>
      <c r="U502" t="s">
        <v>9996</v>
      </c>
      <c r="V502" t="s">
        <v>9997</v>
      </c>
      <c r="W502" t="s">
        <v>9998</v>
      </c>
      <c r="X502" t="s">
        <v>9999</v>
      </c>
      <c r="Y502" t="s">
        <v>10000</v>
      </c>
      <c r="Z502" t="s">
        <v>10001</v>
      </c>
      <c r="AA502" t="s">
        <v>10002</v>
      </c>
      <c r="AB502" t="s">
        <v>10003</v>
      </c>
      <c r="AC502" t="s">
        <v>10004</v>
      </c>
      <c r="AD502" t="s">
        <v>10005</v>
      </c>
      <c r="AE502" t="s">
        <v>10006</v>
      </c>
      <c r="AF502" t="s">
        <v>74</v>
      </c>
      <c r="AG502">
        <v>84</v>
      </c>
      <c r="AH502">
        <v>16</v>
      </c>
      <c r="AI502">
        <v>20</v>
      </c>
      <c r="AJ502">
        <v>3</v>
      </c>
      <c r="AK502">
        <v>43</v>
      </c>
      <c r="AL502" t="s">
        <v>1140</v>
      </c>
      <c r="AM502" t="s">
        <v>1141</v>
      </c>
      <c r="AN502" t="s">
        <v>1142</v>
      </c>
      <c r="AO502" t="s">
        <v>10007</v>
      </c>
      <c r="AP502" t="s">
        <v>10008</v>
      </c>
      <c r="AQ502" t="s">
        <v>74</v>
      </c>
      <c r="AR502" t="s">
        <v>10009</v>
      </c>
      <c r="AS502" t="s">
        <v>10010</v>
      </c>
      <c r="AT502" t="s">
        <v>7543</v>
      </c>
      <c r="AU502">
        <v>2019</v>
      </c>
      <c r="AV502">
        <v>21</v>
      </c>
      <c r="AW502">
        <v>7</v>
      </c>
      <c r="AX502" t="s">
        <v>74</v>
      </c>
      <c r="AY502" t="s">
        <v>74</v>
      </c>
      <c r="AZ502" t="s">
        <v>74</v>
      </c>
      <c r="BA502" t="s">
        <v>74</v>
      </c>
      <c r="BB502">
        <v>2290</v>
      </c>
      <c r="BC502">
        <v>2306</v>
      </c>
      <c r="BD502" t="s">
        <v>74</v>
      </c>
      <c r="BE502" t="s">
        <v>10011</v>
      </c>
      <c r="BF502" t="str">
        <f>HYPERLINK("http://dx.doi.org/10.1111/1462-2920.14607","http://dx.doi.org/10.1111/1462-2920.14607")</f>
        <v>http://dx.doi.org/10.1111/1462-2920.14607</v>
      </c>
      <c r="BG502" t="s">
        <v>74</v>
      </c>
      <c r="BH502" t="s">
        <v>74</v>
      </c>
      <c r="BI502">
        <v>17</v>
      </c>
      <c r="BJ502" t="s">
        <v>1514</v>
      </c>
      <c r="BK502" t="s">
        <v>101</v>
      </c>
      <c r="BL502" t="s">
        <v>1514</v>
      </c>
      <c r="BM502" t="s">
        <v>10012</v>
      </c>
      <c r="BN502">
        <v>30927377</v>
      </c>
      <c r="BO502" t="s">
        <v>74</v>
      </c>
      <c r="BP502" t="s">
        <v>74</v>
      </c>
      <c r="BQ502" t="s">
        <v>74</v>
      </c>
      <c r="BR502" t="s">
        <v>103</v>
      </c>
      <c r="BS502" t="s">
        <v>10013</v>
      </c>
      <c r="BT502" t="str">
        <f>HYPERLINK("https%3A%2F%2Fwww.webofscience.com%2Fwos%2Fwoscc%2Ffull-record%2FWOS:000474294900007","View Full Record in Web of Science")</f>
        <v>View Full Record in Web of Science</v>
      </c>
    </row>
    <row r="503" spans="1:72" x14ac:dyDescent="0.15">
      <c r="A503" t="s">
        <v>72</v>
      </c>
      <c r="B503" t="s">
        <v>10014</v>
      </c>
      <c r="C503" t="s">
        <v>74</v>
      </c>
      <c r="D503" t="s">
        <v>74</v>
      </c>
      <c r="E503" t="s">
        <v>74</v>
      </c>
      <c r="F503" t="s">
        <v>10015</v>
      </c>
      <c r="G503" t="s">
        <v>74</v>
      </c>
      <c r="H503" t="s">
        <v>74</v>
      </c>
      <c r="I503" t="s">
        <v>10016</v>
      </c>
      <c r="J503" t="s">
        <v>10017</v>
      </c>
      <c r="K503" t="s">
        <v>74</v>
      </c>
      <c r="L503" t="s">
        <v>74</v>
      </c>
      <c r="M503" t="s">
        <v>78</v>
      </c>
      <c r="N503" t="s">
        <v>108</v>
      </c>
      <c r="O503" t="s">
        <v>74</v>
      </c>
      <c r="P503" t="s">
        <v>74</v>
      </c>
      <c r="Q503" t="s">
        <v>74</v>
      </c>
      <c r="R503" t="s">
        <v>74</v>
      </c>
      <c r="S503" t="s">
        <v>74</v>
      </c>
      <c r="T503" t="s">
        <v>10018</v>
      </c>
      <c r="U503" t="s">
        <v>10019</v>
      </c>
      <c r="V503" t="s">
        <v>10020</v>
      </c>
      <c r="W503" t="s">
        <v>10021</v>
      </c>
      <c r="X503" t="s">
        <v>10022</v>
      </c>
      <c r="Y503" t="s">
        <v>10023</v>
      </c>
      <c r="Z503" t="s">
        <v>10024</v>
      </c>
      <c r="AA503" t="s">
        <v>74</v>
      </c>
      <c r="AB503" t="s">
        <v>10025</v>
      </c>
      <c r="AC503" t="s">
        <v>10026</v>
      </c>
      <c r="AD503" t="s">
        <v>10027</v>
      </c>
      <c r="AE503" t="s">
        <v>10028</v>
      </c>
      <c r="AF503" t="s">
        <v>74</v>
      </c>
      <c r="AG503">
        <v>44</v>
      </c>
      <c r="AH503">
        <v>0</v>
      </c>
      <c r="AI503">
        <v>1</v>
      </c>
      <c r="AJ503">
        <v>1</v>
      </c>
      <c r="AK503">
        <v>3</v>
      </c>
      <c r="AL503" t="s">
        <v>10029</v>
      </c>
      <c r="AM503" t="s">
        <v>10030</v>
      </c>
      <c r="AN503" t="s">
        <v>10031</v>
      </c>
      <c r="AO503" t="s">
        <v>10032</v>
      </c>
      <c r="AP503" t="s">
        <v>10033</v>
      </c>
      <c r="AQ503" t="s">
        <v>74</v>
      </c>
      <c r="AR503" t="s">
        <v>10034</v>
      </c>
      <c r="AS503" t="s">
        <v>10035</v>
      </c>
      <c r="AT503" t="s">
        <v>7543</v>
      </c>
      <c r="AU503">
        <v>2019</v>
      </c>
      <c r="AV503">
        <v>40</v>
      </c>
      <c r="AW503">
        <v>7</v>
      </c>
      <c r="AX503" t="s">
        <v>74</v>
      </c>
      <c r="AY503" t="s">
        <v>74</v>
      </c>
      <c r="AZ503" t="s">
        <v>74</v>
      </c>
      <c r="BA503" t="s">
        <v>74</v>
      </c>
      <c r="BB503">
        <v>440</v>
      </c>
      <c r="BC503">
        <v>446</v>
      </c>
      <c r="BD503" t="s">
        <v>74</v>
      </c>
      <c r="BE503" t="s">
        <v>10036</v>
      </c>
      <c r="BF503" t="str">
        <f>HYPERLINK("http://dx.doi.org/10.1055/a-0884-3014","http://dx.doi.org/10.1055/a-0884-3014")</f>
        <v>http://dx.doi.org/10.1055/a-0884-3014</v>
      </c>
      <c r="BG503" t="s">
        <v>74</v>
      </c>
      <c r="BH503" t="s">
        <v>74</v>
      </c>
      <c r="BI503">
        <v>7</v>
      </c>
      <c r="BJ503" t="s">
        <v>10037</v>
      </c>
      <c r="BK503" t="s">
        <v>101</v>
      </c>
      <c r="BL503" t="s">
        <v>10037</v>
      </c>
      <c r="BM503" t="s">
        <v>10038</v>
      </c>
      <c r="BN503">
        <v>31189189</v>
      </c>
      <c r="BO503" t="s">
        <v>74</v>
      </c>
      <c r="BP503" t="s">
        <v>74</v>
      </c>
      <c r="BQ503" t="s">
        <v>74</v>
      </c>
      <c r="BR503" t="s">
        <v>103</v>
      </c>
      <c r="BS503" t="s">
        <v>10039</v>
      </c>
      <c r="BT503" t="str">
        <f>HYPERLINK("https%3A%2F%2Fwww.webofscience.com%2Fwos%2Fwoscc%2Ffull-record%2FWOS:000474756300003","View Full Record in Web of Science")</f>
        <v>View Full Record in Web of Science</v>
      </c>
    </row>
    <row r="504" spans="1:72" x14ac:dyDescent="0.15">
      <c r="A504" t="s">
        <v>72</v>
      </c>
      <c r="B504" t="s">
        <v>10040</v>
      </c>
      <c r="C504" t="s">
        <v>74</v>
      </c>
      <c r="D504" t="s">
        <v>74</v>
      </c>
      <c r="E504" t="s">
        <v>74</v>
      </c>
      <c r="F504" t="s">
        <v>10041</v>
      </c>
      <c r="G504" t="s">
        <v>74</v>
      </c>
      <c r="H504" t="s">
        <v>74</v>
      </c>
      <c r="I504" t="s">
        <v>10042</v>
      </c>
      <c r="J504" t="s">
        <v>2664</v>
      </c>
      <c r="K504" t="s">
        <v>74</v>
      </c>
      <c r="L504" t="s">
        <v>74</v>
      </c>
      <c r="M504" t="s">
        <v>78</v>
      </c>
      <c r="N504" t="s">
        <v>108</v>
      </c>
      <c r="O504" t="s">
        <v>74</v>
      </c>
      <c r="P504" t="s">
        <v>74</v>
      </c>
      <c r="Q504" t="s">
        <v>74</v>
      </c>
      <c r="R504" t="s">
        <v>74</v>
      </c>
      <c r="S504" t="s">
        <v>74</v>
      </c>
      <c r="T504" t="s">
        <v>10043</v>
      </c>
      <c r="U504" t="s">
        <v>10044</v>
      </c>
      <c r="V504" t="s">
        <v>10045</v>
      </c>
      <c r="W504" t="s">
        <v>10046</v>
      </c>
      <c r="X504" t="s">
        <v>10047</v>
      </c>
      <c r="Y504" t="s">
        <v>10048</v>
      </c>
      <c r="Z504" t="s">
        <v>10049</v>
      </c>
      <c r="AA504" t="s">
        <v>74</v>
      </c>
      <c r="AB504" t="s">
        <v>74</v>
      </c>
      <c r="AC504" t="s">
        <v>10050</v>
      </c>
      <c r="AD504" t="s">
        <v>10051</v>
      </c>
      <c r="AE504" t="s">
        <v>10052</v>
      </c>
      <c r="AF504" t="s">
        <v>74</v>
      </c>
      <c r="AG504">
        <v>65</v>
      </c>
      <c r="AH504">
        <v>8</v>
      </c>
      <c r="AI504">
        <v>8</v>
      </c>
      <c r="AJ504">
        <v>4</v>
      </c>
      <c r="AK504">
        <v>27</v>
      </c>
      <c r="AL504" t="s">
        <v>1140</v>
      </c>
      <c r="AM504" t="s">
        <v>1141</v>
      </c>
      <c r="AN504" t="s">
        <v>1142</v>
      </c>
      <c r="AO504" t="s">
        <v>2675</v>
      </c>
      <c r="AP504" t="s">
        <v>2676</v>
      </c>
      <c r="AQ504" t="s">
        <v>74</v>
      </c>
      <c r="AR504" t="s">
        <v>2677</v>
      </c>
      <c r="AS504" t="s">
        <v>2678</v>
      </c>
      <c r="AT504" t="s">
        <v>7543</v>
      </c>
      <c r="AU504">
        <v>2019</v>
      </c>
      <c r="AV504">
        <v>50</v>
      </c>
      <c r="AW504">
        <v>7</v>
      </c>
      <c r="AX504" t="s">
        <v>74</v>
      </c>
      <c r="AY504" t="s">
        <v>74</v>
      </c>
      <c r="AZ504" t="s">
        <v>74</v>
      </c>
      <c r="BA504" t="s">
        <v>74</v>
      </c>
      <c r="BB504">
        <v>969</v>
      </c>
      <c r="BC504">
        <v>982</v>
      </c>
      <c r="BD504" t="s">
        <v>74</v>
      </c>
      <c r="BE504" t="s">
        <v>10053</v>
      </c>
      <c r="BF504" t="str">
        <f>HYPERLINK("http://dx.doi.org/10.1002/jrs.5586","http://dx.doi.org/10.1002/jrs.5586")</f>
        <v>http://dx.doi.org/10.1002/jrs.5586</v>
      </c>
      <c r="BG504" t="s">
        <v>74</v>
      </c>
      <c r="BH504" t="s">
        <v>74</v>
      </c>
      <c r="BI504">
        <v>14</v>
      </c>
      <c r="BJ504" t="s">
        <v>2680</v>
      </c>
      <c r="BK504" t="s">
        <v>101</v>
      </c>
      <c r="BL504" t="s">
        <v>2680</v>
      </c>
      <c r="BM504" t="s">
        <v>10054</v>
      </c>
      <c r="BN504" t="s">
        <v>74</v>
      </c>
      <c r="BO504" t="s">
        <v>537</v>
      </c>
      <c r="BP504" t="s">
        <v>74</v>
      </c>
      <c r="BQ504" t="s">
        <v>74</v>
      </c>
      <c r="BR504" t="s">
        <v>103</v>
      </c>
      <c r="BS504" t="s">
        <v>10055</v>
      </c>
      <c r="BT504" t="str">
        <f>HYPERLINK("https%3A%2F%2Fwww.webofscience.com%2Fwos%2Fwoscc%2Ffull-record%2FWOS:000474691600007","View Full Record in Web of Science")</f>
        <v>View Full Record in Web of Science</v>
      </c>
    </row>
    <row r="505" spans="1:72" x14ac:dyDescent="0.15">
      <c r="A505" t="s">
        <v>72</v>
      </c>
      <c r="B505" t="s">
        <v>10056</v>
      </c>
      <c r="C505" t="s">
        <v>74</v>
      </c>
      <c r="D505" t="s">
        <v>74</v>
      </c>
      <c r="E505" t="s">
        <v>74</v>
      </c>
      <c r="F505" t="s">
        <v>10057</v>
      </c>
      <c r="G505" t="s">
        <v>74</v>
      </c>
      <c r="H505" t="s">
        <v>74</v>
      </c>
      <c r="I505" t="s">
        <v>10058</v>
      </c>
      <c r="J505" t="s">
        <v>10059</v>
      </c>
      <c r="K505" t="s">
        <v>74</v>
      </c>
      <c r="L505" t="s">
        <v>74</v>
      </c>
      <c r="M505" t="s">
        <v>78</v>
      </c>
      <c r="N505" t="s">
        <v>108</v>
      </c>
      <c r="O505" t="s">
        <v>74</v>
      </c>
      <c r="P505" t="s">
        <v>74</v>
      </c>
      <c r="Q505" t="s">
        <v>74</v>
      </c>
      <c r="R505" t="s">
        <v>74</v>
      </c>
      <c r="S505" t="s">
        <v>74</v>
      </c>
      <c r="T505" t="s">
        <v>74</v>
      </c>
      <c r="U505" t="s">
        <v>10060</v>
      </c>
      <c r="V505" t="s">
        <v>10061</v>
      </c>
      <c r="W505" t="s">
        <v>10062</v>
      </c>
      <c r="X505" t="s">
        <v>10063</v>
      </c>
      <c r="Y505" t="s">
        <v>10064</v>
      </c>
      <c r="Z505" t="s">
        <v>10065</v>
      </c>
      <c r="AA505" t="s">
        <v>10066</v>
      </c>
      <c r="AB505" t="s">
        <v>10067</v>
      </c>
      <c r="AC505" t="s">
        <v>10068</v>
      </c>
      <c r="AD505" t="s">
        <v>10069</v>
      </c>
      <c r="AE505" t="s">
        <v>10070</v>
      </c>
      <c r="AF505" t="s">
        <v>74</v>
      </c>
      <c r="AG505">
        <v>101</v>
      </c>
      <c r="AH505">
        <v>11</v>
      </c>
      <c r="AI505">
        <v>11</v>
      </c>
      <c r="AJ505">
        <v>0</v>
      </c>
      <c r="AK505">
        <v>6</v>
      </c>
      <c r="AL505" t="s">
        <v>10071</v>
      </c>
      <c r="AM505" t="s">
        <v>10072</v>
      </c>
      <c r="AN505" t="s">
        <v>10073</v>
      </c>
      <c r="AO505" t="s">
        <v>10074</v>
      </c>
      <c r="AP505" t="s">
        <v>10075</v>
      </c>
      <c r="AQ505" t="s">
        <v>74</v>
      </c>
      <c r="AR505" t="s">
        <v>10076</v>
      </c>
      <c r="AS505" t="s">
        <v>10077</v>
      </c>
      <c r="AT505" t="s">
        <v>7543</v>
      </c>
      <c r="AU505">
        <v>2019</v>
      </c>
      <c r="AV505">
        <v>176</v>
      </c>
      <c r="AW505">
        <v>4</v>
      </c>
      <c r="AX505" t="s">
        <v>74</v>
      </c>
      <c r="AY505" t="s">
        <v>74</v>
      </c>
      <c r="AZ505" t="s">
        <v>74</v>
      </c>
      <c r="BA505" t="s">
        <v>74</v>
      </c>
      <c r="BB505">
        <v>785</v>
      </c>
      <c r="BC505">
        <v>798</v>
      </c>
      <c r="BD505" t="s">
        <v>74</v>
      </c>
      <c r="BE505" t="s">
        <v>10078</v>
      </c>
      <c r="BF505" t="str">
        <f>HYPERLINK("http://dx.doi.org/10.1144/jgs2018-146","http://dx.doi.org/10.1144/jgs2018-146")</f>
        <v>http://dx.doi.org/10.1144/jgs2018-146</v>
      </c>
      <c r="BG505" t="s">
        <v>74</v>
      </c>
      <c r="BH505" t="s">
        <v>74</v>
      </c>
      <c r="BI505">
        <v>14</v>
      </c>
      <c r="BJ505" t="s">
        <v>471</v>
      </c>
      <c r="BK505" t="s">
        <v>101</v>
      </c>
      <c r="BL505" t="s">
        <v>472</v>
      </c>
      <c r="BM505" t="s">
        <v>10079</v>
      </c>
      <c r="BN505" t="s">
        <v>74</v>
      </c>
      <c r="BO505" t="s">
        <v>74</v>
      </c>
      <c r="BP505" t="s">
        <v>74</v>
      </c>
      <c r="BQ505" t="s">
        <v>74</v>
      </c>
      <c r="BR505" t="s">
        <v>103</v>
      </c>
      <c r="BS505" t="s">
        <v>10080</v>
      </c>
      <c r="BT505" t="str">
        <f>HYPERLINK("https%3A%2F%2Fwww.webofscience.com%2Fwos%2Fwoscc%2Ffull-record%2FWOS:000474687600012","View Full Record in Web of Science")</f>
        <v>View Full Record in Web of Science</v>
      </c>
    </row>
    <row r="506" spans="1:72" x14ac:dyDescent="0.15">
      <c r="A506" t="s">
        <v>72</v>
      </c>
      <c r="B506" t="s">
        <v>10081</v>
      </c>
      <c r="C506" t="s">
        <v>74</v>
      </c>
      <c r="D506" t="s">
        <v>74</v>
      </c>
      <c r="E506" t="s">
        <v>74</v>
      </c>
      <c r="F506" t="s">
        <v>10082</v>
      </c>
      <c r="G506" t="s">
        <v>74</v>
      </c>
      <c r="H506" t="s">
        <v>74</v>
      </c>
      <c r="I506" t="s">
        <v>10083</v>
      </c>
      <c r="J506" t="s">
        <v>10084</v>
      </c>
      <c r="K506" t="s">
        <v>74</v>
      </c>
      <c r="L506" t="s">
        <v>74</v>
      </c>
      <c r="M506" t="s">
        <v>78</v>
      </c>
      <c r="N506" t="s">
        <v>108</v>
      </c>
      <c r="O506" t="s">
        <v>74</v>
      </c>
      <c r="P506" t="s">
        <v>74</v>
      </c>
      <c r="Q506" t="s">
        <v>74</v>
      </c>
      <c r="R506" t="s">
        <v>74</v>
      </c>
      <c r="S506" t="s">
        <v>74</v>
      </c>
      <c r="T506" t="s">
        <v>10085</v>
      </c>
      <c r="U506" t="s">
        <v>10086</v>
      </c>
      <c r="V506" t="s">
        <v>10087</v>
      </c>
      <c r="W506" t="s">
        <v>10088</v>
      </c>
      <c r="X506" t="s">
        <v>10089</v>
      </c>
      <c r="Y506" t="s">
        <v>10090</v>
      </c>
      <c r="Z506" t="s">
        <v>10091</v>
      </c>
      <c r="AA506" t="s">
        <v>10092</v>
      </c>
      <c r="AB506" t="s">
        <v>10093</v>
      </c>
      <c r="AC506" t="s">
        <v>10094</v>
      </c>
      <c r="AD506" t="s">
        <v>10095</v>
      </c>
      <c r="AE506" t="s">
        <v>10096</v>
      </c>
      <c r="AF506" t="s">
        <v>74</v>
      </c>
      <c r="AG506">
        <v>46</v>
      </c>
      <c r="AH506">
        <v>6</v>
      </c>
      <c r="AI506">
        <v>6</v>
      </c>
      <c r="AJ506">
        <v>1</v>
      </c>
      <c r="AK506">
        <v>7</v>
      </c>
      <c r="AL506" t="s">
        <v>10097</v>
      </c>
      <c r="AM506" t="s">
        <v>10098</v>
      </c>
      <c r="AN506" t="s">
        <v>10099</v>
      </c>
      <c r="AO506" t="s">
        <v>10100</v>
      </c>
      <c r="AP506" t="s">
        <v>10101</v>
      </c>
      <c r="AQ506" t="s">
        <v>74</v>
      </c>
      <c r="AR506" t="s">
        <v>10102</v>
      </c>
      <c r="AS506" t="s">
        <v>10103</v>
      </c>
      <c r="AT506" t="s">
        <v>7543</v>
      </c>
      <c r="AU506">
        <v>2019</v>
      </c>
      <c r="AV506">
        <v>47</v>
      </c>
      <c r="AW506">
        <v>3</v>
      </c>
      <c r="AX506" t="s">
        <v>74</v>
      </c>
      <c r="AY506" t="s">
        <v>74</v>
      </c>
      <c r="AZ506" t="s">
        <v>74</v>
      </c>
      <c r="BA506" t="s">
        <v>74</v>
      </c>
      <c r="BB506">
        <v>480</v>
      </c>
      <c r="BC506">
        <v>491</v>
      </c>
      <c r="BD506" t="s">
        <v>74</v>
      </c>
      <c r="BE506" t="s">
        <v>10104</v>
      </c>
      <c r="BF506" t="str">
        <f>HYPERLINK("http://dx.doi.org/10.3856/vol47-issue3-fulltext-10","http://dx.doi.org/10.3856/vol47-issue3-fulltext-10")</f>
        <v>http://dx.doi.org/10.3856/vol47-issue3-fulltext-10</v>
      </c>
      <c r="BG506" t="s">
        <v>74</v>
      </c>
      <c r="BH506" t="s">
        <v>74</v>
      </c>
      <c r="BI506">
        <v>12</v>
      </c>
      <c r="BJ506" t="s">
        <v>162</v>
      </c>
      <c r="BK506" t="s">
        <v>101</v>
      </c>
      <c r="BL506" t="s">
        <v>162</v>
      </c>
      <c r="BM506" t="s">
        <v>10105</v>
      </c>
      <c r="BN506" t="s">
        <v>74</v>
      </c>
      <c r="BO506" t="s">
        <v>1197</v>
      </c>
      <c r="BP506" t="s">
        <v>74</v>
      </c>
      <c r="BQ506" t="s">
        <v>74</v>
      </c>
      <c r="BR506" t="s">
        <v>103</v>
      </c>
      <c r="BS506" t="s">
        <v>10106</v>
      </c>
      <c r="BT506" t="str">
        <f>HYPERLINK("https%3A%2F%2Fwww.webofscience.com%2Fwos%2Fwoscc%2Ffull-record%2FWOS:000474691200010","View Full Record in Web of Science")</f>
        <v>View Full Record in Web of Science</v>
      </c>
    </row>
    <row r="507" spans="1:72" x14ac:dyDescent="0.15">
      <c r="A507" t="s">
        <v>72</v>
      </c>
      <c r="B507" t="s">
        <v>10107</v>
      </c>
      <c r="C507" t="s">
        <v>74</v>
      </c>
      <c r="D507" t="s">
        <v>74</v>
      </c>
      <c r="E507" t="s">
        <v>74</v>
      </c>
      <c r="F507" t="s">
        <v>10108</v>
      </c>
      <c r="G507" t="s">
        <v>74</v>
      </c>
      <c r="H507" t="s">
        <v>74</v>
      </c>
      <c r="I507" t="s">
        <v>10109</v>
      </c>
      <c r="J507" t="s">
        <v>7004</v>
      </c>
      <c r="K507" t="s">
        <v>74</v>
      </c>
      <c r="L507" t="s">
        <v>74</v>
      </c>
      <c r="M507" t="s">
        <v>78</v>
      </c>
      <c r="N507" t="s">
        <v>108</v>
      </c>
      <c r="O507" t="s">
        <v>74</v>
      </c>
      <c r="P507" t="s">
        <v>74</v>
      </c>
      <c r="Q507" t="s">
        <v>74</v>
      </c>
      <c r="R507" t="s">
        <v>74</v>
      </c>
      <c r="S507" t="s">
        <v>74</v>
      </c>
      <c r="T507" t="s">
        <v>74</v>
      </c>
      <c r="U507" t="s">
        <v>10110</v>
      </c>
      <c r="V507" t="s">
        <v>10111</v>
      </c>
      <c r="W507" t="s">
        <v>10112</v>
      </c>
      <c r="X507" t="s">
        <v>10113</v>
      </c>
      <c r="Y507" t="s">
        <v>10114</v>
      </c>
      <c r="Z507" t="s">
        <v>10115</v>
      </c>
      <c r="AA507" t="s">
        <v>10116</v>
      </c>
      <c r="AB507" t="s">
        <v>10117</v>
      </c>
      <c r="AC507" t="s">
        <v>10118</v>
      </c>
      <c r="AD507" t="s">
        <v>10119</v>
      </c>
      <c r="AE507" t="s">
        <v>10120</v>
      </c>
      <c r="AF507" t="s">
        <v>74</v>
      </c>
      <c r="AG507">
        <v>95</v>
      </c>
      <c r="AH507">
        <v>37</v>
      </c>
      <c r="AI507">
        <v>39</v>
      </c>
      <c r="AJ507">
        <v>10</v>
      </c>
      <c r="AK507">
        <v>32</v>
      </c>
      <c r="AL507" t="s">
        <v>1140</v>
      </c>
      <c r="AM507" t="s">
        <v>1141</v>
      </c>
      <c r="AN507" t="s">
        <v>1142</v>
      </c>
      <c r="AO507" t="s">
        <v>7015</v>
      </c>
      <c r="AP507" t="s">
        <v>7016</v>
      </c>
      <c r="AQ507" t="s">
        <v>74</v>
      </c>
      <c r="AR507" t="s">
        <v>7017</v>
      </c>
      <c r="AS507" t="s">
        <v>7018</v>
      </c>
      <c r="AT507" t="s">
        <v>7543</v>
      </c>
      <c r="AU507">
        <v>2019</v>
      </c>
      <c r="AV507">
        <v>64</v>
      </c>
      <c r="AW507">
        <v>4</v>
      </c>
      <c r="AX507" t="s">
        <v>74</v>
      </c>
      <c r="AY507" t="s">
        <v>74</v>
      </c>
      <c r="AZ507" t="s">
        <v>74</v>
      </c>
      <c r="BA507" t="s">
        <v>74</v>
      </c>
      <c r="BB507">
        <v>1423</v>
      </c>
      <c r="BC507">
        <v>1441</v>
      </c>
      <c r="BD507" t="s">
        <v>74</v>
      </c>
      <c r="BE507" t="s">
        <v>10121</v>
      </c>
      <c r="BF507" t="str">
        <f>HYPERLINK("http://dx.doi.org/10.1002/lno.11125","http://dx.doi.org/10.1002/lno.11125")</f>
        <v>http://dx.doi.org/10.1002/lno.11125</v>
      </c>
      <c r="BG507" t="s">
        <v>74</v>
      </c>
      <c r="BH507" t="s">
        <v>74</v>
      </c>
      <c r="BI507">
        <v>19</v>
      </c>
      <c r="BJ507" t="s">
        <v>5442</v>
      </c>
      <c r="BK507" t="s">
        <v>101</v>
      </c>
      <c r="BL507" t="s">
        <v>3596</v>
      </c>
      <c r="BM507" t="s">
        <v>10122</v>
      </c>
      <c r="BN507">
        <v>31598006</v>
      </c>
      <c r="BO507" t="s">
        <v>595</v>
      </c>
      <c r="BP507" t="s">
        <v>74</v>
      </c>
      <c r="BQ507" t="s">
        <v>74</v>
      </c>
      <c r="BR507" t="s">
        <v>103</v>
      </c>
      <c r="BS507" t="s">
        <v>10123</v>
      </c>
      <c r="BT507" t="str">
        <f>HYPERLINK("https%3A%2F%2Fwww.webofscience.com%2Fwos%2Fwoscc%2Ffull-record%2FWOS:000474301200001","View Full Record in Web of Science")</f>
        <v>View Full Record in Web of Science</v>
      </c>
    </row>
    <row r="508" spans="1:72" x14ac:dyDescent="0.15">
      <c r="A508" t="s">
        <v>72</v>
      </c>
      <c r="B508" t="s">
        <v>10124</v>
      </c>
      <c r="C508" t="s">
        <v>74</v>
      </c>
      <c r="D508" t="s">
        <v>74</v>
      </c>
      <c r="E508" t="s">
        <v>74</v>
      </c>
      <c r="F508" t="s">
        <v>10125</v>
      </c>
      <c r="G508" t="s">
        <v>74</v>
      </c>
      <c r="H508" t="s">
        <v>74</v>
      </c>
      <c r="I508" t="s">
        <v>10126</v>
      </c>
      <c r="J508" t="s">
        <v>7004</v>
      </c>
      <c r="K508" t="s">
        <v>74</v>
      </c>
      <c r="L508" t="s">
        <v>74</v>
      </c>
      <c r="M508" t="s">
        <v>78</v>
      </c>
      <c r="N508" t="s">
        <v>108</v>
      </c>
      <c r="O508" t="s">
        <v>74</v>
      </c>
      <c r="P508" t="s">
        <v>74</v>
      </c>
      <c r="Q508" t="s">
        <v>74</v>
      </c>
      <c r="R508" t="s">
        <v>74</v>
      </c>
      <c r="S508" t="s">
        <v>74</v>
      </c>
      <c r="T508" t="s">
        <v>74</v>
      </c>
      <c r="U508" t="s">
        <v>10127</v>
      </c>
      <c r="V508" t="s">
        <v>10128</v>
      </c>
      <c r="W508" t="s">
        <v>10129</v>
      </c>
      <c r="X508" t="s">
        <v>10130</v>
      </c>
      <c r="Y508" t="s">
        <v>10131</v>
      </c>
      <c r="Z508" t="s">
        <v>10132</v>
      </c>
      <c r="AA508" t="s">
        <v>10133</v>
      </c>
      <c r="AB508" t="s">
        <v>10134</v>
      </c>
      <c r="AC508" t="s">
        <v>10135</v>
      </c>
      <c r="AD508" t="s">
        <v>10136</v>
      </c>
      <c r="AE508" t="s">
        <v>10137</v>
      </c>
      <c r="AF508" t="s">
        <v>74</v>
      </c>
      <c r="AG508">
        <v>70</v>
      </c>
      <c r="AH508">
        <v>20</v>
      </c>
      <c r="AI508">
        <v>20</v>
      </c>
      <c r="AJ508">
        <v>1</v>
      </c>
      <c r="AK508">
        <v>18</v>
      </c>
      <c r="AL508" t="s">
        <v>1140</v>
      </c>
      <c r="AM508" t="s">
        <v>1141</v>
      </c>
      <c r="AN508" t="s">
        <v>1142</v>
      </c>
      <c r="AO508" t="s">
        <v>7015</v>
      </c>
      <c r="AP508" t="s">
        <v>7016</v>
      </c>
      <c r="AQ508" t="s">
        <v>74</v>
      </c>
      <c r="AR508" t="s">
        <v>7017</v>
      </c>
      <c r="AS508" t="s">
        <v>7018</v>
      </c>
      <c r="AT508" t="s">
        <v>7543</v>
      </c>
      <c r="AU508">
        <v>2019</v>
      </c>
      <c r="AV508">
        <v>64</v>
      </c>
      <c r="AW508">
        <v>4</v>
      </c>
      <c r="AX508" t="s">
        <v>74</v>
      </c>
      <c r="AY508" t="s">
        <v>74</v>
      </c>
      <c r="AZ508" t="s">
        <v>74</v>
      </c>
      <c r="BA508" t="s">
        <v>74</v>
      </c>
      <c r="BB508">
        <v>1600</v>
      </c>
      <c r="BC508">
        <v>1613</v>
      </c>
      <c r="BD508" t="s">
        <v>74</v>
      </c>
      <c r="BE508" t="s">
        <v>10138</v>
      </c>
      <c r="BF508" t="str">
        <f>HYPERLINK("http://dx.doi.org/10.1002/lno.11138","http://dx.doi.org/10.1002/lno.11138")</f>
        <v>http://dx.doi.org/10.1002/lno.11138</v>
      </c>
      <c r="BG508" t="s">
        <v>74</v>
      </c>
      <c r="BH508" t="s">
        <v>74</v>
      </c>
      <c r="BI508">
        <v>14</v>
      </c>
      <c r="BJ508" t="s">
        <v>5442</v>
      </c>
      <c r="BK508" t="s">
        <v>101</v>
      </c>
      <c r="BL508" t="s">
        <v>3596</v>
      </c>
      <c r="BM508" t="s">
        <v>10122</v>
      </c>
      <c r="BN508" t="s">
        <v>74</v>
      </c>
      <c r="BO508" t="s">
        <v>1308</v>
      </c>
      <c r="BP508" t="s">
        <v>74</v>
      </c>
      <c r="BQ508" t="s">
        <v>74</v>
      </c>
      <c r="BR508" t="s">
        <v>103</v>
      </c>
      <c r="BS508" t="s">
        <v>10139</v>
      </c>
      <c r="BT508" t="str">
        <f>HYPERLINK("https%3A%2F%2Fwww.webofscience.com%2Fwos%2Fwoscc%2Ffull-record%2FWOS:000474301200013","View Full Record in Web of Science")</f>
        <v>View Full Record in Web of Science</v>
      </c>
    </row>
    <row r="509" spans="1:72" x14ac:dyDescent="0.15">
      <c r="A509" t="s">
        <v>72</v>
      </c>
      <c r="B509" t="s">
        <v>10140</v>
      </c>
      <c r="C509" t="s">
        <v>74</v>
      </c>
      <c r="D509" t="s">
        <v>74</v>
      </c>
      <c r="E509" t="s">
        <v>74</v>
      </c>
      <c r="F509" t="s">
        <v>10141</v>
      </c>
      <c r="G509" t="s">
        <v>74</v>
      </c>
      <c r="H509" t="s">
        <v>74</v>
      </c>
      <c r="I509" t="s">
        <v>10142</v>
      </c>
      <c r="J509" t="s">
        <v>7004</v>
      </c>
      <c r="K509" t="s">
        <v>74</v>
      </c>
      <c r="L509" t="s">
        <v>74</v>
      </c>
      <c r="M509" t="s">
        <v>78</v>
      </c>
      <c r="N509" t="s">
        <v>108</v>
      </c>
      <c r="O509" t="s">
        <v>74</v>
      </c>
      <c r="P509" t="s">
        <v>74</v>
      </c>
      <c r="Q509" t="s">
        <v>74</v>
      </c>
      <c r="R509" t="s">
        <v>74</v>
      </c>
      <c r="S509" t="s">
        <v>74</v>
      </c>
      <c r="T509" t="s">
        <v>74</v>
      </c>
      <c r="U509" t="s">
        <v>10143</v>
      </c>
      <c r="V509" t="s">
        <v>10144</v>
      </c>
      <c r="W509" t="s">
        <v>10145</v>
      </c>
      <c r="X509" t="s">
        <v>10146</v>
      </c>
      <c r="Y509" t="s">
        <v>10147</v>
      </c>
      <c r="Z509" t="s">
        <v>2557</v>
      </c>
      <c r="AA509" t="s">
        <v>10148</v>
      </c>
      <c r="AB509" t="s">
        <v>10149</v>
      </c>
      <c r="AC509" t="s">
        <v>10150</v>
      </c>
      <c r="AD509" t="s">
        <v>10151</v>
      </c>
      <c r="AE509" t="s">
        <v>10152</v>
      </c>
      <c r="AF509" t="s">
        <v>74</v>
      </c>
      <c r="AG509">
        <v>99</v>
      </c>
      <c r="AH509">
        <v>11</v>
      </c>
      <c r="AI509">
        <v>13</v>
      </c>
      <c r="AJ509">
        <v>3</v>
      </c>
      <c r="AK509">
        <v>26</v>
      </c>
      <c r="AL509" t="s">
        <v>1140</v>
      </c>
      <c r="AM509" t="s">
        <v>1141</v>
      </c>
      <c r="AN509" t="s">
        <v>1142</v>
      </c>
      <c r="AO509" t="s">
        <v>7015</v>
      </c>
      <c r="AP509" t="s">
        <v>7016</v>
      </c>
      <c r="AQ509" t="s">
        <v>74</v>
      </c>
      <c r="AR509" t="s">
        <v>7017</v>
      </c>
      <c r="AS509" t="s">
        <v>7018</v>
      </c>
      <c r="AT509" t="s">
        <v>7543</v>
      </c>
      <c r="AU509">
        <v>2019</v>
      </c>
      <c r="AV509">
        <v>64</v>
      </c>
      <c r="AW509">
        <v>4</v>
      </c>
      <c r="AX509" t="s">
        <v>74</v>
      </c>
      <c r="AY509" t="s">
        <v>74</v>
      </c>
      <c r="AZ509" t="s">
        <v>74</v>
      </c>
      <c r="BA509" t="s">
        <v>74</v>
      </c>
      <c r="BB509">
        <v>1716</v>
      </c>
      <c r="BC509">
        <v>1736</v>
      </c>
      <c r="BD509" t="s">
        <v>74</v>
      </c>
      <c r="BE509" t="s">
        <v>10153</v>
      </c>
      <c r="BF509" t="str">
        <f>HYPERLINK("http://dx.doi.org/10.1002/lno.11147","http://dx.doi.org/10.1002/lno.11147")</f>
        <v>http://dx.doi.org/10.1002/lno.11147</v>
      </c>
      <c r="BG509" t="s">
        <v>74</v>
      </c>
      <c r="BH509" t="s">
        <v>74</v>
      </c>
      <c r="BI509">
        <v>21</v>
      </c>
      <c r="BJ509" t="s">
        <v>5442</v>
      </c>
      <c r="BK509" t="s">
        <v>101</v>
      </c>
      <c r="BL509" t="s">
        <v>3596</v>
      </c>
      <c r="BM509" t="s">
        <v>10122</v>
      </c>
      <c r="BN509" t="s">
        <v>74</v>
      </c>
      <c r="BO509" t="s">
        <v>2337</v>
      </c>
      <c r="BP509" t="s">
        <v>74</v>
      </c>
      <c r="BQ509" t="s">
        <v>74</v>
      </c>
      <c r="BR509" t="s">
        <v>103</v>
      </c>
      <c r="BS509" t="s">
        <v>10154</v>
      </c>
      <c r="BT509" t="str">
        <f>HYPERLINK("https%3A%2F%2Fwww.webofscience.com%2Fwos%2Fwoscc%2Ffull-record%2FWOS:000474301200021","View Full Record in Web of Science")</f>
        <v>View Full Record in Web of Science</v>
      </c>
    </row>
    <row r="510" spans="1:72" x14ac:dyDescent="0.15">
      <c r="A510" t="s">
        <v>72</v>
      </c>
      <c r="B510" t="s">
        <v>10155</v>
      </c>
      <c r="C510" t="s">
        <v>74</v>
      </c>
      <c r="D510" t="s">
        <v>74</v>
      </c>
      <c r="E510" t="s">
        <v>74</v>
      </c>
      <c r="F510" t="s">
        <v>10156</v>
      </c>
      <c r="G510" t="s">
        <v>74</v>
      </c>
      <c r="H510" t="s">
        <v>74</v>
      </c>
      <c r="I510" t="s">
        <v>10157</v>
      </c>
      <c r="J510" t="s">
        <v>10158</v>
      </c>
      <c r="K510" t="s">
        <v>74</v>
      </c>
      <c r="L510" t="s">
        <v>74</v>
      </c>
      <c r="M510" t="s">
        <v>78</v>
      </c>
      <c r="N510" t="s">
        <v>778</v>
      </c>
      <c r="O510" t="s">
        <v>10159</v>
      </c>
      <c r="P510" t="s">
        <v>10160</v>
      </c>
      <c r="Q510" t="s">
        <v>10161</v>
      </c>
      <c r="R510" t="s">
        <v>74</v>
      </c>
      <c r="S510" t="s">
        <v>74</v>
      </c>
      <c r="T510" t="s">
        <v>10162</v>
      </c>
      <c r="U510" t="s">
        <v>10163</v>
      </c>
      <c r="V510" t="s">
        <v>10164</v>
      </c>
      <c r="W510" t="s">
        <v>10165</v>
      </c>
      <c r="X510" t="s">
        <v>10166</v>
      </c>
      <c r="Y510" t="s">
        <v>10167</v>
      </c>
      <c r="Z510" t="s">
        <v>10168</v>
      </c>
      <c r="AA510" t="s">
        <v>74</v>
      </c>
      <c r="AB510" t="s">
        <v>74</v>
      </c>
      <c r="AC510" t="s">
        <v>10169</v>
      </c>
      <c r="AD510" t="s">
        <v>10169</v>
      </c>
      <c r="AE510" t="s">
        <v>10170</v>
      </c>
      <c r="AF510" t="s">
        <v>74</v>
      </c>
      <c r="AG510">
        <v>138</v>
      </c>
      <c r="AH510">
        <v>16</v>
      </c>
      <c r="AI510">
        <v>18</v>
      </c>
      <c r="AJ510">
        <v>5</v>
      </c>
      <c r="AK510">
        <v>64</v>
      </c>
      <c r="AL510" t="s">
        <v>438</v>
      </c>
      <c r="AM510" t="s">
        <v>439</v>
      </c>
      <c r="AN510" t="s">
        <v>440</v>
      </c>
      <c r="AO510" t="s">
        <v>10171</v>
      </c>
      <c r="AP510" t="s">
        <v>10172</v>
      </c>
      <c r="AQ510" t="s">
        <v>74</v>
      </c>
      <c r="AR510" t="s">
        <v>10173</v>
      </c>
      <c r="AS510" t="s">
        <v>10174</v>
      </c>
      <c r="AT510" t="s">
        <v>7543</v>
      </c>
      <c r="AU510">
        <v>2019</v>
      </c>
      <c r="AV510">
        <v>148</v>
      </c>
      <c r="AW510" t="s">
        <v>74</v>
      </c>
      <c r="AX510" t="s">
        <v>74</v>
      </c>
      <c r="AY510" t="s">
        <v>74</v>
      </c>
      <c r="AZ510" t="s">
        <v>74</v>
      </c>
      <c r="BA510" t="s">
        <v>74</v>
      </c>
      <c r="BB510">
        <v>230</v>
      </c>
      <c r="BC510">
        <v>239</v>
      </c>
      <c r="BD510" t="s">
        <v>74</v>
      </c>
      <c r="BE510" t="s">
        <v>10175</v>
      </c>
      <c r="BF510" t="str">
        <f>HYPERLINK("http://dx.doi.org/10.1016/j.microc.2019.04.076","http://dx.doi.org/10.1016/j.microc.2019.04.076")</f>
        <v>http://dx.doi.org/10.1016/j.microc.2019.04.076</v>
      </c>
      <c r="BG510" t="s">
        <v>74</v>
      </c>
      <c r="BH510" t="s">
        <v>74</v>
      </c>
      <c r="BI510">
        <v>10</v>
      </c>
      <c r="BJ510" t="s">
        <v>770</v>
      </c>
      <c r="BK510" t="s">
        <v>798</v>
      </c>
      <c r="BL510" t="s">
        <v>771</v>
      </c>
      <c r="BM510" t="s">
        <v>10176</v>
      </c>
      <c r="BN510" t="s">
        <v>74</v>
      </c>
      <c r="BO510" t="s">
        <v>74</v>
      </c>
      <c r="BP510" t="s">
        <v>74</v>
      </c>
      <c r="BQ510" t="s">
        <v>74</v>
      </c>
      <c r="BR510" t="s">
        <v>103</v>
      </c>
      <c r="BS510" t="s">
        <v>10177</v>
      </c>
      <c r="BT510" t="str">
        <f>HYPERLINK("https%3A%2F%2Fwww.webofscience.com%2Fwos%2Fwoscc%2Ffull-record%2FWOS:000474492600029","View Full Record in Web of Science")</f>
        <v>View Full Record in Web of Science</v>
      </c>
    </row>
    <row r="511" spans="1:72" x14ac:dyDescent="0.15">
      <c r="A511" t="s">
        <v>72</v>
      </c>
      <c r="B511" t="s">
        <v>10178</v>
      </c>
      <c r="C511" t="s">
        <v>74</v>
      </c>
      <c r="D511" t="s">
        <v>74</v>
      </c>
      <c r="E511" t="s">
        <v>74</v>
      </c>
      <c r="F511" t="s">
        <v>10179</v>
      </c>
      <c r="G511" t="s">
        <v>74</v>
      </c>
      <c r="H511" t="s">
        <v>74</v>
      </c>
      <c r="I511" t="s">
        <v>10180</v>
      </c>
      <c r="J511" t="s">
        <v>10181</v>
      </c>
      <c r="K511" t="s">
        <v>74</v>
      </c>
      <c r="L511" t="s">
        <v>74</v>
      </c>
      <c r="M511" t="s">
        <v>78</v>
      </c>
      <c r="N511" t="s">
        <v>108</v>
      </c>
      <c r="O511" t="s">
        <v>74</v>
      </c>
      <c r="P511" t="s">
        <v>74</v>
      </c>
      <c r="Q511" t="s">
        <v>74</v>
      </c>
      <c r="R511" t="s">
        <v>74</v>
      </c>
      <c r="S511" t="s">
        <v>74</v>
      </c>
      <c r="T511" t="s">
        <v>10182</v>
      </c>
      <c r="U511" t="s">
        <v>10183</v>
      </c>
      <c r="V511" t="s">
        <v>10184</v>
      </c>
      <c r="W511" t="s">
        <v>10185</v>
      </c>
      <c r="X511" t="s">
        <v>10186</v>
      </c>
      <c r="Y511" t="s">
        <v>10187</v>
      </c>
      <c r="Z511" t="s">
        <v>10188</v>
      </c>
      <c r="AA511" t="s">
        <v>10189</v>
      </c>
      <c r="AB511" t="s">
        <v>10190</v>
      </c>
      <c r="AC511" t="s">
        <v>10191</v>
      </c>
      <c r="AD511" t="s">
        <v>10192</v>
      </c>
      <c r="AE511" t="s">
        <v>10193</v>
      </c>
      <c r="AF511" t="s">
        <v>74</v>
      </c>
      <c r="AG511">
        <v>81</v>
      </c>
      <c r="AH511">
        <v>22</v>
      </c>
      <c r="AI511">
        <v>25</v>
      </c>
      <c r="AJ511">
        <v>1</v>
      </c>
      <c r="AK511">
        <v>15</v>
      </c>
      <c r="AL511" t="s">
        <v>1140</v>
      </c>
      <c r="AM511" t="s">
        <v>1141</v>
      </c>
      <c r="AN511" t="s">
        <v>1142</v>
      </c>
      <c r="AO511" t="s">
        <v>10194</v>
      </c>
      <c r="AP511" t="s">
        <v>10195</v>
      </c>
      <c r="AQ511" t="s">
        <v>74</v>
      </c>
      <c r="AR511" t="s">
        <v>10181</v>
      </c>
      <c r="AS511" t="s">
        <v>10196</v>
      </c>
      <c r="AT511" t="s">
        <v>7543</v>
      </c>
      <c r="AU511">
        <v>2019</v>
      </c>
      <c r="AV511">
        <v>128</v>
      </c>
      <c r="AW511">
        <v>7</v>
      </c>
      <c r="AX511" t="s">
        <v>74</v>
      </c>
      <c r="AY511" t="s">
        <v>74</v>
      </c>
      <c r="AZ511" t="s">
        <v>74</v>
      </c>
      <c r="BA511" t="s">
        <v>74</v>
      </c>
      <c r="BB511">
        <v>1051</v>
      </c>
      <c r="BC511">
        <v>1064</v>
      </c>
      <c r="BD511" t="s">
        <v>74</v>
      </c>
      <c r="BE511" t="s">
        <v>10197</v>
      </c>
      <c r="BF511" t="str">
        <f>HYPERLINK("http://dx.doi.org/10.1111/oik.05630","http://dx.doi.org/10.1111/oik.05630")</f>
        <v>http://dx.doi.org/10.1111/oik.05630</v>
      </c>
      <c r="BG511" t="s">
        <v>74</v>
      </c>
      <c r="BH511" t="s">
        <v>74</v>
      </c>
      <c r="BI511">
        <v>14</v>
      </c>
      <c r="BJ511" t="s">
        <v>1150</v>
      </c>
      <c r="BK511" t="s">
        <v>101</v>
      </c>
      <c r="BL511" t="s">
        <v>799</v>
      </c>
      <c r="BM511" t="s">
        <v>10198</v>
      </c>
      <c r="BN511" t="s">
        <v>74</v>
      </c>
      <c r="BO511" t="s">
        <v>74</v>
      </c>
      <c r="BP511" t="s">
        <v>74</v>
      </c>
      <c r="BQ511" t="s">
        <v>74</v>
      </c>
      <c r="BR511" t="s">
        <v>103</v>
      </c>
      <c r="BS511" t="s">
        <v>10199</v>
      </c>
      <c r="BT511" t="str">
        <f>HYPERLINK("https%3A%2F%2Fwww.webofscience.com%2Fwos%2Fwoscc%2Ffull-record%2FWOS:000474370800013","View Full Record in Web of Science")</f>
        <v>View Full Record in Web of Science</v>
      </c>
    </row>
    <row r="512" spans="1:72" x14ac:dyDescent="0.15">
      <c r="A512" t="s">
        <v>72</v>
      </c>
      <c r="B512" t="s">
        <v>10200</v>
      </c>
      <c r="C512" t="s">
        <v>74</v>
      </c>
      <c r="D512" t="s">
        <v>74</v>
      </c>
      <c r="E512" t="s">
        <v>74</v>
      </c>
      <c r="F512" t="s">
        <v>10201</v>
      </c>
      <c r="G512" t="s">
        <v>74</v>
      </c>
      <c r="H512" t="s">
        <v>74</v>
      </c>
      <c r="I512" t="s">
        <v>10202</v>
      </c>
      <c r="J512" t="s">
        <v>2044</v>
      </c>
      <c r="K512" t="s">
        <v>74</v>
      </c>
      <c r="L512" t="s">
        <v>74</v>
      </c>
      <c r="M512" t="s">
        <v>78</v>
      </c>
      <c r="N512" t="s">
        <v>108</v>
      </c>
      <c r="O512" t="s">
        <v>74</v>
      </c>
      <c r="P512" t="s">
        <v>74</v>
      </c>
      <c r="Q512" t="s">
        <v>74</v>
      </c>
      <c r="R512" t="s">
        <v>74</v>
      </c>
      <c r="S512" t="s">
        <v>74</v>
      </c>
      <c r="T512" t="s">
        <v>10203</v>
      </c>
      <c r="U512" t="s">
        <v>10204</v>
      </c>
      <c r="V512" t="s">
        <v>10205</v>
      </c>
      <c r="W512" t="s">
        <v>10206</v>
      </c>
      <c r="X512" t="s">
        <v>10207</v>
      </c>
      <c r="Y512" t="s">
        <v>10208</v>
      </c>
      <c r="Z512" t="s">
        <v>10209</v>
      </c>
      <c r="AA512" t="s">
        <v>10210</v>
      </c>
      <c r="AB512" t="s">
        <v>10211</v>
      </c>
      <c r="AC512" t="s">
        <v>10212</v>
      </c>
      <c r="AD512" t="s">
        <v>10213</v>
      </c>
      <c r="AE512" t="s">
        <v>10214</v>
      </c>
      <c r="AF512" t="s">
        <v>74</v>
      </c>
      <c r="AG512">
        <v>102</v>
      </c>
      <c r="AH512">
        <v>12</v>
      </c>
      <c r="AI512">
        <v>12</v>
      </c>
      <c r="AJ512">
        <v>2</v>
      </c>
      <c r="AK512">
        <v>26</v>
      </c>
      <c r="AL512" t="s">
        <v>92</v>
      </c>
      <c r="AM512" t="s">
        <v>93</v>
      </c>
      <c r="AN512" t="s">
        <v>94</v>
      </c>
      <c r="AO512" t="s">
        <v>2057</v>
      </c>
      <c r="AP512" t="s">
        <v>74</v>
      </c>
      <c r="AQ512" t="s">
        <v>74</v>
      </c>
      <c r="AR512" t="s">
        <v>2058</v>
      </c>
      <c r="AS512" t="s">
        <v>2059</v>
      </c>
      <c r="AT512" t="s">
        <v>8453</v>
      </c>
      <c r="AU512">
        <v>2019</v>
      </c>
      <c r="AV512">
        <v>215</v>
      </c>
      <c r="AW512" t="s">
        <v>74</v>
      </c>
      <c r="AX512" t="s">
        <v>74</v>
      </c>
      <c r="AY512" t="s">
        <v>74</v>
      </c>
      <c r="AZ512" t="s">
        <v>74</v>
      </c>
      <c r="BA512" t="s">
        <v>74</v>
      </c>
      <c r="BB512">
        <v>22</v>
      </c>
      <c r="BC512">
        <v>34</v>
      </c>
      <c r="BD512" t="s">
        <v>74</v>
      </c>
      <c r="BE512" t="s">
        <v>10215</v>
      </c>
      <c r="BF512" t="str">
        <f>HYPERLINK("http://dx.doi.org/10.1016/j.quascirev.2019.04.020","http://dx.doi.org/10.1016/j.quascirev.2019.04.020")</f>
        <v>http://dx.doi.org/10.1016/j.quascirev.2019.04.020</v>
      </c>
      <c r="BG512" t="s">
        <v>74</v>
      </c>
      <c r="BH512" t="s">
        <v>74</v>
      </c>
      <c r="BI512">
        <v>13</v>
      </c>
      <c r="BJ512" t="s">
        <v>310</v>
      </c>
      <c r="BK512" t="s">
        <v>101</v>
      </c>
      <c r="BL512" t="s">
        <v>311</v>
      </c>
      <c r="BM512" t="s">
        <v>10216</v>
      </c>
      <c r="BN512" t="s">
        <v>74</v>
      </c>
      <c r="BO512" t="s">
        <v>74</v>
      </c>
      <c r="BP512" t="s">
        <v>74</v>
      </c>
      <c r="BQ512" t="s">
        <v>74</v>
      </c>
      <c r="BR512" t="s">
        <v>103</v>
      </c>
      <c r="BS512" t="s">
        <v>10217</v>
      </c>
      <c r="BT512" t="str">
        <f>HYPERLINK("https%3A%2F%2Fwww.webofscience.com%2Fwos%2Fwoscc%2Ffull-record%2FWOS:000474318200002","View Full Record in Web of Science")</f>
        <v>View Full Record in Web of Science</v>
      </c>
    </row>
    <row r="513" spans="1:72" x14ac:dyDescent="0.15">
      <c r="A513" t="s">
        <v>72</v>
      </c>
      <c r="B513" t="s">
        <v>10218</v>
      </c>
      <c r="C513" t="s">
        <v>74</v>
      </c>
      <c r="D513" t="s">
        <v>74</v>
      </c>
      <c r="E513" t="s">
        <v>74</v>
      </c>
      <c r="F513" t="s">
        <v>10219</v>
      </c>
      <c r="G513" t="s">
        <v>74</v>
      </c>
      <c r="H513" t="s">
        <v>74</v>
      </c>
      <c r="I513" t="s">
        <v>10220</v>
      </c>
      <c r="J513" t="s">
        <v>10221</v>
      </c>
      <c r="K513" t="s">
        <v>74</v>
      </c>
      <c r="L513" t="s">
        <v>74</v>
      </c>
      <c r="M513" t="s">
        <v>78</v>
      </c>
      <c r="N513" t="s">
        <v>108</v>
      </c>
      <c r="O513" t="s">
        <v>74</v>
      </c>
      <c r="P513" t="s">
        <v>74</v>
      </c>
      <c r="Q513" t="s">
        <v>74</v>
      </c>
      <c r="R513" t="s">
        <v>74</v>
      </c>
      <c r="S513" t="s">
        <v>74</v>
      </c>
      <c r="T513" t="s">
        <v>10222</v>
      </c>
      <c r="U513" t="s">
        <v>10223</v>
      </c>
      <c r="V513" t="s">
        <v>10224</v>
      </c>
      <c r="W513" t="s">
        <v>10225</v>
      </c>
      <c r="X513" t="s">
        <v>10226</v>
      </c>
      <c r="Y513" t="s">
        <v>10227</v>
      </c>
      <c r="Z513" t="s">
        <v>10228</v>
      </c>
      <c r="AA513" t="s">
        <v>10229</v>
      </c>
      <c r="AB513" t="s">
        <v>10230</v>
      </c>
      <c r="AC513" t="s">
        <v>10231</v>
      </c>
      <c r="AD513" t="s">
        <v>10232</v>
      </c>
      <c r="AE513" t="s">
        <v>10233</v>
      </c>
      <c r="AF513" t="s">
        <v>74</v>
      </c>
      <c r="AG513">
        <v>38</v>
      </c>
      <c r="AH513">
        <v>10</v>
      </c>
      <c r="AI513">
        <v>11</v>
      </c>
      <c r="AJ513">
        <v>0</v>
      </c>
      <c r="AK513">
        <v>15</v>
      </c>
      <c r="AL513" t="s">
        <v>1140</v>
      </c>
      <c r="AM513" t="s">
        <v>1141</v>
      </c>
      <c r="AN513" t="s">
        <v>1142</v>
      </c>
      <c r="AO513" t="s">
        <v>10234</v>
      </c>
      <c r="AP513" t="s">
        <v>10235</v>
      </c>
      <c r="AQ513" t="s">
        <v>74</v>
      </c>
      <c r="AR513" t="s">
        <v>10236</v>
      </c>
      <c r="AS513" t="s">
        <v>10237</v>
      </c>
      <c r="AT513" t="s">
        <v>7543</v>
      </c>
      <c r="AU513">
        <v>2019</v>
      </c>
      <c r="AV513">
        <v>38</v>
      </c>
      <c r="AW513">
        <v>7</v>
      </c>
      <c r="AX513" t="s">
        <v>74</v>
      </c>
      <c r="AY513" t="s">
        <v>74</v>
      </c>
      <c r="AZ513" t="s">
        <v>74</v>
      </c>
      <c r="BA513" t="s">
        <v>74</v>
      </c>
      <c r="BB513">
        <v>1560</v>
      </c>
      <c r="BC513">
        <v>1568</v>
      </c>
      <c r="BD513" t="s">
        <v>74</v>
      </c>
      <c r="BE513" t="s">
        <v>10238</v>
      </c>
      <c r="BF513" t="str">
        <f>HYPERLINK("http://dx.doi.org/10.1002/etc.4419","http://dx.doi.org/10.1002/etc.4419")</f>
        <v>http://dx.doi.org/10.1002/etc.4419</v>
      </c>
      <c r="BG513" t="s">
        <v>74</v>
      </c>
      <c r="BH513" t="s">
        <v>74</v>
      </c>
      <c r="BI513">
        <v>9</v>
      </c>
      <c r="BJ513" t="s">
        <v>6166</v>
      </c>
      <c r="BK513" t="s">
        <v>101</v>
      </c>
      <c r="BL513" t="s">
        <v>6167</v>
      </c>
      <c r="BM513" t="s">
        <v>10239</v>
      </c>
      <c r="BN513">
        <v>30900771</v>
      </c>
      <c r="BO513" t="s">
        <v>74</v>
      </c>
      <c r="BP513" t="s">
        <v>74</v>
      </c>
      <c r="BQ513" t="s">
        <v>74</v>
      </c>
      <c r="BR513" t="s">
        <v>103</v>
      </c>
      <c r="BS513" t="s">
        <v>10240</v>
      </c>
      <c r="BT513" t="str">
        <f>HYPERLINK("https%3A%2F%2Fwww.webofscience.com%2Fwos%2Fwoscc%2Ffull-record%2FWOS:000473234500019","View Full Record in Web of Science")</f>
        <v>View Full Record in Web of Science</v>
      </c>
    </row>
    <row r="514" spans="1:72" x14ac:dyDescent="0.15">
      <c r="A514" t="s">
        <v>72</v>
      </c>
      <c r="B514" t="s">
        <v>10241</v>
      </c>
      <c r="C514" t="s">
        <v>74</v>
      </c>
      <c r="D514" t="s">
        <v>74</v>
      </c>
      <c r="E514" t="s">
        <v>74</v>
      </c>
      <c r="F514" t="s">
        <v>10242</v>
      </c>
      <c r="G514" t="s">
        <v>74</v>
      </c>
      <c r="H514" t="s">
        <v>74</v>
      </c>
      <c r="I514" t="s">
        <v>10243</v>
      </c>
      <c r="J514" t="s">
        <v>10244</v>
      </c>
      <c r="K514" t="s">
        <v>74</v>
      </c>
      <c r="L514" t="s">
        <v>74</v>
      </c>
      <c r="M514" t="s">
        <v>78</v>
      </c>
      <c r="N514" t="s">
        <v>108</v>
      </c>
      <c r="O514" t="s">
        <v>74</v>
      </c>
      <c r="P514" t="s">
        <v>74</v>
      </c>
      <c r="Q514" t="s">
        <v>74</v>
      </c>
      <c r="R514" t="s">
        <v>74</v>
      </c>
      <c r="S514" t="s">
        <v>74</v>
      </c>
      <c r="T514" t="s">
        <v>10245</v>
      </c>
      <c r="U514" t="s">
        <v>10246</v>
      </c>
      <c r="V514" t="s">
        <v>10247</v>
      </c>
      <c r="W514" t="s">
        <v>10248</v>
      </c>
      <c r="X514" t="s">
        <v>10249</v>
      </c>
      <c r="Y514" t="s">
        <v>10250</v>
      </c>
      <c r="Z514" t="s">
        <v>10251</v>
      </c>
      <c r="AA514" t="s">
        <v>10252</v>
      </c>
      <c r="AB514" t="s">
        <v>10253</v>
      </c>
      <c r="AC514" t="s">
        <v>10254</v>
      </c>
      <c r="AD514" t="s">
        <v>10255</v>
      </c>
      <c r="AE514" t="s">
        <v>10256</v>
      </c>
      <c r="AF514" t="s">
        <v>74</v>
      </c>
      <c r="AG514">
        <v>56</v>
      </c>
      <c r="AH514">
        <v>30</v>
      </c>
      <c r="AI514">
        <v>33</v>
      </c>
      <c r="AJ514">
        <v>3</v>
      </c>
      <c r="AK514">
        <v>38</v>
      </c>
      <c r="AL514" t="s">
        <v>3533</v>
      </c>
      <c r="AM514" t="s">
        <v>93</v>
      </c>
      <c r="AN514" t="s">
        <v>3534</v>
      </c>
      <c r="AO514" t="s">
        <v>10257</v>
      </c>
      <c r="AP514" t="s">
        <v>10258</v>
      </c>
      <c r="AQ514" t="s">
        <v>74</v>
      </c>
      <c r="AR514" t="s">
        <v>10259</v>
      </c>
      <c r="AS514" t="s">
        <v>10260</v>
      </c>
      <c r="AT514" t="s">
        <v>7543</v>
      </c>
      <c r="AU514">
        <v>2019</v>
      </c>
      <c r="AV514">
        <v>123</v>
      </c>
      <c r="AW514">
        <v>7</v>
      </c>
      <c r="AX514" t="s">
        <v>74</v>
      </c>
      <c r="AY514" t="s">
        <v>74</v>
      </c>
      <c r="AZ514" t="s">
        <v>74</v>
      </c>
      <c r="BA514" t="s">
        <v>74</v>
      </c>
      <c r="BB514">
        <v>507</v>
      </c>
      <c r="BC514">
        <v>516</v>
      </c>
      <c r="BD514" t="s">
        <v>74</v>
      </c>
      <c r="BE514" t="s">
        <v>10261</v>
      </c>
      <c r="BF514" t="str">
        <f>HYPERLINK("http://dx.doi.org/10.1016/j.funbio.2019.05.001","http://dx.doi.org/10.1016/j.funbio.2019.05.001")</f>
        <v>http://dx.doi.org/10.1016/j.funbio.2019.05.001</v>
      </c>
      <c r="BG514" t="s">
        <v>74</v>
      </c>
      <c r="BH514" t="s">
        <v>74</v>
      </c>
      <c r="BI514">
        <v>10</v>
      </c>
      <c r="BJ514" t="s">
        <v>9552</v>
      </c>
      <c r="BK514" t="s">
        <v>101</v>
      </c>
      <c r="BL514" t="s">
        <v>9552</v>
      </c>
      <c r="BM514" t="s">
        <v>10262</v>
      </c>
      <c r="BN514">
        <v>31196520</v>
      </c>
      <c r="BO514" t="s">
        <v>74</v>
      </c>
      <c r="BP514" t="s">
        <v>74</v>
      </c>
      <c r="BQ514" t="s">
        <v>74</v>
      </c>
      <c r="BR514" t="s">
        <v>103</v>
      </c>
      <c r="BS514" t="s">
        <v>10263</v>
      </c>
      <c r="BT514" t="str">
        <f>HYPERLINK("https%3A%2F%2Fwww.webofscience.com%2Fwos%2Fwoscc%2Ffull-record%2FWOS:000473840300003","View Full Record in Web of Science")</f>
        <v>View Full Record in Web of Science</v>
      </c>
    </row>
    <row r="515" spans="1:72" x14ac:dyDescent="0.15">
      <c r="A515" t="s">
        <v>72</v>
      </c>
      <c r="B515" t="s">
        <v>10264</v>
      </c>
      <c r="C515" t="s">
        <v>74</v>
      </c>
      <c r="D515" t="s">
        <v>74</v>
      </c>
      <c r="E515" t="s">
        <v>74</v>
      </c>
      <c r="F515" t="s">
        <v>10265</v>
      </c>
      <c r="G515" t="s">
        <v>74</v>
      </c>
      <c r="H515" t="s">
        <v>74</v>
      </c>
      <c r="I515" t="s">
        <v>10266</v>
      </c>
      <c r="J515" t="s">
        <v>4861</v>
      </c>
      <c r="K515" t="s">
        <v>74</v>
      </c>
      <c r="L515" t="s">
        <v>74</v>
      </c>
      <c r="M515" t="s">
        <v>78</v>
      </c>
      <c r="N515" t="s">
        <v>108</v>
      </c>
      <c r="O515" t="s">
        <v>74</v>
      </c>
      <c r="P515" t="s">
        <v>74</v>
      </c>
      <c r="Q515" t="s">
        <v>74</v>
      </c>
      <c r="R515" t="s">
        <v>74</v>
      </c>
      <c r="S515" t="s">
        <v>74</v>
      </c>
      <c r="T515" t="s">
        <v>10267</v>
      </c>
      <c r="U515" t="s">
        <v>10268</v>
      </c>
      <c r="V515" t="s">
        <v>10269</v>
      </c>
      <c r="W515" t="s">
        <v>10270</v>
      </c>
      <c r="X515" t="s">
        <v>10271</v>
      </c>
      <c r="Y515" t="s">
        <v>10272</v>
      </c>
      <c r="Z515" t="s">
        <v>10273</v>
      </c>
      <c r="AA515" t="s">
        <v>10274</v>
      </c>
      <c r="AB515" t="s">
        <v>10275</v>
      </c>
      <c r="AC515" t="s">
        <v>10276</v>
      </c>
      <c r="AD515" t="s">
        <v>10277</v>
      </c>
      <c r="AE515" t="s">
        <v>10278</v>
      </c>
      <c r="AF515" t="s">
        <v>74</v>
      </c>
      <c r="AG515">
        <v>36</v>
      </c>
      <c r="AH515">
        <v>27</v>
      </c>
      <c r="AI515">
        <v>30</v>
      </c>
      <c r="AJ515">
        <v>2</v>
      </c>
      <c r="AK515">
        <v>20</v>
      </c>
      <c r="AL515" t="s">
        <v>251</v>
      </c>
      <c r="AM515" t="s">
        <v>252</v>
      </c>
      <c r="AN515" t="s">
        <v>253</v>
      </c>
      <c r="AO515" t="s">
        <v>4874</v>
      </c>
      <c r="AP515" t="s">
        <v>4875</v>
      </c>
      <c r="AQ515" t="s">
        <v>74</v>
      </c>
      <c r="AR515" t="s">
        <v>4876</v>
      </c>
      <c r="AS515" t="s">
        <v>4877</v>
      </c>
      <c r="AT515" t="s">
        <v>7543</v>
      </c>
      <c r="AU515">
        <v>2019</v>
      </c>
      <c r="AV515">
        <v>49</v>
      </c>
      <c r="AW515">
        <v>7</v>
      </c>
      <c r="AX515" t="s">
        <v>74</v>
      </c>
      <c r="AY515" t="s">
        <v>74</v>
      </c>
      <c r="AZ515" t="s">
        <v>74</v>
      </c>
      <c r="BA515" t="s">
        <v>74</v>
      </c>
      <c r="BB515">
        <v>1873</v>
      </c>
      <c r="BC515">
        <v>1887</v>
      </c>
      <c r="BD515" t="s">
        <v>74</v>
      </c>
      <c r="BE515" t="s">
        <v>10279</v>
      </c>
      <c r="BF515" t="str">
        <f>HYPERLINK("http://dx.doi.org/10.1175/JPO-D-18-0134.1","http://dx.doi.org/10.1175/JPO-D-18-0134.1")</f>
        <v>http://dx.doi.org/10.1175/JPO-D-18-0134.1</v>
      </c>
      <c r="BG515" t="s">
        <v>74</v>
      </c>
      <c r="BH515" t="s">
        <v>74</v>
      </c>
      <c r="BI515">
        <v>15</v>
      </c>
      <c r="BJ515" t="s">
        <v>100</v>
      </c>
      <c r="BK515" t="s">
        <v>101</v>
      </c>
      <c r="BL515" t="s">
        <v>100</v>
      </c>
      <c r="BM515" t="s">
        <v>10280</v>
      </c>
      <c r="BN515" t="s">
        <v>74</v>
      </c>
      <c r="BO515" t="s">
        <v>2003</v>
      </c>
      <c r="BP515" t="s">
        <v>74</v>
      </c>
      <c r="BQ515" t="s">
        <v>74</v>
      </c>
      <c r="BR515" t="s">
        <v>103</v>
      </c>
      <c r="BS515" t="s">
        <v>10281</v>
      </c>
      <c r="BT515" t="str">
        <f>HYPERLINK("https%3A%2F%2Fwww.webofscience.com%2Fwos%2Fwoscc%2Ffull-record%2FWOS:000473642000001","View Full Record in Web of Science")</f>
        <v>View Full Record in Web of Science</v>
      </c>
    </row>
    <row r="516" spans="1:72" x14ac:dyDescent="0.15">
      <c r="A516" t="s">
        <v>72</v>
      </c>
      <c r="B516" t="s">
        <v>10282</v>
      </c>
      <c r="C516" t="s">
        <v>74</v>
      </c>
      <c r="D516" t="s">
        <v>74</v>
      </c>
      <c r="E516" t="s">
        <v>74</v>
      </c>
      <c r="F516" t="s">
        <v>10283</v>
      </c>
      <c r="G516" t="s">
        <v>74</v>
      </c>
      <c r="H516" t="s">
        <v>74</v>
      </c>
      <c r="I516" t="s">
        <v>10284</v>
      </c>
      <c r="J516" t="s">
        <v>1447</v>
      </c>
      <c r="K516" t="s">
        <v>74</v>
      </c>
      <c r="L516" t="s">
        <v>74</v>
      </c>
      <c r="M516" t="s">
        <v>78</v>
      </c>
      <c r="N516" t="s">
        <v>108</v>
      </c>
      <c r="O516" t="s">
        <v>74</v>
      </c>
      <c r="P516" t="s">
        <v>74</v>
      </c>
      <c r="Q516" t="s">
        <v>74</v>
      </c>
      <c r="R516" t="s">
        <v>74</v>
      </c>
      <c r="S516" t="s">
        <v>74</v>
      </c>
      <c r="T516" t="s">
        <v>10285</v>
      </c>
      <c r="U516" t="s">
        <v>10286</v>
      </c>
      <c r="V516" t="s">
        <v>10287</v>
      </c>
      <c r="W516" t="s">
        <v>10288</v>
      </c>
      <c r="X516" t="s">
        <v>10289</v>
      </c>
      <c r="Y516" t="s">
        <v>10290</v>
      </c>
      <c r="Z516" t="s">
        <v>10291</v>
      </c>
      <c r="AA516" t="s">
        <v>10292</v>
      </c>
      <c r="AB516" t="s">
        <v>10293</v>
      </c>
      <c r="AC516" t="s">
        <v>10294</v>
      </c>
      <c r="AD516" t="s">
        <v>10295</v>
      </c>
      <c r="AE516" t="s">
        <v>10296</v>
      </c>
      <c r="AF516" t="s">
        <v>74</v>
      </c>
      <c r="AG516">
        <v>34</v>
      </c>
      <c r="AH516">
        <v>11</v>
      </c>
      <c r="AI516">
        <v>12</v>
      </c>
      <c r="AJ516">
        <v>3</v>
      </c>
      <c r="AK516">
        <v>19</v>
      </c>
      <c r="AL516" t="s">
        <v>1140</v>
      </c>
      <c r="AM516" t="s">
        <v>1141</v>
      </c>
      <c r="AN516" t="s">
        <v>1142</v>
      </c>
      <c r="AO516" t="s">
        <v>1459</v>
      </c>
      <c r="AP516" t="s">
        <v>1460</v>
      </c>
      <c r="AQ516" t="s">
        <v>74</v>
      </c>
      <c r="AR516" t="s">
        <v>1461</v>
      </c>
      <c r="AS516" t="s">
        <v>1462</v>
      </c>
      <c r="AT516" t="s">
        <v>7543</v>
      </c>
      <c r="AU516">
        <v>2019</v>
      </c>
      <c r="AV516">
        <v>10</v>
      </c>
      <c r="AW516">
        <v>7</v>
      </c>
      <c r="AX516" t="s">
        <v>74</v>
      </c>
      <c r="AY516" t="s">
        <v>74</v>
      </c>
      <c r="AZ516" t="s">
        <v>74</v>
      </c>
      <c r="BA516" t="s">
        <v>74</v>
      </c>
      <c r="BB516">
        <v>1002</v>
      </c>
      <c r="BC516">
        <v>1014</v>
      </c>
      <c r="BD516" t="s">
        <v>74</v>
      </c>
      <c r="BE516" t="s">
        <v>10297</v>
      </c>
      <c r="BF516" t="str">
        <f>HYPERLINK("http://dx.doi.org/10.1111/2041-210X.13196","http://dx.doi.org/10.1111/2041-210X.13196")</f>
        <v>http://dx.doi.org/10.1111/2041-210X.13196</v>
      </c>
      <c r="BG516" t="s">
        <v>74</v>
      </c>
      <c r="BH516" t="s">
        <v>74</v>
      </c>
      <c r="BI516">
        <v>13</v>
      </c>
      <c r="BJ516" t="s">
        <v>1150</v>
      </c>
      <c r="BK516" t="s">
        <v>101</v>
      </c>
      <c r="BL516" t="s">
        <v>799</v>
      </c>
      <c r="BM516" t="s">
        <v>10298</v>
      </c>
      <c r="BN516" t="s">
        <v>74</v>
      </c>
      <c r="BO516" t="s">
        <v>1125</v>
      </c>
      <c r="BP516" t="s">
        <v>74</v>
      </c>
      <c r="BQ516" t="s">
        <v>74</v>
      </c>
      <c r="BR516" t="s">
        <v>103</v>
      </c>
      <c r="BS516" t="s">
        <v>10299</v>
      </c>
      <c r="BT516" t="str">
        <f>HYPERLINK("https%3A%2F%2Fwww.webofscience.com%2Fwos%2Fwoscc%2Ffull-record%2FWOS:000473662700008","View Full Record in Web of Science")</f>
        <v>View Full Record in Web of Science</v>
      </c>
    </row>
    <row r="517" spans="1:72" x14ac:dyDescent="0.15">
      <c r="A517" t="s">
        <v>72</v>
      </c>
      <c r="B517" t="s">
        <v>10300</v>
      </c>
      <c r="C517" t="s">
        <v>74</v>
      </c>
      <c r="D517" t="s">
        <v>74</v>
      </c>
      <c r="E517" t="s">
        <v>74</v>
      </c>
      <c r="F517" t="s">
        <v>10301</v>
      </c>
      <c r="G517" t="s">
        <v>74</v>
      </c>
      <c r="H517" t="s">
        <v>74</v>
      </c>
      <c r="I517" t="s">
        <v>10302</v>
      </c>
      <c r="J517" t="s">
        <v>989</v>
      </c>
      <c r="K517" t="s">
        <v>74</v>
      </c>
      <c r="L517" t="s">
        <v>74</v>
      </c>
      <c r="M517" t="s">
        <v>78</v>
      </c>
      <c r="N517" t="s">
        <v>108</v>
      </c>
      <c r="O517" t="s">
        <v>74</v>
      </c>
      <c r="P517" t="s">
        <v>74</v>
      </c>
      <c r="Q517" t="s">
        <v>74</v>
      </c>
      <c r="R517" t="s">
        <v>74</v>
      </c>
      <c r="S517" t="s">
        <v>74</v>
      </c>
      <c r="T517" t="s">
        <v>74</v>
      </c>
      <c r="U517" t="s">
        <v>10303</v>
      </c>
      <c r="V517" t="s">
        <v>10304</v>
      </c>
      <c r="W517" t="s">
        <v>10305</v>
      </c>
      <c r="X517" t="s">
        <v>10306</v>
      </c>
      <c r="Y517" t="s">
        <v>10307</v>
      </c>
      <c r="Z517" t="s">
        <v>10308</v>
      </c>
      <c r="AA517" t="s">
        <v>10309</v>
      </c>
      <c r="AB517" t="s">
        <v>10310</v>
      </c>
      <c r="AC517" t="s">
        <v>10311</v>
      </c>
      <c r="AD517" t="s">
        <v>10312</v>
      </c>
      <c r="AE517" t="s">
        <v>10313</v>
      </c>
      <c r="AF517" t="s">
        <v>74</v>
      </c>
      <c r="AG517">
        <v>66</v>
      </c>
      <c r="AH517">
        <v>6</v>
      </c>
      <c r="AI517">
        <v>7</v>
      </c>
      <c r="AJ517">
        <v>0</v>
      </c>
      <c r="AK517">
        <v>9</v>
      </c>
      <c r="AL517" t="s">
        <v>998</v>
      </c>
      <c r="AM517" t="s">
        <v>657</v>
      </c>
      <c r="AN517" t="s">
        <v>999</v>
      </c>
      <c r="AO517" t="s">
        <v>1000</v>
      </c>
      <c r="AP517" t="s">
        <v>74</v>
      </c>
      <c r="AQ517" t="s">
        <v>74</v>
      </c>
      <c r="AR517" t="s">
        <v>1001</v>
      </c>
      <c r="AS517" t="s">
        <v>1002</v>
      </c>
      <c r="AT517" t="s">
        <v>8453</v>
      </c>
      <c r="AU517">
        <v>2019</v>
      </c>
      <c r="AV517">
        <v>9</v>
      </c>
      <c r="AW517" t="s">
        <v>74</v>
      </c>
      <c r="AX517" t="s">
        <v>74</v>
      </c>
      <c r="AY517" t="s">
        <v>74</v>
      </c>
      <c r="AZ517" t="s">
        <v>74</v>
      </c>
      <c r="BA517" t="s">
        <v>74</v>
      </c>
      <c r="BB517" t="s">
        <v>74</v>
      </c>
      <c r="BC517" t="s">
        <v>74</v>
      </c>
      <c r="BD517">
        <v>9462</v>
      </c>
      <c r="BE517" t="s">
        <v>10314</v>
      </c>
      <c r="BF517" t="str">
        <f>HYPERLINK("http://dx.doi.org/10.1038/s41598-019-45190-3","http://dx.doi.org/10.1038/s41598-019-45190-3")</f>
        <v>http://dx.doi.org/10.1038/s41598-019-45190-3</v>
      </c>
      <c r="BG517" t="s">
        <v>74</v>
      </c>
      <c r="BH517" t="s">
        <v>74</v>
      </c>
      <c r="BI517">
        <v>11</v>
      </c>
      <c r="BJ517" t="s">
        <v>1004</v>
      </c>
      <c r="BK517" t="s">
        <v>101</v>
      </c>
      <c r="BL517" t="s">
        <v>1005</v>
      </c>
      <c r="BM517" t="s">
        <v>10315</v>
      </c>
      <c r="BN517">
        <v>31263174</v>
      </c>
      <c r="BO517" t="s">
        <v>313</v>
      </c>
      <c r="BP517" t="s">
        <v>74</v>
      </c>
      <c r="BQ517" t="s">
        <v>74</v>
      </c>
      <c r="BR517" t="s">
        <v>103</v>
      </c>
      <c r="BS517" t="s">
        <v>10316</v>
      </c>
      <c r="BT517" t="str">
        <f>HYPERLINK("https%3A%2F%2Fwww.webofscience.com%2Fwos%2Fwoscc%2Ffull-record%2FWOS:000473294100049","View Full Record in Web of Science")</f>
        <v>View Full Record in Web of Science</v>
      </c>
    </row>
    <row r="518" spans="1:72" x14ac:dyDescent="0.15">
      <c r="A518" t="s">
        <v>72</v>
      </c>
      <c r="B518" t="s">
        <v>10317</v>
      </c>
      <c r="C518" t="s">
        <v>74</v>
      </c>
      <c r="D518" t="s">
        <v>74</v>
      </c>
      <c r="E518" t="s">
        <v>74</v>
      </c>
      <c r="F518" t="s">
        <v>10318</v>
      </c>
      <c r="G518" t="s">
        <v>74</v>
      </c>
      <c r="H518" t="s">
        <v>74</v>
      </c>
      <c r="I518" t="s">
        <v>10319</v>
      </c>
      <c r="J518" t="s">
        <v>10320</v>
      </c>
      <c r="K518" t="s">
        <v>74</v>
      </c>
      <c r="L518" t="s">
        <v>74</v>
      </c>
      <c r="M518" t="s">
        <v>78</v>
      </c>
      <c r="N518" t="s">
        <v>108</v>
      </c>
      <c r="O518" t="s">
        <v>74</v>
      </c>
      <c r="P518" t="s">
        <v>74</v>
      </c>
      <c r="Q518" t="s">
        <v>74</v>
      </c>
      <c r="R518" t="s">
        <v>74</v>
      </c>
      <c r="S518" t="s">
        <v>74</v>
      </c>
      <c r="T518" t="s">
        <v>74</v>
      </c>
      <c r="U518" t="s">
        <v>10321</v>
      </c>
      <c r="V518" t="s">
        <v>10322</v>
      </c>
      <c r="W518" t="s">
        <v>10323</v>
      </c>
      <c r="X518" t="s">
        <v>10324</v>
      </c>
      <c r="Y518" t="s">
        <v>10325</v>
      </c>
      <c r="Z518" t="s">
        <v>10326</v>
      </c>
      <c r="AA518" t="s">
        <v>10327</v>
      </c>
      <c r="AB518" t="s">
        <v>10328</v>
      </c>
      <c r="AC518" t="s">
        <v>10329</v>
      </c>
      <c r="AD518" t="s">
        <v>10330</v>
      </c>
      <c r="AE518" t="s">
        <v>10331</v>
      </c>
      <c r="AF518" t="s">
        <v>74</v>
      </c>
      <c r="AG518">
        <v>105</v>
      </c>
      <c r="AH518">
        <v>13</v>
      </c>
      <c r="AI518">
        <v>13</v>
      </c>
      <c r="AJ518">
        <v>1</v>
      </c>
      <c r="AK518">
        <v>18</v>
      </c>
      <c r="AL518" t="s">
        <v>10332</v>
      </c>
      <c r="AM518" t="s">
        <v>10333</v>
      </c>
      <c r="AN518" t="s">
        <v>10334</v>
      </c>
      <c r="AO518" t="s">
        <v>10335</v>
      </c>
      <c r="AP518" t="s">
        <v>10336</v>
      </c>
      <c r="AQ518" t="s">
        <v>74</v>
      </c>
      <c r="AR518" t="s">
        <v>10337</v>
      </c>
      <c r="AS518" t="s">
        <v>10338</v>
      </c>
      <c r="AT518" t="s">
        <v>7543</v>
      </c>
      <c r="AU518">
        <v>2019</v>
      </c>
      <c r="AV518">
        <v>180</v>
      </c>
      <c r="AW518">
        <v>3</v>
      </c>
      <c r="AX518" t="s">
        <v>74</v>
      </c>
      <c r="AY518" t="s">
        <v>74</v>
      </c>
      <c r="AZ518" t="s">
        <v>74</v>
      </c>
      <c r="BA518" t="s">
        <v>74</v>
      </c>
      <c r="BB518">
        <v>1291</v>
      </c>
      <c r="BC518">
        <v>1309</v>
      </c>
      <c r="BD518" t="s">
        <v>74</v>
      </c>
      <c r="BE518" t="s">
        <v>10339</v>
      </c>
      <c r="BF518" t="str">
        <f>HYPERLINK("http://dx.doi.org/10.1104/pp.19.00411","http://dx.doi.org/10.1104/pp.19.00411")</f>
        <v>http://dx.doi.org/10.1104/pp.19.00411</v>
      </c>
      <c r="BG518" t="s">
        <v>74</v>
      </c>
      <c r="BH518" t="s">
        <v>74</v>
      </c>
      <c r="BI518">
        <v>19</v>
      </c>
      <c r="BJ518" t="s">
        <v>2907</v>
      </c>
      <c r="BK518" t="s">
        <v>101</v>
      </c>
      <c r="BL518" t="s">
        <v>2907</v>
      </c>
      <c r="BM518" t="s">
        <v>10340</v>
      </c>
      <c r="BN518" t="s">
        <v>74</v>
      </c>
      <c r="BO518" t="s">
        <v>1125</v>
      </c>
      <c r="BP518" t="s">
        <v>74</v>
      </c>
      <c r="BQ518" t="s">
        <v>74</v>
      </c>
      <c r="BR518" t="s">
        <v>103</v>
      </c>
      <c r="BS518" t="s">
        <v>10341</v>
      </c>
      <c r="BT518" t="str">
        <f>HYPERLINK("https%3A%2F%2Fwww.webofscience.com%2Fwos%2Fwoscc%2Ffull-record%2FWOS:000473274000009","View Full Record in Web of Science")</f>
        <v>View Full Record in Web of Science</v>
      </c>
    </row>
    <row r="519" spans="1:72" x14ac:dyDescent="0.15">
      <c r="A519" t="s">
        <v>72</v>
      </c>
      <c r="B519" t="s">
        <v>10342</v>
      </c>
      <c r="C519" t="s">
        <v>74</v>
      </c>
      <c r="D519" t="s">
        <v>74</v>
      </c>
      <c r="E519" t="s">
        <v>74</v>
      </c>
      <c r="F519" t="s">
        <v>10343</v>
      </c>
      <c r="G519" t="s">
        <v>74</v>
      </c>
      <c r="H519" t="s">
        <v>74</v>
      </c>
      <c r="I519" t="s">
        <v>10344</v>
      </c>
      <c r="J519" t="s">
        <v>10345</v>
      </c>
      <c r="K519" t="s">
        <v>74</v>
      </c>
      <c r="L519" t="s">
        <v>74</v>
      </c>
      <c r="M519" t="s">
        <v>78</v>
      </c>
      <c r="N519" t="s">
        <v>79</v>
      </c>
      <c r="O519" t="s">
        <v>74</v>
      </c>
      <c r="P519" t="s">
        <v>74</v>
      </c>
      <c r="Q519" t="s">
        <v>74</v>
      </c>
      <c r="R519" t="s">
        <v>74</v>
      </c>
      <c r="S519" t="s">
        <v>74</v>
      </c>
      <c r="T519" t="s">
        <v>10346</v>
      </c>
      <c r="U519" t="s">
        <v>10347</v>
      </c>
      <c r="V519" t="s">
        <v>10348</v>
      </c>
      <c r="W519" t="s">
        <v>10349</v>
      </c>
      <c r="X519" t="s">
        <v>10350</v>
      </c>
      <c r="Y519" t="s">
        <v>10351</v>
      </c>
      <c r="Z519" t="s">
        <v>10352</v>
      </c>
      <c r="AA519" t="s">
        <v>74</v>
      </c>
      <c r="AB519" t="s">
        <v>10353</v>
      </c>
      <c r="AC519" t="s">
        <v>10354</v>
      </c>
      <c r="AD519" t="s">
        <v>10354</v>
      </c>
      <c r="AE519" t="s">
        <v>10355</v>
      </c>
      <c r="AF519" t="s">
        <v>74</v>
      </c>
      <c r="AG519">
        <v>334</v>
      </c>
      <c r="AH519">
        <v>71</v>
      </c>
      <c r="AI519">
        <v>71</v>
      </c>
      <c r="AJ519">
        <v>2</v>
      </c>
      <c r="AK519">
        <v>36</v>
      </c>
      <c r="AL519" t="s">
        <v>438</v>
      </c>
      <c r="AM519" t="s">
        <v>439</v>
      </c>
      <c r="AN519" t="s">
        <v>440</v>
      </c>
      <c r="AO519" t="s">
        <v>10356</v>
      </c>
      <c r="AP519" t="s">
        <v>10357</v>
      </c>
      <c r="AQ519" t="s">
        <v>74</v>
      </c>
      <c r="AR519" t="s">
        <v>10358</v>
      </c>
      <c r="AS519" t="s">
        <v>10359</v>
      </c>
      <c r="AT519" t="s">
        <v>7543</v>
      </c>
      <c r="AU519">
        <v>2019</v>
      </c>
      <c r="AV519">
        <v>194</v>
      </c>
      <c r="AW519" t="s">
        <v>74</v>
      </c>
      <c r="AX519" t="s">
        <v>74</v>
      </c>
      <c r="AY519" t="s">
        <v>74</v>
      </c>
      <c r="AZ519" t="s">
        <v>74</v>
      </c>
      <c r="BA519" t="s">
        <v>74</v>
      </c>
      <c r="BB519">
        <v>125</v>
      </c>
      <c r="BC519">
        <v>159</v>
      </c>
      <c r="BD519" t="s">
        <v>74</v>
      </c>
      <c r="BE519" t="s">
        <v>10360</v>
      </c>
      <c r="BF519" t="str">
        <f>HYPERLINK("http://dx.doi.org/10.1016/j.earscirev.2019.05.002","http://dx.doi.org/10.1016/j.earscirev.2019.05.002")</f>
        <v>http://dx.doi.org/10.1016/j.earscirev.2019.05.002</v>
      </c>
      <c r="BG519" t="s">
        <v>74</v>
      </c>
      <c r="BH519" t="s">
        <v>74</v>
      </c>
      <c r="BI519">
        <v>35</v>
      </c>
      <c r="BJ519" t="s">
        <v>471</v>
      </c>
      <c r="BK519" t="s">
        <v>101</v>
      </c>
      <c r="BL519" t="s">
        <v>472</v>
      </c>
      <c r="BM519" t="s">
        <v>10361</v>
      </c>
      <c r="BN519" t="s">
        <v>74</v>
      </c>
      <c r="BO519" t="s">
        <v>74</v>
      </c>
      <c r="BP519" t="s">
        <v>74</v>
      </c>
      <c r="BQ519" t="s">
        <v>74</v>
      </c>
      <c r="BR519" t="s">
        <v>103</v>
      </c>
      <c r="BS519" t="s">
        <v>10362</v>
      </c>
      <c r="BT519" t="str">
        <f>HYPERLINK("https%3A%2F%2Fwww.webofscience.com%2Fwos%2Fwoscc%2Ffull-record%2FWOS:000472687000007","View Full Record in Web of Science")</f>
        <v>View Full Record in Web of Science</v>
      </c>
    </row>
    <row r="520" spans="1:72" x14ac:dyDescent="0.15">
      <c r="A520" t="s">
        <v>72</v>
      </c>
      <c r="B520" t="s">
        <v>10363</v>
      </c>
      <c r="C520" t="s">
        <v>74</v>
      </c>
      <c r="D520" t="s">
        <v>74</v>
      </c>
      <c r="E520" t="s">
        <v>74</v>
      </c>
      <c r="F520" t="s">
        <v>10364</v>
      </c>
      <c r="G520" t="s">
        <v>74</v>
      </c>
      <c r="H520" t="s">
        <v>74</v>
      </c>
      <c r="I520" t="s">
        <v>10365</v>
      </c>
      <c r="J520" t="s">
        <v>10366</v>
      </c>
      <c r="K520" t="s">
        <v>74</v>
      </c>
      <c r="L520" t="s">
        <v>74</v>
      </c>
      <c r="M520" t="s">
        <v>78</v>
      </c>
      <c r="N520" t="s">
        <v>108</v>
      </c>
      <c r="O520" t="s">
        <v>74</v>
      </c>
      <c r="P520" t="s">
        <v>74</v>
      </c>
      <c r="Q520" t="s">
        <v>74</v>
      </c>
      <c r="R520" t="s">
        <v>74</v>
      </c>
      <c r="S520" t="s">
        <v>74</v>
      </c>
      <c r="T520" t="s">
        <v>74</v>
      </c>
      <c r="U520" t="s">
        <v>10367</v>
      </c>
      <c r="V520" t="s">
        <v>10368</v>
      </c>
      <c r="W520" t="s">
        <v>10369</v>
      </c>
      <c r="X520" t="s">
        <v>10370</v>
      </c>
      <c r="Y520" t="s">
        <v>10371</v>
      </c>
      <c r="Z520" t="s">
        <v>74</v>
      </c>
      <c r="AA520" t="s">
        <v>10372</v>
      </c>
      <c r="AB520" t="s">
        <v>10373</v>
      </c>
      <c r="AC520" t="s">
        <v>10374</v>
      </c>
      <c r="AD520" t="s">
        <v>10375</v>
      </c>
      <c r="AE520" t="s">
        <v>10376</v>
      </c>
      <c r="AF520" t="s">
        <v>74</v>
      </c>
      <c r="AG520">
        <v>40</v>
      </c>
      <c r="AH520">
        <v>38</v>
      </c>
      <c r="AI520">
        <v>39</v>
      </c>
      <c r="AJ520">
        <v>0</v>
      </c>
      <c r="AK520">
        <v>21</v>
      </c>
      <c r="AL520" t="s">
        <v>4938</v>
      </c>
      <c r="AM520" t="s">
        <v>4939</v>
      </c>
      <c r="AN520" t="s">
        <v>4940</v>
      </c>
      <c r="AO520" t="s">
        <v>10377</v>
      </c>
      <c r="AP520" t="s">
        <v>10378</v>
      </c>
      <c r="AQ520" t="s">
        <v>74</v>
      </c>
      <c r="AR520" t="s">
        <v>10366</v>
      </c>
      <c r="AS520" t="s">
        <v>472</v>
      </c>
      <c r="AT520" t="s">
        <v>7543</v>
      </c>
      <c r="AU520">
        <v>2019</v>
      </c>
      <c r="AV520">
        <v>47</v>
      </c>
      <c r="AW520">
        <v>7</v>
      </c>
      <c r="AX520" t="s">
        <v>74</v>
      </c>
      <c r="AY520" t="s">
        <v>74</v>
      </c>
      <c r="AZ520" t="s">
        <v>74</v>
      </c>
      <c r="BA520" t="s">
        <v>74</v>
      </c>
      <c r="BB520">
        <v>645</v>
      </c>
      <c r="BC520">
        <v>649</v>
      </c>
      <c r="BD520" t="s">
        <v>74</v>
      </c>
      <c r="BE520" t="s">
        <v>10379</v>
      </c>
      <c r="BF520" t="str">
        <f>HYPERLINK("http://dx.doi.org/10.1130/G45952.1","http://dx.doi.org/10.1130/G45952.1")</f>
        <v>http://dx.doi.org/10.1130/G45952.1</v>
      </c>
      <c r="BG520" t="s">
        <v>74</v>
      </c>
      <c r="BH520" t="s">
        <v>74</v>
      </c>
      <c r="BI520">
        <v>5</v>
      </c>
      <c r="BJ520" t="s">
        <v>472</v>
      </c>
      <c r="BK520" t="s">
        <v>101</v>
      </c>
      <c r="BL520" t="s">
        <v>472</v>
      </c>
      <c r="BM520" t="s">
        <v>10380</v>
      </c>
      <c r="BN520" t="s">
        <v>74</v>
      </c>
      <c r="BO520" t="s">
        <v>74</v>
      </c>
      <c r="BP520" t="s">
        <v>74</v>
      </c>
      <c r="BQ520" t="s">
        <v>74</v>
      </c>
      <c r="BR520" t="s">
        <v>103</v>
      </c>
      <c r="BS520" t="s">
        <v>10381</v>
      </c>
      <c r="BT520" t="str">
        <f>HYPERLINK("https%3A%2F%2Fwww.webofscience.com%2Fwos%2Fwoscc%2Ffull-record%2FWOS:000472711900016","View Full Record in Web of Science")</f>
        <v>View Full Record in Web of Science</v>
      </c>
    </row>
    <row r="521" spans="1:72" x14ac:dyDescent="0.15">
      <c r="A521" t="s">
        <v>72</v>
      </c>
      <c r="B521" t="s">
        <v>10382</v>
      </c>
      <c r="C521" t="s">
        <v>74</v>
      </c>
      <c r="D521" t="s">
        <v>74</v>
      </c>
      <c r="E521" t="s">
        <v>74</v>
      </c>
      <c r="F521" t="s">
        <v>10383</v>
      </c>
      <c r="G521" t="s">
        <v>74</v>
      </c>
      <c r="H521" t="s">
        <v>74</v>
      </c>
      <c r="I521" t="s">
        <v>10384</v>
      </c>
      <c r="J521" t="s">
        <v>10385</v>
      </c>
      <c r="K521" t="s">
        <v>74</v>
      </c>
      <c r="L521" t="s">
        <v>74</v>
      </c>
      <c r="M521" t="s">
        <v>78</v>
      </c>
      <c r="N521" t="s">
        <v>108</v>
      </c>
      <c r="O521" t="s">
        <v>74</v>
      </c>
      <c r="P521" t="s">
        <v>74</v>
      </c>
      <c r="Q521" t="s">
        <v>74</v>
      </c>
      <c r="R521" t="s">
        <v>74</v>
      </c>
      <c r="S521" t="s">
        <v>74</v>
      </c>
      <c r="T521" t="s">
        <v>74</v>
      </c>
      <c r="U521" t="s">
        <v>10386</v>
      </c>
      <c r="V521" t="s">
        <v>10387</v>
      </c>
      <c r="W521" t="s">
        <v>10388</v>
      </c>
      <c r="X521" t="s">
        <v>10389</v>
      </c>
      <c r="Y521" t="s">
        <v>10390</v>
      </c>
      <c r="Z521" t="s">
        <v>10391</v>
      </c>
      <c r="AA521" t="s">
        <v>8119</v>
      </c>
      <c r="AB521" t="s">
        <v>10392</v>
      </c>
      <c r="AC521" t="s">
        <v>10393</v>
      </c>
      <c r="AD521" t="s">
        <v>10394</v>
      </c>
      <c r="AE521" t="s">
        <v>10395</v>
      </c>
      <c r="AF521" t="s">
        <v>74</v>
      </c>
      <c r="AG521">
        <v>46</v>
      </c>
      <c r="AH521">
        <v>14</v>
      </c>
      <c r="AI521">
        <v>17</v>
      </c>
      <c r="AJ521">
        <v>0</v>
      </c>
      <c r="AK521">
        <v>33</v>
      </c>
      <c r="AL521" t="s">
        <v>2396</v>
      </c>
      <c r="AM521" t="s">
        <v>2397</v>
      </c>
      <c r="AN521" t="s">
        <v>2398</v>
      </c>
      <c r="AO521" t="s">
        <v>10396</v>
      </c>
      <c r="AP521" t="s">
        <v>10397</v>
      </c>
      <c r="AQ521" t="s">
        <v>74</v>
      </c>
      <c r="AR521" t="s">
        <v>10398</v>
      </c>
      <c r="AS521" t="s">
        <v>10399</v>
      </c>
      <c r="AT521" t="s">
        <v>7543</v>
      </c>
      <c r="AU521">
        <v>2019</v>
      </c>
      <c r="AV521">
        <v>166</v>
      </c>
      <c r="AW521">
        <v>7</v>
      </c>
      <c r="AX521" t="s">
        <v>74</v>
      </c>
      <c r="AY521" t="s">
        <v>74</v>
      </c>
      <c r="AZ521" t="s">
        <v>74</v>
      </c>
      <c r="BA521" t="s">
        <v>74</v>
      </c>
      <c r="BB521" t="s">
        <v>74</v>
      </c>
      <c r="BC521" t="s">
        <v>74</v>
      </c>
      <c r="BD521">
        <v>95</v>
      </c>
      <c r="BE521" t="s">
        <v>10400</v>
      </c>
      <c r="BF521" t="str">
        <f>HYPERLINK("http://dx.doi.org/10.1007/s00227-019-3542-0","http://dx.doi.org/10.1007/s00227-019-3542-0")</f>
        <v>http://dx.doi.org/10.1007/s00227-019-3542-0</v>
      </c>
      <c r="BG521" t="s">
        <v>74</v>
      </c>
      <c r="BH521" t="s">
        <v>74</v>
      </c>
      <c r="BI521">
        <v>9</v>
      </c>
      <c r="BJ521" t="s">
        <v>6961</v>
      </c>
      <c r="BK521" t="s">
        <v>101</v>
      </c>
      <c r="BL521" t="s">
        <v>6961</v>
      </c>
      <c r="BM521" t="s">
        <v>10401</v>
      </c>
      <c r="BN521" t="s">
        <v>74</v>
      </c>
      <c r="BO521" t="s">
        <v>74</v>
      </c>
      <c r="BP521" t="s">
        <v>74</v>
      </c>
      <c r="BQ521" t="s">
        <v>74</v>
      </c>
      <c r="BR521" t="s">
        <v>103</v>
      </c>
      <c r="BS521" t="s">
        <v>10402</v>
      </c>
      <c r="BT521" t="str">
        <f>HYPERLINK("https%3A%2F%2Fwww.webofscience.com%2Fwos%2Fwoscc%2Ffull-record%2FWOS:000472578800001","View Full Record in Web of Science")</f>
        <v>View Full Record in Web of Science</v>
      </c>
    </row>
    <row r="522" spans="1:72" x14ac:dyDescent="0.15">
      <c r="A522" t="s">
        <v>72</v>
      </c>
      <c r="B522" t="s">
        <v>10403</v>
      </c>
      <c r="C522" t="s">
        <v>74</v>
      </c>
      <c r="D522" t="s">
        <v>74</v>
      </c>
      <c r="E522" t="s">
        <v>74</v>
      </c>
      <c r="F522" t="s">
        <v>10404</v>
      </c>
      <c r="G522" t="s">
        <v>74</v>
      </c>
      <c r="H522" t="s">
        <v>74</v>
      </c>
      <c r="I522" t="s">
        <v>10405</v>
      </c>
      <c r="J522" t="s">
        <v>10406</v>
      </c>
      <c r="K522" t="s">
        <v>74</v>
      </c>
      <c r="L522" t="s">
        <v>74</v>
      </c>
      <c r="M522" t="s">
        <v>78</v>
      </c>
      <c r="N522" t="s">
        <v>108</v>
      </c>
      <c r="O522" t="s">
        <v>74</v>
      </c>
      <c r="P522" t="s">
        <v>74</v>
      </c>
      <c r="Q522" t="s">
        <v>74</v>
      </c>
      <c r="R522" t="s">
        <v>74</v>
      </c>
      <c r="S522" t="s">
        <v>74</v>
      </c>
      <c r="T522" t="s">
        <v>10407</v>
      </c>
      <c r="U522" t="s">
        <v>10408</v>
      </c>
      <c r="V522" t="s">
        <v>10409</v>
      </c>
      <c r="W522" t="s">
        <v>10410</v>
      </c>
      <c r="X522" t="s">
        <v>10411</v>
      </c>
      <c r="Y522" t="s">
        <v>10412</v>
      </c>
      <c r="Z522" t="s">
        <v>10413</v>
      </c>
      <c r="AA522" t="s">
        <v>10414</v>
      </c>
      <c r="AB522" t="s">
        <v>10415</v>
      </c>
      <c r="AC522" t="s">
        <v>10416</v>
      </c>
      <c r="AD522" t="s">
        <v>10417</v>
      </c>
      <c r="AE522" t="s">
        <v>10418</v>
      </c>
      <c r="AF522" t="s">
        <v>74</v>
      </c>
      <c r="AG522">
        <v>108</v>
      </c>
      <c r="AH522">
        <v>10</v>
      </c>
      <c r="AI522">
        <v>11</v>
      </c>
      <c r="AJ522">
        <v>9</v>
      </c>
      <c r="AK522">
        <v>67</v>
      </c>
      <c r="AL522" t="s">
        <v>1140</v>
      </c>
      <c r="AM522" t="s">
        <v>1141</v>
      </c>
      <c r="AN522" t="s">
        <v>1142</v>
      </c>
      <c r="AO522" t="s">
        <v>10419</v>
      </c>
      <c r="AP522" t="s">
        <v>10420</v>
      </c>
      <c r="AQ522" t="s">
        <v>74</v>
      </c>
      <c r="AR522" t="s">
        <v>10421</v>
      </c>
      <c r="AS522" t="s">
        <v>10422</v>
      </c>
      <c r="AT522" t="s">
        <v>7543</v>
      </c>
      <c r="AU522">
        <v>2019</v>
      </c>
      <c r="AV522">
        <v>223</v>
      </c>
      <c r="AW522">
        <v>2</v>
      </c>
      <c r="AX522" t="s">
        <v>74</v>
      </c>
      <c r="AY522" t="s">
        <v>74</v>
      </c>
      <c r="AZ522" t="s">
        <v>74</v>
      </c>
      <c r="BA522" t="s">
        <v>74</v>
      </c>
      <c r="BB522">
        <v>661</v>
      </c>
      <c r="BC522">
        <v>674</v>
      </c>
      <c r="BD522" t="s">
        <v>74</v>
      </c>
      <c r="BE522" t="s">
        <v>10423</v>
      </c>
      <c r="BF522" t="str">
        <f>HYPERLINK("http://dx.doi.org/10.1111/nph.15838","http://dx.doi.org/10.1111/nph.15838")</f>
        <v>http://dx.doi.org/10.1111/nph.15838</v>
      </c>
      <c r="BG522" t="s">
        <v>74</v>
      </c>
      <c r="BH522" t="s">
        <v>74</v>
      </c>
      <c r="BI522">
        <v>14</v>
      </c>
      <c r="BJ522" t="s">
        <v>2907</v>
      </c>
      <c r="BK522" t="s">
        <v>101</v>
      </c>
      <c r="BL522" t="s">
        <v>2907</v>
      </c>
      <c r="BM522" t="s">
        <v>10424</v>
      </c>
      <c r="BN522">
        <v>30951191</v>
      </c>
      <c r="BO522" t="s">
        <v>1308</v>
      </c>
      <c r="BP522" t="s">
        <v>74</v>
      </c>
      <c r="BQ522" t="s">
        <v>74</v>
      </c>
      <c r="BR522" t="s">
        <v>103</v>
      </c>
      <c r="BS522" t="s">
        <v>10425</v>
      </c>
      <c r="BT522" t="str">
        <f>HYPERLINK("https%3A%2F%2Fwww.webofscience.com%2Fwos%2Fwoscc%2Ffull-record%2FWOS:000472678700019","View Full Record in Web of Science")</f>
        <v>View Full Record in Web of Science</v>
      </c>
    </row>
    <row r="523" spans="1:72" x14ac:dyDescent="0.15">
      <c r="A523" t="s">
        <v>72</v>
      </c>
      <c r="B523" t="s">
        <v>10426</v>
      </c>
      <c r="C523" t="s">
        <v>74</v>
      </c>
      <c r="D523" t="s">
        <v>74</v>
      </c>
      <c r="E523" t="s">
        <v>74</v>
      </c>
      <c r="F523" t="s">
        <v>10427</v>
      </c>
      <c r="G523" t="s">
        <v>74</v>
      </c>
      <c r="H523" t="s">
        <v>74</v>
      </c>
      <c r="I523" t="s">
        <v>10428</v>
      </c>
      <c r="J523" t="s">
        <v>10406</v>
      </c>
      <c r="K523" t="s">
        <v>74</v>
      </c>
      <c r="L523" t="s">
        <v>74</v>
      </c>
      <c r="M523" t="s">
        <v>78</v>
      </c>
      <c r="N523" t="s">
        <v>108</v>
      </c>
      <c r="O523" t="s">
        <v>74</v>
      </c>
      <c r="P523" t="s">
        <v>74</v>
      </c>
      <c r="Q523" t="s">
        <v>74</v>
      </c>
      <c r="R523" t="s">
        <v>74</v>
      </c>
      <c r="S523" t="s">
        <v>74</v>
      </c>
      <c r="T523" t="s">
        <v>10429</v>
      </c>
      <c r="U523" t="s">
        <v>10430</v>
      </c>
      <c r="V523" t="s">
        <v>10431</v>
      </c>
      <c r="W523" t="s">
        <v>10432</v>
      </c>
      <c r="X523" t="s">
        <v>10433</v>
      </c>
      <c r="Y523" t="s">
        <v>10434</v>
      </c>
      <c r="Z523" t="s">
        <v>10435</v>
      </c>
      <c r="AA523" t="s">
        <v>10436</v>
      </c>
      <c r="AB523" t="s">
        <v>10437</v>
      </c>
      <c r="AC523" t="s">
        <v>10438</v>
      </c>
      <c r="AD523" t="s">
        <v>10439</v>
      </c>
      <c r="AE523" t="s">
        <v>10440</v>
      </c>
      <c r="AF523" t="s">
        <v>74</v>
      </c>
      <c r="AG523">
        <v>84</v>
      </c>
      <c r="AH523">
        <v>30</v>
      </c>
      <c r="AI523">
        <v>32</v>
      </c>
      <c r="AJ523">
        <v>1</v>
      </c>
      <c r="AK523">
        <v>18</v>
      </c>
      <c r="AL523" t="s">
        <v>1140</v>
      </c>
      <c r="AM523" t="s">
        <v>1141</v>
      </c>
      <c r="AN523" t="s">
        <v>1142</v>
      </c>
      <c r="AO523" t="s">
        <v>10419</v>
      </c>
      <c r="AP523" t="s">
        <v>10420</v>
      </c>
      <c r="AQ523" t="s">
        <v>74</v>
      </c>
      <c r="AR523" t="s">
        <v>10421</v>
      </c>
      <c r="AS523" t="s">
        <v>10422</v>
      </c>
      <c r="AT523" t="s">
        <v>7543</v>
      </c>
      <c r="AU523">
        <v>2019</v>
      </c>
      <c r="AV523">
        <v>223</v>
      </c>
      <c r="AW523">
        <v>2</v>
      </c>
      <c r="AX523" t="s">
        <v>74</v>
      </c>
      <c r="AY523" t="s">
        <v>74</v>
      </c>
      <c r="AZ523" t="s">
        <v>74</v>
      </c>
      <c r="BA523" t="s">
        <v>74</v>
      </c>
      <c r="BB523">
        <v>675</v>
      </c>
      <c r="BC523">
        <v>691</v>
      </c>
      <c r="BD523" t="s">
        <v>74</v>
      </c>
      <c r="BE523" t="s">
        <v>10441</v>
      </c>
      <c r="BF523" t="str">
        <f>HYPERLINK("http://dx.doi.org/10.1111/nph.15843","http://dx.doi.org/10.1111/nph.15843")</f>
        <v>http://dx.doi.org/10.1111/nph.15843</v>
      </c>
      <c r="BG523" t="s">
        <v>74</v>
      </c>
      <c r="BH523" t="s">
        <v>74</v>
      </c>
      <c r="BI523">
        <v>17</v>
      </c>
      <c r="BJ523" t="s">
        <v>2907</v>
      </c>
      <c r="BK523" t="s">
        <v>101</v>
      </c>
      <c r="BL523" t="s">
        <v>2907</v>
      </c>
      <c r="BM523" t="s">
        <v>10424</v>
      </c>
      <c r="BN523">
        <v>30985935</v>
      </c>
      <c r="BO523" t="s">
        <v>6963</v>
      </c>
      <c r="BP523" t="s">
        <v>74</v>
      </c>
      <c r="BQ523" t="s">
        <v>74</v>
      </c>
      <c r="BR523" t="s">
        <v>103</v>
      </c>
      <c r="BS523" t="s">
        <v>10442</v>
      </c>
      <c r="BT523" t="str">
        <f>HYPERLINK("https%3A%2F%2Fwww.webofscience.com%2Fwos%2Fwoscc%2Ffull-record%2FWOS:000472678700020","View Full Record in Web of Science")</f>
        <v>View Full Record in Web of Science</v>
      </c>
    </row>
    <row r="524" spans="1:72" x14ac:dyDescent="0.15">
      <c r="A524" t="s">
        <v>72</v>
      </c>
      <c r="B524" t="s">
        <v>10443</v>
      </c>
      <c r="C524" t="s">
        <v>74</v>
      </c>
      <c r="D524" t="s">
        <v>74</v>
      </c>
      <c r="E524" t="s">
        <v>74</v>
      </c>
      <c r="F524" t="s">
        <v>10444</v>
      </c>
      <c r="G524" t="s">
        <v>74</v>
      </c>
      <c r="H524" t="s">
        <v>74</v>
      </c>
      <c r="I524" t="s">
        <v>10445</v>
      </c>
      <c r="J524" t="s">
        <v>4995</v>
      </c>
      <c r="K524" t="s">
        <v>74</v>
      </c>
      <c r="L524" t="s">
        <v>74</v>
      </c>
      <c r="M524" t="s">
        <v>78</v>
      </c>
      <c r="N524" t="s">
        <v>108</v>
      </c>
      <c r="O524" t="s">
        <v>74</v>
      </c>
      <c r="P524" t="s">
        <v>74</v>
      </c>
      <c r="Q524" t="s">
        <v>74</v>
      </c>
      <c r="R524" t="s">
        <v>74</v>
      </c>
      <c r="S524" t="s">
        <v>74</v>
      </c>
      <c r="T524" t="s">
        <v>10446</v>
      </c>
      <c r="U524" t="s">
        <v>10447</v>
      </c>
      <c r="V524" t="s">
        <v>10448</v>
      </c>
      <c r="W524" t="s">
        <v>10449</v>
      </c>
      <c r="X524" t="s">
        <v>10450</v>
      </c>
      <c r="Y524" t="s">
        <v>10451</v>
      </c>
      <c r="Z524" t="s">
        <v>10452</v>
      </c>
      <c r="AA524" t="s">
        <v>74</v>
      </c>
      <c r="AB524" t="s">
        <v>74</v>
      </c>
      <c r="AC524" t="s">
        <v>10453</v>
      </c>
      <c r="AD524" t="s">
        <v>10454</v>
      </c>
      <c r="AE524" t="s">
        <v>10455</v>
      </c>
      <c r="AF524" t="s">
        <v>74</v>
      </c>
      <c r="AG524">
        <v>38</v>
      </c>
      <c r="AH524">
        <v>26</v>
      </c>
      <c r="AI524">
        <v>30</v>
      </c>
      <c r="AJ524">
        <v>1</v>
      </c>
      <c r="AK524">
        <v>34</v>
      </c>
      <c r="AL524" t="s">
        <v>154</v>
      </c>
      <c r="AM524" t="s">
        <v>4016</v>
      </c>
      <c r="AN524" t="s">
        <v>4040</v>
      </c>
      <c r="AO524" t="s">
        <v>5007</v>
      </c>
      <c r="AP524" t="s">
        <v>5008</v>
      </c>
      <c r="AQ524" t="s">
        <v>74</v>
      </c>
      <c r="AR524" t="s">
        <v>5009</v>
      </c>
      <c r="AS524" t="s">
        <v>5010</v>
      </c>
      <c r="AT524" t="s">
        <v>7543</v>
      </c>
      <c r="AU524">
        <v>2019</v>
      </c>
      <c r="AV524">
        <v>53</v>
      </c>
      <c r="AW524" t="s">
        <v>10456</v>
      </c>
      <c r="AX524" t="s">
        <v>74</v>
      </c>
      <c r="AY524" t="s">
        <v>74</v>
      </c>
      <c r="AZ524" t="s">
        <v>74</v>
      </c>
      <c r="BA524" t="s">
        <v>74</v>
      </c>
      <c r="BB524">
        <v>237</v>
      </c>
      <c r="BC524">
        <v>244</v>
      </c>
      <c r="BD524" t="s">
        <v>74</v>
      </c>
      <c r="BE524" t="s">
        <v>10457</v>
      </c>
      <c r="BF524" t="str">
        <f>HYPERLINK("http://dx.doi.org/10.1007/s00382-018-4579-3","http://dx.doi.org/10.1007/s00382-018-4579-3")</f>
        <v>http://dx.doi.org/10.1007/s00382-018-4579-3</v>
      </c>
      <c r="BG524" t="s">
        <v>74</v>
      </c>
      <c r="BH524" t="s">
        <v>74</v>
      </c>
      <c r="BI524">
        <v>8</v>
      </c>
      <c r="BJ524" t="s">
        <v>259</v>
      </c>
      <c r="BK524" t="s">
        <v>101</v>
      </c>
      <c r="BL524" t="s">
        <v>259</v>
      </c>
      <c r="BM524" t="s">
        <v>10458</v>
      </c>
      <c r="BN524" t="s">
        <v>74</v>
      </c>
      <c r="BO524" t="s">
        <v>74</v>
      </c>
      <c r="BP524" t="s">
        <v>74</v>
      </c>
      <c r="BQ524" t="s">
        <v>74</v>
      </c>
      <c r="BR524" t="s">
        <v>103</v>
      </c>
      <c r="BS524" t="s">
        <v>10459</v>
      </c>
      <c r="BT524" t="str">
        <f>HYPERLINK("https%3A%2F%2Fwww.webofscience.com%2Fwos%2Fwoscc%2Ffull-record%2FWOS:000471722400014","View Full Record in Web of Science")</f>
        <v>View Full Record in Web of Science</v>
      </c>
    </row>
    <row r="525" spans="1:72" x14ac:dyDescent="0.15">
      <c r="A525" t="s">
        <v>72</v>
      </c>
      <c r="B525" t="s">
        <v>10460</v>
      </c>
      <c r="C525" t="s">
        <v>74</v>
      </c>
      <c r="D525" t="s">
        <v>74</v>
      </c>
      <c r="E525" t="s">
        <v>74</v>
      </c>
      <c r="F525" t="s">
        <v>10461</v>
      </c>
      <c r="G525" t="s">
        <v>74</v>
      </c>
      <c r="H525" t="s">
        <v>74</v>
      </c>
      <c r="I525" t="s">
        <v>10462</v>
      </c>
      <c r="J525" t="s">
        <v>4995</v>
      </c>
      <c r="K525" t="s">
        <v>74</v>
      </c>
      <c r="L525" t="s">
        <v>74</v>
      </c>
      <c r="M525" t="s">
        <v>78</v>
      </c>
      <c r="N525" t="s">
        <v>108</v>
      </c>
      <c r="O525" t="s">
        <v>74</v>
      </c>
      <c r="P525" t="s">
        <v>74</v>
      </c>
      <c r="Q525" t="s">
        <v>74</v>
      </c>
      <c r="R525" t="s">
        <v>74</v>
      </c>
      <c r="S525" t="s">
        <v>74</v>
      </c>
      <c r="T525" t="s">
        <v>10463</v>
      </c>
      <c r="U525" t="s">
        <v>10464</v>
      </c>
      <c r="V525" t="s">
        <v>10465</v>
      </c>
      <c r="W525" t="s">
        <v>10466</v>
      </c>
      <c r="X525" t="s">
        <v>10467</v>
      </c>
      <c r="Y525" t="s">
        <v>10468</v>
      </c>
      <c r="Z525" t="s">
        <v>10469</v>
      </c>
      <c r="AA525" t="s">
        <v>74</v>
      </c>
      <c r="AB525" t="s">
        <v>10470</v>
      </c>
      <c r="AC525" t="s">
        <v>10471</v>
      </c>
      <c r="AD525" t="s">
        <v>10472</v>
      </c>
      <c r="AE525" t="s">
        <v>10473</v>
      </c>
      <c r="AF525" t="s">
        <v>74</v>
      </c>
      <c r="AG525">
        <v>49</v>
      </c>
      <c r="AH525">
        <v>1</v>
      </c>
      <c r="AI525">
        <v>1</v>
      </c>
      <c r="AJ525">
        <v>0</v>
      </c>
      <c r="AK525">
        <v>7</v>
      </c>
      <c r="AL525" t="s">
        <v>154</v>
      </c>
      <c r="AM525" t="s">
        <v>4016</v>
      </c>
      <c r="AN525" t="s">
        <v>4040</v>
      </c>
      <c r="AO525" t="s">
        <v>5007</v>
      </c>
      <c r="AP525" t="s">
        <v>5008</v>
      </c>
      <c r="AQ525" t="s">
        <v>74</v>
      </c>
      <c r="AR525" t="s">
        <v>5009</v>
      </c>
      <c r="AS525" t="s">
        <v>5010</v>
      </c>
      <c r="AT525" t="s">
        <v>7543</v>
      </c>
      <c r="AU525">
        <v>2019</v>
      </c>
      <c r="AV525">
        <v>53</v>
      </c>
      <c r="AW525" t="s">
        <v>10456</v>
      </c>
      <c r="AX525" t="s">
        <v>74</v>
      </c>
      <c r="AY525" t="s">
        <v>74</v>
      </c>
      <c r="AZ525" t="s">
        <v>74</v>
      </c>
      <c r="BA525" t="s">
        <v>74</v>
      </c>
      <c r="BB525">
        <v>441</v>
      </c>
      <c r="BC525">
        <v>452</v>
      </c>
      <c r="BD525" t="s">
        <v>74</v>
      </c>
      <c r="BE525" t="s">
        <v>10474</v>
      </c>
      <c r="BF525" t="str">
        <f>HYPERLINK("http://dx.doi.org/10.1007/s00382-018-4593-5","http://dx.doi.org/10.1007/s00382-018-4593-5")</f>
        <v>http://dx.doi.org/10.1007/s00382-018-4593-5</v>
      </c>
      <c r="BG525" t="s">
        <v>74</v>
      </c>
      <c r="BH525" t="s">
        <v>74</v>
      </c>
      <c r="BI525">
        <v>12</v>
      </c>
      <c r="BJ525" t="s">
        <v>259</v>
      </c>
      <c r="BK525" t="s">
        <v>101</v>
      </c>
      <c r="BL525" t="s">
        <v>259</v>
      </c>
      <c r="BM525" t="s">
        <v>10458</v>
      </c>
      <c r="BN525" t="s">
        <v>74</v>
      </c>
      <c r="BO525" t="s">
        <v>74</v>
      </c>
      <c r="BP525" t="s">
        <v>74</v>
      </c>
      <c r="BQ525" t="s">
        <v>74</v>
      </c>
      <c r="BR525" t="s">
        <v>103</v>
      </c>
      <c r="BS525" t="s">
        <v>10475</v>
      </c>
      <c r="BT525" t="str">
        <f>HYPERLINK("https%3A%2F%2Fwww.webofscience.com%2Fwos%2Fwoscc%2Ffull-record%2FWOS:000471722400026","View Full Record in Web of Science")</f>
        <v>View Full Record in Web of Science</v>
      </c>
    </row>
    <row r="526" spans="1:72" x14ac:dyDescent="0.15">
      <c r="A526" t="s">
        <v>72</v>
      </c>
      <c r="B526" t="s">
        <v>10476</v>
      </c>
      <c r="C526" t="s">
        <v>74</v>
      </c>
      <c r="D526" t="s">
        <v>74</v>
      </c>
      <c r="E526" t="s">
        <v>74</v>
      </c>
      <c r="F526" t="s">
        <v>10477</v>
      </c>
      <c r="G526" t="s">
        <v>74</v>
      </c>
      <c r="H526" t="s">
        <v>74</v>
      </c>
      <c r="I526" t="s">
        <v>10478</v>
      </c>
      <c r="J526" t="s">
        <v>4995</v>
      </c>
      <c r="K526" t="s">
        <v>74</v>
      </c>
      <c r="L526" t="s">
        <v>74</v>
      </c>
      <c r="M526" t="s">
        <v>78</v>
      </c>
      <c r="N526" t="s">
        <v>108</v>
      </c>
      <c r="O526" t="s">
        <v>74</v>
      </c>
      <c r="P526" t="s">
        <v>74</v>
      </c>
      <c r="Q526" t="s">
        <v>74</v>
      </c>
      <c r="R526" t="s">
        <v>74</v>
      </c>
      <c r="S526" t="s">
        <v>74</v>
      </c>
      <c r="T526" t="s">
        <v>10479</v>
      </c>
      <c r="U526" t="s">
        <v>10480</v>
      </c>
      <c r="V526" t="s">
        <v>10481</v>
      </c>
      <c r="W526" t="s">
        <v>10482</v>
      </c>
      <c r="X526" t="s">
        <v>10483</v>
      </c>
      <c r="Y526" t="s">
        <v>10484</v>
      </c>
      <c r="Z526" t="s">
        <v>10485</v>
      </c>
      <c r="AA526" t="s">
        <v>10486</v>
      </c>
      <c r="AB526" t="s">
        <v>10487</v>
      </c>
      <c r="AC526" t="s">
        <v>10488</v>
      </c>
      <c r="AD526" t="s">
        <v>152</v>
      </c>
      <c r="AE526" t="s">
        <v>10489</v>
      </c>
      <c r="AF526" t="s">
        <v>74</v>
      </c>
      <c r="AG526">
        <v>81</v>
      </c>
      <c r="AH526">
        <v>9</v>
      </c>
      <c r="AI526">
        <v>10</v>
      </c>
      <c r="AJ526">
        <v>0</v>
      </c>
      <c r="AK526">
        <v>16</v>
      </c>
      <c r="AL526" t="s">
        <v>154</v>
      </c>
      <c r="AM526" t="s">
        <v>4016</v>
      </c>
      <c r="AN526" t="s">
        <v>4040</v>
      </c>
      <c r="AO526" t="s">
        <v>5007</v>
      </c>
      <c r="AP526" t="s">
        <v>5008</v>
      </c>
      <c r="AQ526" t="s">
        <v>74</v>
      </c>
      <c r="AR526" t="s">
        <v>5009</v>
      </c>
      <c r="AS526" t="s">
        <v>5010</v>
      </c>
      <c r="AT526" t="s">
        <v>7543</v>
      </c>
      <c r="AU526">
        <v>2019</v>
      </c>
      <c r="AV526">
        <v>53</v>
      </c>
      <c r="AW526" t="s">
        <v>10456</v>
      </c>
      <c r="AX526" t="s">
        <v>74</v>
      </c>
      <c r="AY526" t="s">
        <v>74</v>
      </c>
      <c r="AZ526" t="s">
        <v>74</v>
      </c>
      <c r="BA526" t="s">
        <v>74</v>
      </c>
      <c r="BB526">
        <v>569</v>
      </c>
      <c r="BC526">
        <v>583</v>
      </c>
      <c r="BD526" t="s">
        <v>74</v>
      </c>
      <c r="BE526" t="s">
        <v>10490</v>
      </c>
      <c r="BF526" t="str">
        <f>HYPERLINK("http://dx.doi.org/10.1007/s00382-018-04602-2","http://dx.doi.org/10.1007/s00382-018-04602-2")</f>
        <v>http://dx.doi.org/10.1007/s00382-018-04602-2</v>
      </c>
      <c r="BG526" t="s">
        <v>74</v>
      </c>
      <c r="BH526" t="s">
        <v>74</v>
      </c>
      <c r="BI526">
        <v>15</v>
      </c>
      <c r="BJ526" t="s">
        <v>259</v>
      </c>
      <c r="BK526" t="s">
        <v>101</v>
      </c>
      <c r="BL526" t="s">
        <v>259</v>
      </c>
      <c r="BM526" t="s">
        <v>10458</v>
      </c>
      <c r="BN526" t="s">
        <v>74</v>
      </c>
      <c r="BO526" t="s">
        <v>74</v>
      </c>
      <c r="BP526" t="s">
        <v>74</v>
      </c>
      <c r="BQ526" t="s">
        <v>74</v>
      </c>
      <c r="BR526" t="s">
        <v>103</v>
      </c>
      <c r="BS526" t="s">
        <v>10491</v>
      </c>
      <c r="BT526" t="str">
        <f>HYPERLINK("https%3A%2F%2Fwww.webofscience.com%2Fwos%2Fwoscc%2Ffull-record%2FWOS:000471722400034","View Full Record in Web of Science")</f>
        <v>View Full Record in Web of Science</v>
      </c>
    </row>
    <row r="527" spans="1:72" x14ac:dyDescent="0.15">
      <c r="A527" t="s">
        <v>72</v>
      </c>
      <c r="B527" t="s">
        <v>10492</v>
      </c>
      <c r="C527" t="s">
        <v>74</v>
      </c>
      <c r="D527" t="s">
        <v>74</v>
      </c>
      <c r="E527" t="s">
        <v>74</v>
      </c>
      <c r="F527" t="s">
        <v>10493</v>
      </c>
      <c r="G527" t="s">
        <v>74</v>
      </c>
      <c r="H527" t="s">
        <v>74</v>
      </c>
      <c r="I527" t="s">
        <v>10494</v>
      </c>
      <c r="J527" t="s">
        <v>4995</v>
      </c>
      <c r="K527" t="s">
        <v>74</v>
      </c>
      <c r="L527" t="s">
        <v>74</v>
      </c>
      <c r="M527" t="s">
        <v>78</v>
      </c>
      <c r="N527" t="s">
        <v>108</v>
      </c>
      <c r="O527" t="s">
        <v>74</v>
      </c>
      <c r="P527" t="s">
        <v>74</v>
      </c>
      <c r="Q527" t="s">
        <v>74</v>
      </c>
      <c r="R527" t="s">
        <v>74</v>
      </c>
      <c r="S527" t="s">
        <v>74</v>
      </c>
      <c r="T527" t="s">
        <v>10495</v>
      </c>
      <c r="U527" t="s">
        <v>10496</v>
      </c>
      <c r="V527" t="s">
        <v>10497</v>
      </c>
      <c r="W527" t="s">
        <v>10498</v>
      </c>
      <c r="X527" t="s">
        <v>10499</v>
      </c>
      <c r="Y527" t="s">
        <v>10500</v>
      </c>
      <c r="Z527" t="s">
        <v>10501</v>
      </c>
      <c r="AA527" t="s">
        <v>10502</v>
      </c>
      <c r="AB527" t="s">
        <v>10503</v>
      </c>
      <c r="AC527" t="s">
        <v>10504</v>
      </c>
      <c r="AD527" t="s">
        <v>9488</v>
      </c>
      <c r="AE527" t="s">
        <v>10505</v>
      </c>
      <c r="AF527" t="s">
        <v>74</v>
      </c>
      <c r="AG527">
        <v>76</v>
      </c>
      <c r="AH527">
        <v>22</v>
      </c>
      <c r="AI527">
        <v>26</v>
      </c>
      <c r="AJ527">
        <v>9</v>
      </c>
      <c r="AK527">
        <v>41</v>
      </c>
      <c r="AL527" t="s">
        <v>154</v>
      </c>
      <c r="AM527" t="s">
        <v>4016</v>
      </c>
      <c r="AN527" t="s">
        <v>4040</v>
      </c>
      <c r="AO527" t="s">
        <v>5007</v>
      </c>
      <c r="AP527" t="s">
        <v>5008</v>
      </c>
      <c r="AQ527" t="s">
        <v>74</v>
      </c>
      <c r="AR527" t="s">
        <v>5009</v>
      </c>
      <c r="AS527" t="s">
        <v>5010</v>
      </c>
      <c r="AT527" t="s">
        <v>7543</v>
      </c>
      <c r="AU527">
        <v>2019</v>
      </c>
      <c r="AV527">
        <v>53</v>
      </c>
      <c r="AW527" t="s">
        <v>10456</v>
      </c>
      <c r="AX527" t="s">
        <v>74</v>
      </c>
      <c r="AY527" t="s">
        <v>74</v>
      </c>
      <c r="AZ527" t="s">
        <v>74</v>
      </c>
      <c r="BA527" t="s">
        <v>74</v>
      </c>
      <c r="BB527">
        <v>687</v>
      </c>
      <c r="BC527">
        <v>705</v>
      </c>
      <c r="BD527" t="s">
        <v>74</v>
      </c>
      <c r="BE527" t="s">
        <v>10506</v>
      </c>
      <c r="BF527" t="str">
        <f>HYPERLINK("http://dx.doi.org/10.1007/s00382-018-04608-w","http://dx.doi.org/10.1007/s00382-018-04608-w")</f>
        <v>http://dx.doi.org/10.1007/s00382-018-04608-w</v>
      </c>
      <c r="BG527" t="s">
        <v>74</v>
      </c>
      <c r="BH527" t="s">
        <v>74</v>
      </c>
      <c r="BI527">
        <v>19</v>
      </c>
      <c r="BJ527" t="s">
        <v>259</v>
      </c>
      <c r="BK527" t="s">
        <v>101</v>
      </c>
      <c r="BL527" t="s">
        <v>259</v>
      </c>
      <c r="BM527" t="s">
        <v>10458</v>
      </c>
      <c r="BN527" t="s">
        <v>74</v>
      </c>
      <c r="BO527" t="s">
        <v>74</v>
      </c>
      <c r="BP527" t="s">
        <v>74</v>
      </c>
      <c r="BQ527" t="s">
        <v>74</v>
      </c>
      <c r="BR527" t="s">
        <v>103</v>
      </c>
      <c r="BS527" t="s">
        <v>10507</v>
      </c>
      <c r="BT527" t="str">
        <f>HYPERLINK("https%3A%2F%2Fwww.webofscience.com%2Fwos%2Fwoscc%2Ffull-record%2FWOS:000471722400041","View Full Record in Web of Science")</f>
        <v>View Full Record in Web of Science</v>
      </c>
    </row>
    <row r="528" spans="1:72" x14ac:dyDescent="0.15">
      <c r="A528" t="s">
        <v>72</v>
      </c>
      <c r="B528" t="s">
        <v>10508</v>
      </c>
      <c r="C528" t="s">
        <v>74</v>
      </c>
      <c r="D528" t="s">
        <v>74</v>
      </c>
      <c r="E528" t="s">
        <v>74</v>
      </c>
      <c r="F528" t="s">
        <v>10509</v>
      </c>
      <c r="G528" t="s">
        <v>74</v>
      </c>
      <c r="H528" t="s">
        <v>74</v>
      </c>
      <c r="I528" t="s">
        <v>10510</v>
      </c>
      <c r="J528" t="s">
        <v>10511</v>
      </c>
      <c r="K528" t="s">
        <v>74</v>
      </c>
      <c r="L528" t="s">
        <v>74</v>
      </c>
      <c r="M528" t="s">
        <v>78</v>
      </c>
      <c r="N528" t="s">
        <v>108</v>
      </c>
      <c r="O528" t="s">
        <v>74</v>
      </c>
      <c r="P528" t="s">
        <v>74</v>
      </c>
      <c r="Q528" t="s">
        <v>74</v>
      </c>
      <c r="R528" t="s">
        <v>74</v>
      </c>
      <c r="S528" t="s">
        <v>74</v>
      </c>
      <c r="T528" t="s">
        <v>10512</v>
      </c>
      <c r="U528" t="s">
        <v>10513</v>
      </c>
      <c r="V528" t="s">
        <v>10514</v>
      </c>
      <c r="W528" t="s">
        <v>10515</v>
      </c>
      <c r="X528" t="s">
        <v>10516</v>
      </c>
      <c r="Y528" t="s">
        <v>10517</v>
      </c>
      <c r="Z528" t="s">
        <v>10518</v>
      </c>
      <c r="AA528" t="s">
        <v>10519</v>
      </c>
      <c r="AB528" t="s">
        <v>10520</v>
      </c>
      <c r="AC528" t="s">
        <v>10521</v>
      </c>
      <c r="AD528" t="s">
        <v>10522</v>
      </c>
      <c r="AE528" t="s">
        <v>10523</v>
      </c>
      <c r="AF528" t="s">
        <v>74</v>
      </c>
      <c r="AG528">
        <v>39</v>
      </c>
      <c r="AH528">
        <v>17</v>
      </c>
      <c r="AI528">
        <v>19</v>
      </c>
      <c r="AJ528">
        <v>2</v>
      </c>
      <c r="AK528">
        <v>48</v>
      </c>
      <c r="AL528" t="s">
        <v>154</v>
      </c>
      <c r="AM528" t="s">
        <v>4016</v>
      </c>
      <c r="AN528" t="s">
        <v>4017</v>
      </c>
      <c r="AO528" t="s">
        <v>10524</v>
      </c>
      <c r="AP528" t="s">
        <v>10525</v>
      </c>
      <c r="AQ528" t="s">
        <v>74</v>
      </c>
      <c r="AR528" t="s">
        <v>10526</v>
      </c>
      <c r="AS528" t="s">
        <v>10527</v>
      </c>
      <c r="AT528" t="s">
        <v>7543</v>
      </c>
      <c r="AU528">
        <v>2019</v>
      </c>
      <c r="AV528">
        <v>103</v>
      </c>
      <c r="AW528">
        <v>13</v>
      </c>
      <c r="AX528" t="s">
        <v>74</v>
      </c>
      <c r="AY528" t="s">
        <v>74</v>
      </c>
      <c r="AZ528" t="s">
        <v>74</v>
      </c>
      <c r="BA528" t="s">
        <v>74</v>
      </c>
      <c r="BB528">
        <v>5231</v>
      </c>
      <c r="BC528">
        <v>5241</v>
      </c>
      <c r="BD528" t="s">
        <v>74</v>
      </c>
      <c r="BE528" t="s">
        <v>10528</v>
      </c>
      <c r="BF528" t="str">
        <f>HYPERLINK("http://dx.doi.org/10.1007/s00253-019-09803-1","http://dx.doi.org/10.1007/s00253-019-09803-1")</f>
        <v>http://dx.doi.org/10.1007/s00253-019-09803-1</v>
      </c>
      <c r="BG528" t="s">
        <v>74</v>
      </c>
      <c r="BH528" t="s">
        <v>74</v>
      </c>
      <c r="BI528">
        <v>11</v>
      </c>
      <c r="BJ528" t="s">
        <v>1826</v>
      </c>
      <c r="BK528" t="s">
        <v>101</v>
      </c>
      <c r="BL528" t="s">
        <v>1826</v>
      </c>
      <c r="BM528" t="s">
        <v>10529</v>
      </c>
      <c r="BN528">
        <v>31028436</v>
      </c>
      <c r="BO528" t="s">
        <v>74</v>
      </c>
      <c r="BP528" t="s">
        <v>74</v>
      </c>
      <c r="BQ528" t="s">
        <v>74</v>
      </c>
      <c r="BR528" t="s">
        <v>103</v>
      </c>
      <c r="BS528" t="s">
        <v>10530</v>
      </c>
      <c r="BT528" t="str">
        <f>HYPERLINK("https%3A%2F%2Fwww.webofscience.com%2Fwos%2Fwoscc%2Ffull-record%2FWOS:000471713400013","View Full Record in Web of Science")</f>
        <v>View Full Record in Web of Science</v>
      </c>
    </row>
    <row r="529" spans="1:72" x14ac:dyDescent="0.15">
      <c r="A529" t="s">
        <v>72</v>
      </c>
      <c r="B529" t="s">
        <v>10531</v>
      </c>
      <c r="C529" t="s">
        <v>74</v>
      </c>
      <c r="D529" t="s">
        <v>74</v>
      </c>
      <c r="E529" t="s">
        <v>74</v>
      </c>
      <c r="F529" t="s">
        <v>10532</v>
      </c>
      <c r="G529" t="s">
        <v>74</v>
      </c>
      <c r="H529" t="s">
        <v>74</v>
      </c>
      <c r="I529" t="s">
        <v>10533</v>
      </c>
      <c r="J529" t="s">
        <v>10511</v>
      </c>
      <c r="K529" t="s">
        <v>74</v>
      </c>
      <c r="L529" t="s">
        <v>74</v>
      </c>
      <c r="M529" t="s">
        <v>78</v>
      </c>
      <c r="N529" t="s">
        <v>108</v>
      </c>
      <c r="O529" t="s">
        <v>74</v>
      </c>
      <c r="P529" t="s">
        <v>74</v>
      </c>
      <c r="Q529" t="s">
        <v>74</v>
      </c>
      <c r="R529" t="s">
        <v>74</v>
      </c>
      <c r="S529" t="s">
        <v>74</v>
      </c>
      <c r="T529" t="s">
        <v>10534</v>
      </c>
      <c r="U529" t="s">
        <v>10535</v>
      </c>
      <c r="V529" t="s">
        <v>10536</v>
      </c>
      <c r="W529" t="s">
        <v>10537</v>
      </c>
      <c r="X529" t="s">
        <v>10538</v>
      </c>
      <c r="Y529" t="s">
        <v>10539</v>
      </c>
      <c r="Z529" t="s">
        <v>10540</v>
      </c>
      <c r="AA529" t="s">
        <v>74</v>
      </c>
      <c r="AB529" t="s">
        <v>10541</v>
      </c>
      <c r="AC529" t="s">
        <v>10542</v>
      </c>
      <c r="AD529" t="s">
        <v>10543</v>
      </c>
      <c r="AE529" t="s">
        <v>10544</v>
      </c>
      <c r="AF529" t="s">
        <v>74</v>
      </c>
      <c r="AG529">
        <v>28</v>
      </c>
      <c r="AH529">
        <v>25</v>
      </c>
      <c r="AI529">
        <v>31</v>
      </c>
      <c r="AJ529">
        <v>3</v>
      </c>
      <c r="AK529">
        <v>75</v>
      </c>
      <c r="AL529" t="s">
        <v>154</v>
      </c>
      <c r="AM529" t="s">
        <v>4016</v>
      </c>
      <c r="AN529" t="s">
        <v>4017</v>
      </c>
      <c r="AO529" t="s">
        <v>10524</v>
      </c>
      <c r="AP529" t="s">
        <v>10525</v>
      </c>
      <c r="AQ529" t="s">
        <v>74</v>
      </c>
      <c r="AR529" t="s">
        <v>10526</v>
      </c>
      <c r="AS529" t="s">
        <v>10527</v>
      </c>
      <c r="AT529" t="s">
        <v>7543</v>
      </c>
      <c r="AU529">
        <v>2019</v>
      </c>
      <c r="AV529">
        <v>103</v>
      </c>
      <c r="AW529">
        <v>13</v>
      </c>
      <c r="AX529" t="s">
        <v>74</v>
      </c>
      <c r="AY529" t="s">
        <v>74</v>
      </c>
      <c r="AZ529" t="s">
        <v>74</v>
      </c>
      <c r="BA529" t="s">
        <v>74</v>
      </c>
      <c r="BB529">
        <v>5367</v>
      </c>
      <c r="BC529">
        <v>5377</v>
      </c>
      <c r="BD529" t="s">
        <v>74</v>
      </c>
      <c r="BE529" t="s">
        <v>10545</v>
      </c>
      <c r="BF529" t="str">
        <f>HYPERLINK("http://dx.doi.org/10.1007/s00253-019-09792-1","http://dx.doi.org/10.1007/s00253-019-09792-1")</f>
        <v>http://dx.doi.org/10.1007/s00253-019-09792-1</v>
      </c>
      <c r="BG529" t="s">
        <v>74</v>
      </c>
      <c r="BH529" t="s">
        <v>74</v>
      </c>
      <c r="BI529">
        <v>11</v>
      </c>
      <c r="BJ529" t="s">
        <v>1826</v>
      </c>
      <c r="BK529" t="s">
        <v>101</v>
      </c>
      <c r="BL529" t="s">
        <v>1826</v>
      </c>
      <c r="BM529" t="s">
        <v>10529</v>
      </c>
      <c r="BN529">
        <v>31053917</v>
      </c>
      <c r="BO529" t="s">
        <v>74</v>
      </c>
      <c r="BP529" t="s">
        <v>74</v>
      </c>
      <c r="BQ529" t="s">
        <v>74</v>
      </c>
      <c r="BR529" t="s">
        <v>103</v>
      </c>
      <c r="BS529" t="s">
        <v>10546</v>
      </c>
      <c r="BT529" t="str">
        <f>HYPERLINK("https%3A%2F%2Fwww.webofscience.com%2Fwos%2Fwoscc%2Ffull-record%2FWOS:000471713400023","View Full Record in Web of Science")</f>
        <v>View Full Record in Web of Science</v>
      </c>
    </row>
    <row r="530" spans="1:72" x14ac:dyDescent="0.15">
      <c r="A530" t="s">
        <v>72</v>
      </c>
      <c r="B530" t="s">
        <v>10547</v>
      </c>
      <c r="C530" t="s">
        <v>74</v>
      </c>
      <c r="D530" t="s">
        <v>74</v>
      </c>
      <c r="E530" t="s">
        <v>74</v>
      </c>
      <c r="F530" t="s">
        <v>10548</v>
      </c>
      <c r="G530" t="s">
        <v>74</v>
      </c>
      <c r="H530" t="s">
        <v>74</v>
      </c>
      <c r="I530" t="s">
        <v>10549</v>
      </c>
      <c r="J530" t="s">
        <v>10550</v>
      </c>
      <c r="K530" t="s">
        <v>74</v>
      </c>
      <c r="L530" t="s">
        <v>74</v>
      </c>
      <c r="M530" t="s">
        <v>78</v>
      </c>
      <c r="N530" t="s">
        <v>108</v>
      </c>
      <c r="O530" t="s">
        <v>74</v>
      </c>
      <c r="P530" t="s">
        <v>74</v>
      </c>
      <c r="Q530" t="s">
        <v>74</v>
      </c>
      <c r="R530" t="s">
        <v>74</v>
      </c>
      <c r="S530" t="s">
        <v>74</v>
      </c>
      <c r="T530" t="s">
        <v>10551</v>
      </c>
      <c r="U530" t="s">
        <v>10552</v>
      </c>
      <c r="V530" t="s">
        <v>10553</v>
      </c>
      <c r="W530" t="s">
        <v>10554</v>
      </c>
      <c r="X530" t="s">
        <v>10555</v>
      </c>
      <c r="Y530" t="s">
        <v>10556</v>
      </c>
      <c r="Z530" t="s">
        <v>10557</v>
      </c>
      <c r="AA530" t="s">
        <v>10558</v>
      </c>
      <c r="AB530" t="s">
        <v>10559</v>
      </c>
      <c r="AC530" t="s">
        <v>10560</v>
      </c>
      <c r="AD530" t="s">
        <v>8999</v>
      </c>
      <c r="AE530" t="s">
        <v>10561</v>
      </c>
      <c r="AF530" t="s">
        <v>74</v>
      </c>
      <c r="AG530">
        <v>70</v>
      </c>
      <c r="AH530">
        <v>20</v>
      </c>
      <c r="AI530">
        <v>21</v>
      </c>
      <c r="AJ530">
        <v>7</v>
      </c>
      <c r="AK530">
        <v>42</v>
      </c>
      <c r="AL530" t="s">
        <v>1819</v>
      </c>
      <c r="AM530" t="s">
        <v>657</v>
      </c>
      <c r="AN530" t="s">
        <v>1820</v>
      </c>
      <c r="AO530" t="s">
        <v>74</v>
      </c>
      <c r="AP530" t="s">
        <v>10562</v>
      </c>
      <c r="AQ530" t="s">
        <v>74</v>
      </c>
      <c r="AR530" t="s">
        <v>10563</v>
      </c>
      <c r="AS530" t="s">
        <v>10564</v>
      </c>
      <c r="AT530" t="s">
        <v>8453</v>
      </c>
      <c r="AU530">
        <v>2019</v>
      </c>
      <c r="AV530">
        <v>19</v>
      </c>
      <c r="AW530" t="s">
        <v>74</v>
      </c>
      <c r="AX530" t="s">
        <v>74</v>
      </c>
      <c r="AY530" t="s">
        <v>74</v>
      </c>
      <c r="AZ530" t="s">
        <v>74</v>
      </c>
      <c r="BA530" t="s">
        <v>74</v>
      </c>
      <c r="BB530" t="s">
        <v>74</v>
      </c>
      <c r="BC530" t="s">
        <v>74</v>
      </c>
      <c r="BD530">
        <v>27</v>
      </c>
      <c r="BE530" t="s">
        <v>10565</v>
      </c>
      <c r="BF530" t="str">
        <f>HYPERLINK("http://dx.doi.org/10.1186/s12898-019-0244-x","http://dx.doi.org/10.1186/s12898-019-0244-x")</f>
        <v>http://dx.doi.org/10.1186/s12898-019-0244-x</v>
      </c>
      <c r="BG530" t="s">
        <v>74</v>
      </c>
      <c r="BH530" t="s">
        <v>74</v>
      </c>
      <c r="BI530">
        <v>14</v>
      </c>
      <c r="BJ530" t="s">
        <v>1150</v>
      </c>
      <c r="BK530" t="s">
        <v>101</v>
      </c>
      <c r="BL530" t="s">
        <v>799</v>
      </c>
      <c r="BM530" t="s">
        <v>10566</v>
      </c>
      <c r="BN530">
        <v>31262299</v>
      </c>
      <c r="BO530" t="s">
        <v>3939</v>
      </c>
      <c r="BP530" t="s">
        <v>74</v>
      </c>
      <c r="BQ530" t="s">
        <v>74</v>
      </c>
      <c r="BR530" t="s">
        <v>103</v>
      </c>
      <c r="BS530" t="s">
        <v>10567</v>
      </c>
      <c r="BT530" t="str">
        <f>HYPERLINK("https%3A%2F%2Fwww.webofscience.com%2Fwos%2Fwoscc%2Ffull-record%2FWOS:000474354200001","View Full Record in Web of Science")</f>
        <v>View Full Record in Web of Science</v>
      </c>
    </row>
    <row r="531" spans="1:72" x14ac:dyDescent="0.15">
      <c r="A531" t="s">
        <v>72</v>
      </c>
      <c r="B531" t="s">
        <v>10568</v>
      </c>
      <c r="C531" t="s">
        <v>74</v>
      </c>
      <c r="D531" t="s">
        <v>74</v>
      </c>
      <c r="E531" t="s">
        <v>74</v>
      </c>
      <c r="F531" t="s">
        <v>10569</v>
      </c>
      <c r="G531" t="s">
        <v>74</v>
      </c>
      <c r="H531" t="s">
        <v>74</v>
      </c>
      <c r="I531" t="s">
        <v>10570</v>
      </c>
      <c r="J531" t="s">
        <v>10571</v>
      </c>
      <c r="K531" t="s">
        <v>74</v>
      </c>
      <c r="L531" t="s">
        <v>74</v>
      </c>
      <c r="M531" t="s">
        <v>78</v>
      </c>
      <c r="N531" t="s">
        <v>108</v>
      </c>
      <c r="O531" t="s">
        <v>74</v>
      </c>
      <c r="P531" t="s">
        <v>74</v>
      </c>
      <c r="Q531" t="s">
        <v>74</v>
      </c>
      <c r="R531" t="s">
        <v>74</v>
      </c>
      <c r="S531" t="s">
        <v>74</v>
      </c>
      <c r="T531" t="s">
        <v>74</v>
      </c>
      <c r="U531" t="s">
        <v>10572</v>
      </c>
      <c r="V531" t="s">
        <v>10573</v>
      </c>
      <c r="W531" t="s">
        <v>10574</v>
      </c>
      <c r="X531" t="s">
        <v>10575</v>
      </c>
      <c r="Y531" t="s">
        <v>10576</v>
      </c>
      <c r="Z531" t="s">
        <v>10577</v>
      </c>
      <c r="AA531" t="s">
        <v>10578</v>
      </c>
      <c r="AB531" t="s">
        <v>10579</v>
      </c>
      <c r="AC531" t="s">
        <v>10580</v>
      </c>
      <c r="AD531" t="s">
        <v>10580</v>
      </c>
      <c r="AE531" t="s">
        <v>10581</v>
      </c>
      <c r="AF531" t="s">
        <v>74</v>
      </c>
      <c r="AG531">
        <v>49</v>
      </c>
      <c r="AH531">
        <v>9</v>
      </c>
      <c r="AI531">
        <v>9</v>
      </c>
      <c r="AJ531">
        <v>0</v>
      </c>
      <c r="AK531">
        <v>7</v>
      </c>
      <c r="AL531" t="s">
        <v>1407</v>
      </c>
      <c r="AM531" t="s">
        <v>1408</v>
      </c>
      <c r="AN531" t="s">
        <v>1409</v>
      </c>
      <c r="AO531" t="s">
        <v>10582</v>
      </c>
      <c r="AP531" t="s">
        <v>10583</v>
      </c>
      <c r="AQ531" t="s">
        <v>74</v>
      </c>
      <c r="AR531" t="s">
        <v>10584</v>
      </c>
      <c r="AS531" t="s">
        <v>10585</v>
      </c>
      <c r="AT531" t="s">
        <v>8124</v>
      </c>
      <c r="AU531">
        <v>2019</v>
      </c>
      <c r="AV531">
        <v>45</v>
      </c>
      <c r="AW531" t="s">
        <v>5011</v>
      </c>
      <c r="AX531" t="s">
        <v>74</v>
      </c>
      <c r="AY531" t="s">
        <v>74</v>
      </c>
      <c r="AZ531" t="s">
        <v>730</v>
      </c>
      <c r="BA531" t="s">
        <v>74</v>
      </c>
      <c r="BB531">
        <v>350</v>
      </c>
      <c r="BC531">
        <v>367</v>
      </c>
      <c r="BD531" t="s">
        <v>74</v>
      </c>
      <c r="BE531" t="s">
        <v>10586</v>
      </c>
      <c r="BF531" t="str">
        <f>HYPERLINK("http://dx.doi.org/10.1080/07038992.2019.1632177","http://dx.doi.org/10.1080/07038992.2019.1632177")</f>
        <v>http://dx.doi.org/10.1080/07038992.2019.1632177</v>
      </c>
      <c r="BG531" t="s">
        <v>74</v>
      </c>
      <c r="BH531" t="s">
        <v>6119</v>
      </c>
      <c r="BI531">
        <v>18</v>
      </c>
      <c r="BJ531" t="s">
        <v>10587</v>
      </c>
      <c r="BK531" t="s">
        <v>101</v>
      </c>
      <c r="BL531" t="s">
        <v>10587</v>
      </c>
      <c r="BM531" t="s">
        <v>10588</v>
      </c>
      <c r="BN531" t="s">
        <v>74</v>
      </c>
      <c r="BO531" t="s">
        <v>74</v>
      </c>
      <c r="BP531" t="s">
        <v>74</v>
      </c>
      <c r="BQ531" t="s">
        <v>74</v>
      </c>
      <c r="BR531" t="s">
        <v>103</v>
      </c>
      <c r="BS531" t="s">
        <v>10589</v>
      </c>
      <c r="BT531" t="str">
        <f>HYPERLINK("https%3A%2F%2Fwww.webofscience.com%2Fwos%2Fwoscc%2Ffull-record%2FWOS:000474241700001","View Full Record in Web of Science")</f>
        <v>View Full Record in Web of Science</v>
      </c>
    </row>
    <row r="532" spans="1:72" x14ac:dyDescent="0.15">
      <c r="A532" t="s">
        <v>72</v>
      </c>
      <c r="B532" t="s">
        <v>10590</v>
      </c>
      <c r="C532" t="s">
        <v>74</v>
      </c>
      <c r="D532" t="s">
        <v>74</v>
      </c>
      <c r="E532" t="s">
        <v>74</v>
      </c>
      <c r="F532" t="s">
        <v>10591</v>
      </c>
      <c r="G532" t="s">
        <v>74</v>
      </c>
      <c r="H532" t="s">
        <v>74</v>
      </c>
      <c r="I532" t="s">
        <v>10592</v>
      </c>
      <c r="J532" t="s">
        <v>3787</v>
      </c>
      <c r="K532" t="s">
        <v>74</v>
      </c>
      <c r="L532" t="s">
        <v>74</v>
      </c>
      <c r="M532" t="s">
        <v>78</v>
      </c>
      <c r="N532" t="s">
        <v>108</v>
      </c>
      <c r="O532" t="s">
        <v>74</v>
      </c>
      <c r="P532" t="s">
        <v>74</v>
      </c>
      <c r="Q532" t="s">
        <v>74</v>
      </c>
      <c r="R532" t="s">
        <v>74</v>
      </c>
      <c r="S532" t="s">
        <v>74</v>
      </c>
      <c r="T532" t="s">
        <v>10593</v>
      </c>
      <c r="U532" t="s">
        <v>10594</v>
      </c>
      <c r="V532" t="s">
        <v>10595</v>
      </c>
      <c r="W532" t="s">
        <v>10596</v>
      </c>
      <c r="X532" t="s">
        <v>10597</v>
      </c>
      <c r="Y532" t="s">
        <v>10598</v>
      </c>
      <c r="Z532" t="s">
        <v>10599</v>
      </c>
      <c r="AA532" t="s">
        <v>74</v>
      </c>
      <c r="AB532" t="s">
        <v>10600</v>
      </c>
      <c r="AC532" t="s">
        <v>10601</v>
      </c>
      <c r="AD532" t="s">
        <v>10601</v>
      </c>
      <c r="AE532" t="s">
        <v>10602</v>
      </c>
      <c r="AF532" t="s">
        <v>74</v>
      </c>
      <c r="AG532">
        <v>33</v>
      </c>
      <c r="AH532">
        <v>10</v>
      </c>
      <c r="AI532">
        <v>12</v>
      </c>
      <c r="AJ532">
        <v>3</v>
      </c>
      <c r="AK532">
        <v>28</v>
      </c>
      <c r="AL532" t="s">
        <v>3615</v>
      </c>
      <c r="AM532" t="s">
        <v>3616</v>
      </c>
      <c r="AN532" t="s">
        <v>3617</v>
      </c>
      <c r="AO532" t="s">
        <v>74</v>
      </c>
      <c r="AP532" t="s">
        <v>3799</v>
      </c>
      <c r="AQ532" t="s">
        <v>74</v>
      </c>
      <c r="AR532" t="s">
        <v>3787</v>
      </c>
      <c r="AS532" t="s">
        <v>3800</v>
      </c>
      <c r="AT532" t="s">
        <v>7543</v>
      </c>
      <c r="AU532">
        <v>2019</v>
      </c>
      <c r="AV532">
        <v>11</v>
      </c>
      <c r="AW532">
        <v>7</v>
      </c>
      <c r="AX532" t="s">
        <v>74</v>
      </c>
      <c r="AY532" t="s">
        <v>74</v>
      </c>
      <c r="AZ532" t="s">
        <v>74</v>
      </c>
      <c r="BA532" t="s">
        <v>74</v>
      </c>
      <c r="BB532" t="s">
        <v>74</v>
      </c>
      <c r="BC532" t="s">
        <v>74</v>
      </c>
      <c r="BD532">
        <v>105</v>
      </c>
      <c r="BE532" t="s">
        <v>10603</v>
      </c>
      <c r="BF532" t="str">
        <f>HYPERLINK("http://dx.doi.org/10.3390/d11070105","http://dx.doi.org/10.3390/d11070105")</f>
        <v>http://dx.doi.org/10.3390/d11070105</v>
      </c>
      <c r="BG532" t="s">
        <v>74</v>
      </c>
      <c r="BH532" t="s">
        <v>74</v>
      </c>
      <c r="BI532">
        <v>15</v>
      </c>
      <c r="BJ532" t="s">
        <v>3802</v>
      </c>
      <c r="BK532" t="s">
        <v>101</v>
      </c>
      <c r="BL532" t="s">
        <v>1646</v>
      </c>
      <c r="BM532" t="s">
        <v>10604</v>
      </c>
      <c r="BN532" t="s">
        <v>74</v>
      </c>
      <c r="BO532" t="s">
        <v>2565</v>
      </c>
      <c r="BP532" t="s">
        <v>74</v>
      </c>
      <c r="BQ532" t="s">
        <v>74</v>
      </c>
      <c r="BR532" t="s">
        <v>103</v>
      </c>
      <c r="BS532" t="s">
        <v>10605</v>
      </c>
      <c r="BT532" t="str">
        <f>HYPERLINK("https%3A%2F%2Fwww.webofscience.com%2Fwos%2Fwoscc%2Ffull-record%2FWOS:000481532700014","View Full Record in Web of Science")</f>
        <v>View Full Record in Web of Science</v>
      </c>
    </row>
    <row r="533" spans="1:72" x14ac:dyDescent="0.15">
      <c r="A533" t="s">
        <v>72</v>
      </c>
      <c r="B533" t="s">
        <v>10606</v>
      </c>
      <c r="C533" t="s">
        <v>74</v>
      </c>
      <c r="D533" t="s">
        <v>74</v>
      </c>
      <c r="E533" t="s">
        <v>74</v>
      </c>
      <c r="F533" t="s">
        <v>10607</v>
      </c>
      <c r="G533" t="s">
        <v>74</v>
      </c>
      <c r="H533" t="s">
        <v>74</v>
      </c>
      <c r="I533" t="s">
        <v>10608</v>
      </c>
      <c r="J533" t="s">
        <v>5910</v>
      </c>
      <c r="K533" t="s">
        <v>74</v>
      </c>
      <c r="L533" t="s">
        <v>74</v>
      </c>
      <c r="M533" t="s">
        <v>78</v>
      </c>
      <c r="N533" t="s">
        <v>108</v>
      </c>
      <c r="O533" t="s">
        <v>74</v>
      </c>
      <c r="P533" t="s">
        <v>74</v>
      </c>
      <c r="Q533" t="s">
        <v>74</v>
      </c>
      <c r="R533" t="s">
        <v>74</v>
      </c>
      <c r="S533" t="s">
        <v>74</v>
      </c>
      <c r="T533" t="s">
        <v>10609</v>
      </c>
      <c r="U533" t="s">
        <v>10610</v>
      </c>
      <c r="V533" t="s">
        <v>10611</v>
      </c>
      <c r="W533" t="s">
        <v>10612</v>
      </c>
      <c r="X533" t="s">
        <v>10613</v>
      </c>
      <c r="Y533" t="s">
        <v>10614</v>
      </c>
      <c r="Z533" t="s">
        <v>10615</v>
      </c>
      <c r="AA533" t="s">
        <v>10616</v>
      </c>
      <c r="AB533" t="s">
        <v>10617</v>
      </c>
      <c r="AC533" t="s">
        <v>10618</v>
      </c>
      <c r="AD533" t="s">
        <v>10619</v>
      </c>
      <c r="AE533" t="s">
        <v>10620</v>
      </c>
      <c r="AF533" t="s">
        <v>74</v>
      </c>
      <c r="AG533">
        <v>61</v>
      </c>
      <c r="AH533">
        <v>44</v>
      </c>
      <c r="AI533">
        <v>47</v>
      </c>
      <c r="AJ533">
        <v>4</v>
      </c>
      <c r="AK533">
        <v>54</v>
      </c>
      <c r="AL533" t="s">
        <v>438</v>
      </c>
      <c r="AM533" t="s">
        <v>439</v>
      </c>
      <c r="AN533" t="s">
        <v>440</v>
      </c>
      <c r="AO533" t="s">
        <v>5923</v>
      </c>
      <c r="AP533" t="s">
        <v>5924</v>
      </c>
      <c r="AQ533" t="s">
        <v>74</v>
      </c>
      <c r="AR533" t="s">
        <v>5925</v>
      </c>
      <c r="AS533" t="s">
        <v>5926</v>
      </c>
      <c r="AT533" t="s">
        <v>7543</v>
      </c>
      <c r="AU533">
        <v>2019</v>
      </c>
      <c r="AV533">
        <v>102</v>
      </c>
      <c r="AW533" t="s">
        <v>74</v>
      </c>
      <c r="AX533" t="s">
        <v>74</v>
      </c>
      <c r="AY533" t="s">
        <v>74</v>
      </c>
      <c r="AZ533" t="s">
        <v>74</v>
      </c>
      <c r="BA533" t="s">
        <v>74</v>
      </c>
      <c r="BB533">
        <v>673</v>
      </c>
      <c r="BC533">
        <v>685</v>
      </c>
      <c r="BD533" t="s">
        <v>74</v>
      </c>
      <c r="BE533" t="s">
        <v>10621</v>
      </c>
      <c r="BF533" t="str">
        <f>HYPERLINK("http://dx.doi.org/10.1016/j.ecolind.2019.03.029","http://dx.doi.org/10.1016/j.ecolind.2019.03.029")</f>
        <v>http://dx.doi.org/10.1016/j.ecolind.2019.03.029</v>
      </c>
      <c r="BG533" t="s">
        <v>74</v>
      </c>
      <c r="BH533" t="s">
        <v>74</v>
      </c>
      <c r="BI533">
        <v>13</v>
      </c>
      <c r="BJ533" t="s">
        <v>5928</v>
      </c>
      <c r="BK533" t="s">
        <v>101</v>
      </c>
      <c r="BL533" t="s">
        <v>1646</v>
      </c>
      <c r="BM533" t="s">
        <v>10622</v>
      </c>
      <c r="BN533" t="s">
        <v>74</v>
      </c>
      <c r="BO533" t="s">
        <v>537</v>
      </c>
      <c r="BP533" t="s">
        <v>74</v>
      </c>
      <c r="BQ533" t="s">
        <v>74</v>
      </c>
      <c r="BR533" t="s">
        <v>103</v>
      </c>
      <c r="BS533" t="s">
        <v>10623</v>
      </c>
      <c r="BT533" t="str">
        <f>HYPERLINK("https%3A%2F%2Fwww.webofscience.com%2Fwos%2Fwoscc%2Ffull-record%2FWOS:000470964500067","View Full Record in Web of Science")</f>
        <v>View Full Record in Web of Science</v>
      </c>
    </row>
    <row r="534" spans="1:72" x14ac:dyDescent="0.15">
      <c r="A534" t="s">
        <v>72</v>
      </c>
      <c r="B534" t="s">
        <v>10624</v>
      </c>
      <c r="C534" t="s">
        <v>74</v>
      </c>
      <c r="D534" t="s">
        <v>74</v>
      </c>
      <c r="E534" t="s">
        <v>74</v>
      </c>
      <c r="F534" t="s">
        <v>10625</v>
      </c>
      <c r="G534" t="s">
        <v>74</v>
      </c>
      <c r="H534" t="s">
        <v>74</v>
      </c>
      <c r="I534" t="s">
        <v>10626</v>
      </c>
      <c r="J534" t="s">
        <v>10627</v>
      </c>
      <c r="K534" t="s">
        <v>74</v>
      </c>
      <c r="L534" t="s">
        <v>74</v>
      </c>
      <c r="M534" t="s">
        <v>78</v>
      </c>
      <c r="N534" t="s">
        <v>108</v>
      </c>
      <c r="O534" t="s">
        <v>74</v>
      </c>
      <c r="P534" t="s">
        <v>74</v>
      </c>
      <c r="Q534" t="s">
        <v>74</v>
      </c>
      <c r="R534" t="s">
        <v>74</v>
      </c>
      <c r="S534" t="s">
        <v>74</v>
      </c>
      <c r="T534" t="s">
        <v>10628</v>
      </c>
      <c r="U534" t="s">
        <v>10629</v>
      </c>
      <c r="V534" t="s">
        <v>10630</v>
      </c>
      <c r="W534" t="s">
        <v>10631</v>
      </c>
      <c r="X534" t="s">
        <v>10632</v>
      </c>
      <c r="Y534" t="s">
        <v>10633</v>
      </c>
      <c r="Z534" t="s">
        <v>10634</v>
      </c>
      <c r="AA534" t="s">
        <v>10635</v>
      </c>
      <c r="AB534" t="s">
        <v>10636</v>
      </c>
      <c r="AC534" t="s">
        <v>10637</v>
      </c>
      <c r="AD534" t="s">
        <v>10638</v>
      </c>
      <c r="AE534" t="s">
        <v>10639</v>
      </c>
      <c r="AF534" t="s">
        <v>74</v>
      </c>
      <c r="AG534">
        <v>72</v>
      </c>
      <c r="AH534">
        <v>25</v>
      </c>
      <c r="AI534">
        <v>25</v>
      </c>
      <c r="AJ534">
        <v>3</v>
      </c>
      <c r="AK534">
        <v>6</v>
      </c>
      <c r="AL534" t="s">
        <v>1687</v>
      </c>
      <c r="AM534" t="s">
        <v>1688</v>
      </c>
      <c r="AN534" t="s">
        <v>1689</v>
      </c>
      <c r="AO534" t="s">
        <v>10640</v>
      </c>
      <c r="AP534" t="s">
        <v>74</v>
      </c>
      <c r="AQ534" t="s">
        <v>74</v>
      </c>
      <c r="AR534" t="s">
        <v>10641</v>
      </c>
      <c r="AS534" t="s">
        <v>10642</v>
      </c>
      <c r="AT534" t="s">
        <v>7543</v>
      </c>
      <c r="AU534">
        <v>2019</v>
      </c>
      <c r="AV534">
        <v>1</v>
      </c>
      <c r="AW534">
        <v>7</v>
      </c>
      <c r="AX534" t="s">
        <v>74</v>
      </c>
      <c r="AY534" t="s">
        <v>74</v>
      </c>
      <c r="AZ534" t="s">
        <v>74</v>
      </c>
      <c r="BA534" t="s">
        <v>74</v>
      </c>
      <c r="BB534" t="s">
        <v>74</v>
      </c>
      <c r="BC534" t="s">
        <v>74</v>
      </c>
      <c r="BD534">
        <v>71001</v>
      </c>
      <c r="BE534" t="s">
        <v>10643</v>
      </c>
      <c r="BF534" t="str">
        <f>HYPERLINK("http://dx.doi.org/10.1088/2515-7620/ab2ec6","http://dx.doi.org/10.1088/2515-7620/ab2ec6")</f>
        <v>http://dx.doi.org/10.1088/2515-7620/ab2ec6</v>
      </c>
      <c r="BG534" t="s">
        <v>74</v>
      </c>
      <c r="BH534" t="s">
        <v>74</v>
      </c>
      <c r="BI534">
        <v>11</v>
      </c>
      <c r="BJ534" t="s">
        <v>797</v>
      </c>
      <c r="BK534" t="s">
        <v>101</v>
      </c>
      <c r="BL534" t="s">
        <v>799</v>
      </c>
      <c r="BM534" t="s">
        <v>10644</v>
      </c>
      <c r="BN534" t="s">
        <v>74</v>
      </c>
      <c r="BO534" t="s">
        <v>366</v>
      </c>
      <c r="BP534" t="s">
        <v>74</v>
      </c>
      <c r="BQ534" t="s">
        <v>74</v>
      </c>
      <c r="BR534" t="s">
        <v>103</v>
      </c>
      <c r="BS534" t="s">
        <v>10645</v>
      </c>
      <c r="BT534" t="str">
        <f>HYPERLINK("https%3A%2F%2Fwww.webofscience.com%2Fwos%2Fwoscc%2Ffull-record%2FWOS:000577538400001","View Full Record in Web of Science")</f>
        <v>View Full Record in Web of Science</v>
      </c>
    </row>
    <row r="535" spans="1:72" x14ac:dyDescent="0.15">
      <c r="A535" t="s">
        <v>72</v>
      </c>
      <c r="B535" t="s">
        <v>10646</v>
      </c>
      <c r="C535" t="s">
        <v>74</v>
      </c>
      <c r="D535" t="s">
        <v>74</v>
      </c>
      <c r="E535" t="s">
        <v>74</v>
      </c>
      <c r="F535" t="s">
        <v>10647</v>
      </c>
      <c r="G535" t="s">
        <v>74</v>
      </c>
      <c r="H535" t="s">
        <v>74</v>
      </c>
      <c r="I535" t="s">
        <v>10648</v>
      </c>
      <c r="J535" t="s">
        <v>714</v>
      </c>
      <c r="K535" t="s">
        <v>74</v>
      </c>
      <c r="L535" t="s">
        <v>74</v>
      </c>
      <c r="M535" t="s">
        <v>78</v>
      </c>
      <c r="N535" t="s">
        <v>108</v>
      </c>
      <c r="O535" t="s">
        <v>74</v>
      </c>
      <c r="P535" t="s">
        <v>74</v>
      </c>
      <c r="Q535" t="s">
        <v>74</v>
      </c>
      <c r="R535" t="s">
        <v>74</v>
      </c>
      <c r="S535" t="s">
        <v>74</v>
      </c>
      <c r="T535" t="s">
        <v>10649</v>
      </c>
      <c r="U535" t="s">
        <v>10650</v>
      </c>
      <c r="V535" t="s">
        <v>10651</v>
      </c>
      <c r="W535" t="s">
        <v>10652</v>
      </c>
      <c r="X535" t="s">
        <v>10653</v>
      </c>
      <c r="Y535" t="s">
        <v>10654</v>
      </c>
      <c r="Z535" t="s">
        <v>10655</v>
      </c>
      <c r="AA535" t="s">
        <v>10656</v>
      </c>
      <c r="AB535" t="s">
        <v>10657</v>
      </c>
      <c r="AC535" t="s">
        <v>10658</v>
      </c>
      <c r="AD535" t="s">
        <v>10659</v>
      </c>
      <c r="AE535" t="s">
        <v>10660</v>
      </c>
      <c r="AF535" t="s">
        <v>74</v>
      </c>
      <c r="AG535">
        <v>45</v>
      </c>
      <c r="AH535">
        <v>11</v>
      </c>
      <c r="AI535">
        <v>12</v>
      </c>
      <c r="AJ535">
        <v>0</v>
      </c>
      <c r="AK535">
        <v>32</v>
      </c>
      <c r="AL535" t="s">
        <v>638</v>
      </c>
      <c r="AM535" t="s">
        <v>439</v>
      </c>
      <c r="AN535" t="s">
        <v>639</v>
      </c>
      <c r="AO535" t="s">
        <v>726</v>
      </c>
      <c r="AP535" t="s">
        <v>727</v>
      </c>
      <c r="AQ535" t="s">
        <v>74</v>
      </c>
      <c r="AR535" t="s">
        <v>728</v>
      </c>
      <c r="AS535" t="s">
        <v>729</v>
      </c>
      <c r="AT535" t="s">
        <v>7543</v>
      </c>
      <c r="AU535">
        <v>2019</v>
      </c>
      <c r="AV535">
        <v>215</v>
      </c>
      <c r="AW535" t="s">
        <v>74</v>
      </c>
      <c r="AX535" t="s">
        <v>74</v>
      </c>
      <c r="AY535" t="s">
        <v>74</v>
      </c>
      <c r="AZ535" t="s">
        <v>74</v>
      </c>
      <c r="BA535" t="s">
        <v>74</v>
      </c>
      <c r="BB535">
        <v>1</v>
      </c>
      <c r="BC535">
        <v>8</v>
      </c>
      <c r="BD535" t="s">
        <v>74</v>
      </c>
      <c r="BE535" t="s">
        <v>10661</v>
      </c>
      <c r="BF535" t="str">
        <f>HYPERLINK("http://dx.doi.org/10.1016/j.fishres.2019.02.011","http://dx.doi.org/10.1016/j.fishres.2019.02.011")</f>
        <v>http://dx.doi.org/10.1016/j.fishres.2019.02.011</v>
      </c>
      <c r="BG535" t="s">
        <v>74</v>
      </c>
      <c r="BH535" t="s">
        <v>74</v>
      </c>
      <c r="BI535">
        <v>8</v>
      </c>
      <c r="BJ535" t="s">
        <v>732</v>
      </c>
      <c r="BK535" t="s">
        <v>101</v>
      </c>
      <c r="BL535" t="s">
        <v>732</v>
      </c>
      <c r="BM535" t="s">
        <v>10662</v>
      </c>
      <c r="BN535" t="s">
        <v>74</v>
      </c>
      <c r="BO535" t="s">
        <v>74</v>
      </c>
      <c r="BP535" t="s">
        <v>74</v>
      </c>
      <c r="BQ535" t="s">
        <v>74</v>
      </c>
      <c r="BR535" t="s">
        <v>103</v>
      </c>
      <c r="BS535" t="s">
        <v>10663</v>
      </c>
      <c r="BT535" t="str">
        <f>HYPERLINK("https%3A%2F%2Fwww.webofscience.com%2Fwos%2Fwoscc%2Ffull-record%2FWOS:000466824300001","View Full Record in Web of Science")</f>
        <v>View Full Record in Web of Science</v>
      </c>
    </row>
    <row r="536" spans="1:72" x14ac:dyDescent="0.15">
      <c r="A536" t="s">
        <v>72</v>
      </c>
      <c r="B536" t="s">
        <v>10664</v>
      </c>
      <c r="C536" t="s">
        <v>74</v>
      </c>
      <c r="D536" t="s">
        <v>74</v>
      </c>
      <c r="E536" t="s">
        <v>74</v>
      </c>
      <c r="F536" t="s">
        <v>10665</v>
      </c>
      <c r="G536" t="s">
        <v>74</v>
      </c>
      <c r="H536" t="s">
        <v>74</v>
      </c>
      <c r="I536" t="s">
        <v>10666</v>
      </c>
      <c r="J536" t="s">
        <v>10667</v>
      </c>
      <c r="K536" t="s">
        <v>74</v>
      </c>
      <c r="L536" t="s">
        <v>74</v>
      </c>
      <c r="M536" t="s">
        <v>78</v>
      </c>
      <c r="N536" t="s">
        <v>108</v>
      </c>
      <c r="O536" t="s">
        <v>74</v>
      </c>
      <c r="P536" t="s">
        <v>74</v>
      </c>
      <c r="Q536" t="s">
        <v>74</v>
      </c>
      <c r="R536" t="s">
        <v>74</v>
      </c>
      <c r="S536" t="s">
        <v>74</v>
      </c>
      <c r="T536" t="s">
        <v>74</v>
      </c>
      <c r="U536" t="s">
        <v>10668</v>
      </c>
      <c r="V536" t="s">
        <v>10669</v>
      </c>
      <c r="W536" t="s">
        <v>10670</v>
      </c>
      <c r="X536" t="s">
        <v>10671</v>
      </c>
      <c r="Y536" t="s">
        <v>10672</v>
      </c>
      <c r="Z536" t="s">
        <v>10673</v>
      </c>
      <c r="AA536" t="s">
        <v>10674</v>
      </c>
      <c r="AB536" t="s">
        <v>10675</v>
      </c>
      <c r="AC536" t="s">
        <v>10676</v>
      </c>
      <c r="AD536" t="s">
        <v>10677</v>
      </c>
      <c r="AE536" t="s">
        <v>10678</v>
      </c>
      <c r="AF536" t="s">
        <v>74</v>
      </c>
      <c r="AG536">
        <v>33</v>
      </c>
      <c r="AH536">
        <v>117</v>
      </c>
      <c r="AI536">
        <v>130</v>
      </c>
      <c r="AJ536">
        <v>1</v>
      </c>
      <c r="AK536">
        <v>31</v>
      </c>
      <c r="AL536" t="s">
        <v>182</v>
      </c>
      <c r="AM536" t="s">
        <v>183</v>
      </c>
      <c r="AN536" t="s">
        <v>184</v>
      </c>
      <c r="AO536" t="s">
        <v>74</v>
      </c>
      <c r="AP536" t="s">
        <v>10679</v>
      </c>
      <c r="AQ536" t="s">
        <v>74</v>
      </c>
      <c r="AR536" t="s">
        <v>10680</v>
      </c>
      <c r="AS536" t="s">
        <v>10681</v>
      </c>
      <c r="AT536" t="s">
        <v>7543</v>
      </c>
      <c r="AU536">
        <v>2019</v>
      </c>
      <c r="AV536">
        <v>20</v>
      </c>
      <c r="AW536">
        <v>7</v>
      </c>
      <c r="AX536" t="s">
        <v>74</v>
      </c>
      <c r="AY536" t="s">
        <v>74</v>
      </c>
      <c r="AZ536" t="s">
        <v>74</v>
      </c>
      <c r="BA536" t="s">
        <v>74</v>
      </c>
      <c r="BB536">
        <v>3774</v>
      </c>
      <c r="BC536">
        <v>3781</v>
      </c>
      <c r="BD536" t="s">
        <v>74</v>
      </c>
      <c r="BE536" t="s">
        <v>10682</v>
      </c>
      <c r="BF536" t="str">
        <f>HYPERLINK("http://dx.doi.org/10.1029/2019GC008392","http://dx.doi.org/10.1029/2019GC008392")</f>
        <v>http://dx.doi.org/10.1029/2019GC008392</v>
      </c>
      <c r="BG536" t="s">
        <v>74</v>
      </c>
      <c r="BH536" t="s">
        <v>74</v>
      </c>
      <c r="BI536">
        <v>8</v>
      </c>
      <c r="BJ536" t="s">
        <v>190</v>
      </c>
      <c r="BK536" t="s">
        <v>101</v>
      </c>
      <c r="BL536" t="s">
        <v>190</v>
      </c>
      <c r="BM536" t="s">
        <v>10683</v>
      </c>
      <c r="BN536" t="s">
        <v>74</v>
      </c>
      <c r="BO536" t="s">
        <v>261</v>
      </c>
      <c r="BP536" t="s">
        <v>74</v>
      </c>
      <c r="BQ536" t="s">
        <v>74</v>
      </c>
      <c r="BR536" t="s">
        <v>103</v>
      </c>
      <c r="BS536" t="s">
        <v>10684</v>
      </c>
      <c r="BT536" t="str">
        <f>HYPERLINK("https%3A%2F%2Fwww.webofscience.com%2Fwos%2Fwoscc%2Ffull-record%2FWOS:000480282600032","View Full Record in Web of Science")</f>
        <v>View Full Record in Web of Science</v>
      </c>
    </row>
    <row r="537" spans="1:72" x14ac:dyDescent="0.15">
      <c r="A537" t="s">
        <v>72</v>
      </c>
      <c r="B537" t="s">
        <v>10685</v>
      </c>
      <c r="C537" t="s">
        <v>74</v>
      </c>
      <c r="D537" t="s">
        <v>74</v>
      </c>
      <c r="E537" t="s">
        <v>74</v>
      </c>
      <c r="F537" t="s">
        <v>10686</v>
      </c>
      <c r="G537" t="s">
        <v>74</v>
      </c>
      <c r="H537" t="s">
        <v>74</v>
      </c>
      <c r="I537" t="s">
        <v>10687</v>
      </c>
      <c r="J537" t="s">
        <v>3750</v>
      </c>
      <c r="K537" t="s">
        <v>74</v>
      </c>
      <c r="L537" t="s">
        <v>74</v>
      </c>
      <c r="M537" t="s">
        <v>78</v>
      </c>
      <c r="N537" t="s">
        <v>108</v>
      </c>
      <c r="O537" t="s">
        <v>74</v>
      </c>
      <c r="P537" t="s">
        <v>74</v>
      </c>
      <c r="Q537" t="s">
        <v>74</v>
      </c>
      <c r="R537" t="s">
        <v>74</v>
      </c>
      <c r="S537" t="s">
        <v>74</v>
      </c>
      <c r="T537" t="s">
        <v>10688</v>
      </c>
      <c r="U537" t="s">
        <v>10689</v>
      </c>
      <c r="V537" t="s">
        <v>10690</v>
      </c>
      <c r="W537" t="s">
        <v>10691</v>
      </c>
      <c r="X537" t="s">
        <v>10692</v>
      </c>
      <c r="Y537" t="s">
        <v>10693</v>
      </c>
      <c r="Z537" t="s">
        <v>10694</v>
      </c>
      <c r="AA537" t="s">
        <v>10695</v>
      </c>
      <c r="AB537" t="s">
        <v>10696</v>
      </c>
      <c r="AC537" t="s">
        <v>10697</v>
      </c>
      <c r="AD537" t="s">
        <v>10698</v>
      </c>
      <c r="AE537" t="s">
        <v>10699</v>
      </c>
      <c r="AF537" t="s">
        <v>74</v>
      </c>
      <c r="AG537">
        <v>44</v>
      </c>
      <c r="AH537">
        <v>115</v>
      </c>
      <c r="AI537">
        <v>122</v>
      </c>
      <c r="AJ537">
        <v>1</v>
      </c>
      <c r="AK537">
        <v>15</v>
      </c>
      <c r="AL537" t="s">
        <v>3615</v>
      </c>
      <c r="AM537" t="s">
        <v>3616</v>
      </c>
      <c r="AN537" t="s">
        <v>3617</v>
      </c>
      <c r="AO537" t="s">
        <v>74</v>
      </c>
      <c r="AP537" t="s">
        <v>3763</v>
      </c>
      <c r="AQ537" t="s">
        <v>74</v>
      </c>
      <c r="AR537" t="s">
        <v>3750</v>
      </c>
      <c r="AS537" t="s">
        <v>3764</v>
      </c>
      <c r="AT537" t="s">
        <v>7543</v>
      </c>
      <c r="AU537">
        <v>2019</v>
      </c>
      <c r="AV537">
        <v>9</v>
      </c>
      <c r="AW537">
        <v>7</v>
      </c>
      <c r="AX537" t="s">
        <v>74</v>
      </c>
      <c r="AY537" t="s">
        <v>74</v>
      </c>
      <c r="AZ537" t="s">
        <v>74</v>
      </c>
      <c r="BA537" t="s">
        <v>74</v>
      </c>
      <c r="BB537" t="s">
        <v>74</v>
      </c>
      <c r="BC537" t="s">
        <v>74</v>
      </c>
      <c r="BD537">
        <v>289</v>
      </c>
      <c r="BE537" t="s">
        <v>10700</v>
      </c>
      <c r="BF537" t="str">
        <f>HYPERLINK("http://dx.doi.org/10.3390/geosciences9070289","http://dx.doi.org/10.3390/geosciences9070289")</f>
        <v>http://dx.doi.org/10.3390/geosciences9070289</v>
      </c>
      <c r="BG537" t="s">
        <v>74</v>
      </c>
      <c r="BH537" t="s">
        <v>74</v>
      </c>
      <c r="BI537">
        <v>17</v>
      </c>
      <c r="BJ537" t="s">
        <v>471</v>
      </c>
      <c r="BK537" t="s">
        <v>2978</v>
      </c>
      <c r="BL537" t="s">
        <v>472</v>
      </c>
      <c r="BM537" t="s">
        <v>9283</v>
      </c>
      <c r="BN537" t="s">
        <v>74</v>
      </c>
      <c r="BO537" t="s">
        <v>6187</v>
      </c>
      <c r="BP537" t="s">
        <v>74</v>
      </c>
      <c r="BQ537" t="s">
        <v>74</v>
      </c>
      <c r="BR537" t="s">
        <v>103</v>
      </c>
      <c r="BS537" t="s">
        <v>10701</v>
      </c>
      <c r="BT537" t="str">
        <f>HYPERLINK("https%3A%2F%2Fwww.webofscience.com%2Fwos%2Fwoscc%2Ffull-record%2FWOS:000479005300011","View Full Record in Web of Science")</f>
        <v>View Full Record in Web of Science</v>
      </c>
    </row>
    <row r="538" spans="1:72" x14ac:dyDescent="0.15">
      <c r="A538" t="s">
        <v>72</v>
      </c>
      <c r="B538" t="s">
        <v>10702</v>
      </c>
      <c r="C538" t="s">
        <v>74</v>
      </c>
      <c r="D538" t="s">
        <v>74</v>
      </c>
      <c r="E538" t="s">
        <v>74</v>
      </c>
      <c r="F538" t="s">
        <v>10703</v>
      </c>
      <c r="G538" t="s">
        <v>74</v>
      </c>
      <c r="H538" t="s">
        <v>74</v>
      </c>
      <c r="I538" t="s">
        <v>10704</v>
      </c>
      <c r="J538" t="s">
        <v>5732</v>
      </c>
      <c r="K538" t="s">
        <v>74</v>
      </c>
      <c r="L538" t="s">
        <v>74</v>
      </c>
      <c r="M538" t="s">
        <v>78</v>
      </c>
      <c r="N538" t="s">
        <v>108</v>
      </c>
      <c r="O538" t="s">
        <v>74</v>
      </c>
      <c r="P538" t="s">
        <v>74</v>
      </c>
      <c r="Q538" t="s">
        <v>74</v>
      </c>
      <c r="R538" t="s">
        <v>74</v>
      </c>
      <c r="S538" t="s">
        <v>74</v>
      </c>
      <c r="T538" t="s">
        <v>10705</v>
      </c>
      <c r="U538" t="s">
        <v>10706</v>
      </c>
      <c r="V538" t="s">
        <v>10707</v>
      </c>
      <c r="W538" t="s">
        <v>10708</v>
      </c>
      <c r="X538" t="s">
        <v>10709</v>
      </c>
      <c r="Y538" t="s">
        <v>10710</v>
      </c>
      <c r="Z538" t="s">
        <v>10711</v>
      </c>
      <c r="AA538" t="s">
        <v>10712</v>
      </c>
      <c r="AB538" t="s">
        <v>10713</v>
      </c>
      <c r="AC538" t="s">
        <v>10714</v>
      </c>
      <c r="AD538" t="s">
        <v>10715</v>
      </c>
      <c r="AE538" t="s">
        <v>10716</v>
      </c>
      <c r="AF538" t="s">
        <v>74</v>
      </c>
      <c r="AG538">
        <v>106</v>
      </c>
      <c r="AH538">
        <v>21</v>
      </c>
      <c r="AI538">
        <v>22</v>
      </c>
      <c r="AJ538">
        <v>3</v>
      </c>
      <c r="AK538">
        <v>17</v>
      </c>
      <c r="AL538" t="s">
        <v>438</v>
      </c>
      <c r="AM538" t="s">
        <v>439</v>
      </c>
      <c r="AN538" t="s">
        <v>440</v>
      </c>
      <c r="AO538" t="s">
        <v>5745</v>
      </c>
      <c r="AP538" t="s">
        <v>5746</v>
      </c>
      <c r="AQ538" t="s">
        <v>74</v>
      </c>
      <c r="AR538" t="s">
        <v>5747</v>
      </c>
      <c r="AS538" t="s">
        <v>5748</v>
      </c>
      <c r="AT538" t="s">
        <v>7543</v>
      </c>
      <c r="AU538">
        <v>2019</v>
      </c>
      <c r="AV538">
        <v>178</v>
      </c>
      <c r="AW538" t="s">
        <v>74</v>
      </c>
      <c r="AX538" t="s">
        <v>74</v>
      </c>
      <c r="AY538" t="s">
        <v>74</v>
      </c>
      <c r="AZ538" t="s">
        <v>74</v>
      </c>
      <c r="BA538" t="s">
        <v>74</v>
      </c>
      <c r="BB538">
        <v>46</v>
      </c>
      <c r="BC538">
        <v>64</v>
      </c>
      <c r="BD538" t="s">
        <v>74</v>
      </c>
      <c r="BE538" t="s">
        <v>10717</v>
      </c>
      <c r="BF538" t="str">
        <f>HYPERLINK("http://dx.doi.org/10.1016/j.gloplacha.2019.04.002","http://dx.doi.org/10.1016/j.gloplacha.2019.04.002")</f>
        <v>http://dx.doi.org/10.1016/j.gloplacha.2019.04.002</v>
      </c>
      <c r="BG538" t="s">
        <v>74</v>
      </c>
      <c r="BH538" t="s">
        <v>74</v>
      </c>
      <c r="BI538">
        <v>19</v>
      </c>
      <c r="BJ538" t="s">
        <v>310</v>
      </c>
      <c r="BK538" t="s">
        <v>101</v>
      </c>
      <c r="BL538" t="s">
        <v>311</v>
      </c>
      <c r="BM538" t="s">
        <v>10718</v>
      </c>
      <c r="BN538" t="s">
        <v>74</v>
      </c>
      <c r="BO538" t="s">
        <v>74</v>
      </c>
      <c r="BP538" t="s">
        <v>74</v>
      </c>
      <c r="BQ538" t="s">
        <v>74</v>
      </c>
      <c r="BR538" t="s">
        <v>103</v>
      </c>
      <c r="BS538" t="s">
        <v>10719</v>
      </c>
      <c r="BT538" t="str">
        <f>HYPERLINK("https%3A%2F%2Fwww.webofscience.com%2Fwos%2Fwoscc%2Ffull-record%2FWOS:000471734600004","View Full Record in Web of Science")</f>
        <v>View Full Record in Web of Science</v>
      </c>
    </row>
    <row r="539" spans="1:72" x14ac:dyDescent="0.15">
      <c r="A539" t="s">
        <v>72</v>
      </c>
      <c r="B539" t="s">
        <v>10720</v>
      </c>
      <c r="C539" t="s">
        <v>74</v>
      </c>
      <c r="D539" t="s">
        <v>74</v>
      </c>
      <c r="E539" t="s">
        <v>74</v>
      </c>
      <c r="F539" t="s">
        <v>10721</v>
      </c>
      <c r="G539" t="s">
        <v>74</v>
      </c>
      <c r="H539" t="s">
        <v>74</v>
      </c>
      <c r="I539" t="s">
        <v>10722</v>
      </c>
      <c r="J539" t="s">
        <v>1627</v>
      </c>
      <c r="K539" t="s">
        <v>74</v>
      </c>
      <c r="L539" t="s">
        <v>74</v>
      </c>
      <c r="M539" t="s">
        <v>78</v>
      </c>
      <c r="N539" t="s">
        <v>79</v>
      </c>
      <c r="O539" t="s">
        <v>74</v>
      </c>
      <c r="P539" t="s">
        <v>74</v>
      </c>
      <c r="Q539" t="s">
        <v>74</v>
      </c>
      <c r="R539" t="s">
        <v>74</v>
      </c>
      <c r="S539" t="s">
        <v>74</v>
      </c>
      <c r="T539" t="s">
        <v>10723</v>
      </c>
      <c r="U539" t="s">
        <v>10724</v>
      </c>
      <c r="V539" t="s">
        <v>10725</v>
      </c>
      <c r="W539" t="s">
        <v>10726</v>
      </c>
      <c r="X539" t="s">
        <v>10727</v>
      </c>
      <c r="Y539" t="s">
        <v>10728</v>
      </c>
      <c r="Z539" t="s">
        <v>10729</v>
      </c>
      <c r="AA539" t="s">
        <v>10730</v>
      </c>
      <c r="AB539" t="s">
        <v>10731</v>
      </c>
      <c r="AC539" t="s">
        <v>10732</v>
      </c>
      <c r="AD539" t="s">
        <v>10733</v>
      </c>
      <c r="AE539" t="s">
        <v>10734</v>
      </c>
      <c r="AF539" t="s">
        <v>74</v>
      </c>
      <c r="AG539">
        <v>163</v>
      </c>
      <c r="AH539">
        <v>80</v>
      </c>
      <c r="AI539">
        <v>83</v>
      </c>
      <c r="AJ539">
        <v>4</v>
      </c>
      <c r="AK539">
        <v>81</v>
      </c>
      <c r="AL539" t="s">
        <v>1140</v>
      </c>
      <c r="AM539" t="s">
        <v>1141</v>
      </c>
      <c r="AN539" t="s">
        <v>1142</v>
      </c>
      <c r="AO539" t="s">
        <v>1640</v>
      </c>
      <c r="AP539" t="s">
        <v>1641</v>
      </c>
      <c r="AQ539" t="s">
        <v>74</v>
      </c>
      <c r="AR539" t="s">
        <v>1642</v>
      </c>
      <c r="AS539" t="s">
        <v>1643</v>
      </c>
      <c r="AT539" t="s">
        <v>7543</v>
      </c>
      <c r="AU539">
        <v>2019</v>
      </c>
      <c r="AV539">
        <v>25</v>
      </c>
      <c r="AW539">
        <v>7</v>
      </c>
      <c r="AX539" t="s">
        <v>74</v>
      </c>
      <c r="AY539" t="s">
        <v>74</v>
      </c>
      <c r="AZ539" t="s">
        <v>74</v>
      </c>
      <c r="BA539" t="s">
        <v>74</v>
      </c>
      <c r="BB539">
        <v>2221</v>
      </c>
      <c r="BC539">
        <v>2241</v>
      </c>
      <c r="BD539" t="s">
        <v>74</v>
      </c>
      <c r="BE539" t="s">
        <v>10735</v>
      </c>
      <c r="BF539" t="str">
        <f>HYPERLINK("http://dx.doi.org/10.1111/gcb.14600","http://dx.doi.org/10.1111/gcb.14600")</f>
        <v>http://dx.doi.org/10.1111/gcb.14600</v>
      </c>
      <c r="BG539" t="s">
        <v>74</v>
      </c>
      <c r="BH539" t="s">
        <v>74</v>
      </c>
      <c r="BI539">
        <v>21</v>
      </c>
      <c r="BJ539" t="s">
        <v>1645</v>
      </c>
      <c r="BK539" t="s">
        <v>3718</v>
      </c>
      <c r="BL539" t="s">
        <v>1646</v>
      </c>
      <c r="BM539" t="s">
        <v>10736</v>
      </c>
      <c r="BN539">
        <v>31016829</v>
      </c>
      <c r="BO539" t="s">
        <v>2337</v>
      </c>
      <c r="BP539" t="s">
        <v>74</v>
      </c>
      <c r="BQ539" t="s">
        <v>74</v>
      </c>
      <c r="BR539" t="s">
        <v>103</v>
      </c>
      <c r="BS539" t="s">
        <v>10737</v>
      </c>
      <c r="BT539" t="str">
        <f>HYPERLINK("https%3A%2F%2Fwww.webofscience.com%2Fwos%2Fwoscc%2Ffull-record%2FWOS:000477087100005","View Full Record in Web of Science")</f>
        <v>View Full Record in Web of Science</v>
      </c>
    </row>
    <row r="540" spans="1:72" x14ac:dyDescent="0.15">
      <c r="A540" t="s">
        <v>72</v>
      </c>
      <c r="B540" t="s">
        <v>10738</v>
      </c>
      <c r="C540" t="s">
        <v>74</v>
      </c>
      <c r="D540" t="s">
        <v>74</v>
      </c>
      <c r="E540" t="s">
        <v>74</v>
      </c>
      <c r="F540" t="s">
        <v>10739</v>
      </c>
      <c r="G540" t="s">
        <v>74</v>
      </c>
      <c r="H540" t="s">
        <v>74</v>
      </c>
      <c r="I540" t="s">
        <v>10740</v>
      </c>
      <c r="J540" t="s">
        <v>10741</v>
      </c>
      <c r="K540" t="s">
        <v>74</v>
      </c>
      <c r="L540" t="s">
        <v>74</v>
      </c>
      <c r="M540" t="s">
        <v>78</v>
      </c>
      <c r="N540" t="s">
        <v>108</v>
      </c>
      <c r="O540" t="s">
        <v>74</v>
      </c>
      <c r="P540" t="s">
        <v>74</v>
      </c>
      <c r="Q540" t="s">
        <v>74</v>
      </c>
      <c r="R540" t="s">
        <v>74</v>
      </c>
      <c r="S540" t="s">
        <v>74</v>
      </c>
      <c r="T540" t="s">
        <v>10742</v>
      </c>
      <c r="U540" t="s">
        <v>10743</v>
      </c>
      <c r="V540" t="s">
        <v>10744</v>
      </c>
      <c r="W540" t="s">
        <v>10745</v>
      </c>
      <c r="X540" t="s">
        <v>10746</v>
      </c>
      <c r="Y540" t="s">
        <v>10556</v>
      </c>
      <c r="Z540" t="s">
        <v>10557</v>
      </c>
      <c r="AA540" t="s">
        <v>10747</v>
      </c>
      <c r="AB540" t="s">
        <v>10748</v>
      </c>
      <c r="AC540" t="s">
        <v>10749</v>
      </c>
      <c r="AD540" t="s">
        <v>10750</v>
      </c>
      <c r="AE540" t="s">
        <v>10751</v>
      </c>
      <c r="AF540" t="s">
        <v>74</v>
      </c>
      <c r="AG540">
        <v>43</v>
      </c>
      <c r="AH540">
        <v>81</v>
      </c>
      <c r="AI540">
        <v>85</v>
      </c>
      <c r="AJ540">
        <v>5</v>
      </c>
      <c r="AK540">
        <v>77</v>
      </c>
      <c r="AL540" t="s">
        <v>1140</v>
      </c>
      <c r="AM540" t="s">
        <v>1141</v>
      </c>
      <c r="AN540" t="s">
        <v>1142</v>
      </c>
      <c r="AO540" t="s">
        <v>10752</v>
      </c>
      <c r="AP540" t="s">
        <v>10753</v>
      </c>
      <c r="AQ540" t="s">
        <v>74</v>
      </c>
      <c r="AR540" t="s">
        <v>10754</v>
      </c>
      <c r="AS540" t="s">
        <v>10755</v>
      </c>
      <c r="AT540" t="s">
        <v>7543</v>
      </c>
      <c r="AU540">
        <v>2019</v>
      </c>
      <c r="AV540">
        <v>28</v>
      </c>
      <c r="AW540">
        <v>7</v>
      </c>
      <c r="AX540" t="s">
        <v>74</v>
      </c>
      <c r="AY540" t="s">
        <v>74</v>
      </c>
      <c r="AZ540" t="s">
        <v>74</v>
      </c>
      <c r="BA540" t="s">
        <v>74</v>
      </c>
      <c r="BB540">
        <v>1018</v>
      </c>
      <c r="BC540">
        <v>1037</v>
      </c>
      <c r="BD540" t="s">
        <v>74</v>
      </c>
      <c r="BE540" t="s">
        <v>10756</v>
      </c>
      <c r="BF540" t="str">
        <f>HYPERLINK("http://dx.doi.org/10.1111/geb.12911","http://dx.doi.org/10.1111/geb.12911")</f>
        <v>http://dx.doi.org/10.1111/geb.12911</v>
      </c>
      <c r="BG540" t="s">
        <v>74</v>
      </c>
      <c r="BH540" t="s">
        <v>74</v>
      </c>
      <c r="BI540">
        <v>20</v>
      </c>
      <c r="BJ540" t="s">
        <v>10757</v>
      </c>
      <c r="BK540" t="s">
        <v>101</v>
      </c>
      <c r="BL540" t="s">
        <v>10758</v>
      </c>
      <c r="BM540" t="s">
        <v>10759</v>
      </c>
      <c r="BN540" t="s">
        <v>74</v>
      </c>
      <c r="BO540" t="s">
        <v>74</v>
      </c>
      <c r="BP540" t="s">
        <v>74</v>
      </c>
      <c r="BQ540" t="s">
        <v>74</v>
      </c>
      <c r="BR540" t="s">
        <v>103</v>
      </c>
      <c r="BS540" t="s">
        <v>10760</v>
      </c>
      <c r="BT540" t="str">
        <f>HYPERLINK("https%3A%2F%2Fwww.webofscience.com%2Fwos%2Fwoscc%2Ffull-record%2FWOS:000471822300012","View Full Record in Web of Science")</f>
        <v>View Full Record in Web of Science</v>
      </c>
    </row>
    <row r="541" spans="1:72" x14ac:dyDescent="0.15">
      <c r="A541" t="s">
        <v>72</v>
      </c>
      <c r="B541" t="s">
        <v>10761</v>
      </c>
      <c r="C541" t="s">
        <v>74</v>
      </c>
      <c r="D541" t="s">
        <v>74</v>
      </c>
      <c r="E541" t="s">
        <v>74</v>
      </c>
      <c r="F541" t="s">
        <v>10762</v>
      </c>
      <c r="G541" t="s">
        <v>74</v>
      </c>
      <c r="H541" t="s">
        <v>74</v>
      </c>
      <c r="I541" t="s">
        <v>10763</v>
      </c>
      <c r="J541" t="s">
        <v>10764</v>
      </c>
      <c r="K541" t="s">
        <v>74</v>
      </c>
      <c r="L541" t="s">
        <v>74</v>
      </c>
      <c r="M541" t="s">
        <v>78</v>
      </c>
      <c r="N541" t="s">
        <v>108</v>
      </c>
      <c r="O541" t="s">
        <v>74</v>
      </c>
      <c r="P541" t="s">
        <v>74</v>
      </c>
      <c r="Q541" t="s">
        <v>74</v>
      </c>
      <c r="R541" t="s">
        <v>74</v>
      </c>
      <c r="S541" t="s">
        <v>74</v>
      </c>
      <c r="T541" t="s">
        <v>10765</v>
      </c>
      <c r="U541" t="s">
        <v>10766</v>
      </c>
      <c r="V541" t="s">
        <v>10767</v>
      </c>
      <c r="W541" t="s">
        <v>10768</v>
      </c>
      <c r="X541" t="s">
        <v>10769</v>
      </c>
      <c r="Y541" t="s">
        <v>10770</v>
      </c>
      <c r="Z541" t="s">
        <v>10771</v>
      </c>
      <c r="AA541" t="s">
        <v>10772</v>
      </c>
      <c r="AB541" t="s">
        <v>10773</v>
      </c>
      <c r="AC541" t="s">
        <v>10774</v>
      </c>
      <c r="AD541" t="s">
        <v>2329</v>
      </c>
      <c r="AE541" t="s">
        <v>10775</v>
      </c>
      <c r="AF541" t="s">
        <v>74</v>
      </c>
      <c r="AG541">
        <v>71</v>
      </c>
      <c r="AH541">
        <v>12</v>
      </c>
      <c r="AI541">
        <v>13</v>
      </c>
      <c r="AJ541">
        <v>2</v>
      </c>
      <c r="AK541">
        <v>13</v>
      </c>
      <c r="AL541" t="s">
        <v>1140</v>
      </c>
      <c r="AM541" t="s">
        <v>1141</v>
      </c>
      <c r="AN541" t="s">
        <v>1142</v>
      </c>
      <c r="AO541" t="s">
        <v>10776</v>
      </c>
      <c r="AP541" t="s">
        <v>10777</v>
      </c>
      <c r="AQ541" t="s">
        <v>74</v>
      </c>
      <c r="AR541" t="s">
        <v>10764</v>
      </c>
      <c r="AS541" t="s">
        <v>10778</v>
      </c>
      <c r="AT541" t="s">
        <v>7543</v>
      </c>
      <c r="AU541">
        <v>2019</v>
      </c>
      <c r="AV541">
        <v>161</v>
      </c>
      <c r="AW541">
        <v>3</v>
      </c>
      <c r="AX541" t="s">
        <v>74</v>
      </c>
      <c r="AY541" t="s">
        <v>74</v>
      </c>
      <c r="AZ541" t="s">
        <v>74</v>
      </c>
      <c r="BA541" t="s">
        <v>74</v>
      </c>
      <c r="BB541">
        <v>573</v>
      </c>
      <c r="BC541">
        <v>589</v>
      </c>
      <c r="BD541" t="s">
        <v>74</v>
      </c>
      <c r="BE541" t="s">
        <v>10779</v>
      </c>
      <c r="BF541" t="str">
        <f>HYPERLINK("http://dx.doi.org/10.1111/ibi.12650","http://dx.doi.org/10.1111/ibi.12650")</f>
        <v>http://dx.doi.org/10.1111/ibi.12650</v>
      </c>
      <c r="BG541" t="s">
        <v>74</v>
      </c>
      <c r="BH541" t="s">
        <v>74</v>
      </c>
      <c r="BI541">
        <v>17</v>
      </c>
      <c r="BJ541" t="s">
        <v>10780</v>
      </c>
      <c r="BK541" t="s">
        <v>101</v>
      </c>
      <c r="BL541" t="s">
        <v>1348</v>
      </c>
      <c r="BM541" t="s">
        <v>10781</v>
      </c>
      <c r="BN541" t="s">
        <v>74</v>
      </c>
      <c r="BO541" t="s">
        <v>6648</v>
      </c>
      <c r="BP541" t="s">
        <v>74</v>
      </c>
      <c r="BQ541" t="s">
        <v>74</v>
      </c>
      <c r="BR541" t="s">
        <v>103</v>
      </c>
      <c r="BS541" t="s">
        <v>10782</v>
      </c>
      <c r="BT541" t="str">
        <f>HYPERLINK("https%3A%2F%2Fwww.webofscience.com%2Fwos%2Fwoscc%2Ffull-record%2FWOS:000471132000008","View Full Record in Web of Science")</f>
        <v>View Full Record in Web of Science</v>
      </c>
    </row>
    <row r="542" spans="1:72" x14ac:dyDescent="0.15">
      <c r="A542" t="s">
        <v>72</v>
      </c>
      <c r="B542" t="s">
        <v>10783</v>
      </c>
      <c r="C542" t="s">
        <v>74</v>
      </c>
      <c r="D542" t="s">
        <v>74</v>
      </c>
      <c r="E542" t="s">
        <v>74</v>
      </c>
      <c r="F542" t="s">
        <v>10784</v>
      </c>
      <c r="G542" t="s">
        <v>74</v>
      </c>
      <c r="H542" t="s">
        <v>74</v>
      </c>
      <c r="I542" t="s">
        <v>10785</v>
      </c>
      <c r="J542" t="s">
        <v>10764</v>
      </c>
      <c r="K542" t="s">
        <v>74</v>
      </c>
      <c r="L542" t="s">
        <v>74</v>
      </c>
      <c r="M542" t="s">
        <v>78</v>
      </c>
      <c r="N542" t="s">
        <v>108</v>
      </c>
      <c r="O542" t="s">
        <v>74</v>
      </c>
      <c r="P542" t="s">
        <v>74</v>
      </c>
      <c r="Q542" t="s">
        <v>74</v>
      </c>
      <c r="R542" t="s">
        <v>74</v>
      </c>
      <c r="S542" t="s">
        <v>74</v>
      </c>
      <c r="T542" t="s">
        <v>10786</v>
      </c>
      <c r="U542" t="s">
        <v>10787</v>
      </c>
      <c r="V542" t="s">
        <v>10788</v>
      </c>
      <c r="W542" t="s">
        <v>10789</v>
      </c>
      <c r="X542" t="s">
        <v>10790</v>
      </c>
      <c r="Y542" t="s">
        <v>10791</v>
      </c>
      <c r="Z542" t="s">
        <v>10792</v>
      </c>
      <c r="AA542" t="s">
        <v>10793</v>
      </c>
      <c r="AB542" t="s">
        <v>10794</v>
      </c>
      <c r="AC542" t="s">
        <v>10795</v>
      </c>
      <c r="AD542" t="s">
        <v>10795</v>
      </c>
      <c r="AE542" t="s">
        <v>10796</v>
      </c>
      <c r="AF542" t="s">
        <v>74</v>
      </c>
      <c r="AG542">
        <v>111</v>
      </c>
      <c r="AH542">
        <v>34</v>
      </c>
      <c r="AI542">
        <v>40</v>
      </c>
      <c r="AJ542">
        <v>3</v>
      </c>
      <c r="AK542">
        <v>34</v>
      </c>
      <c r="AL542" t="s">
        <v>1140</v>
      </c>
      <c r="AM542" t="s">
        <v>1141</v>
      </c>
      <c r="AN542" t="s">
        <v>1142</v>
      </c>
      <c r="AO542" t="s">
        <v>10776</v>
      </c>
      <c r="AP542" t="s">
        <v>10777</v>
      </c>
      <c r="AQ542" t="s">
        <v>74</v>
      </c>
      <c r="AR542" t="s">
        <v>10764</v>
      </c>
      <c r="AS542" t="s">
        <v>10778</v>
      </c>
      <c r="AT542" t="s">
        <v>7543</v>
      </c>
      <c r="AU542">
        <v>2019</v>
      </c>
      <c r="AV542">
        <v>161</v>
      </c>
      <c r="AW542">
        <v>3</v>
      </c>
      <c r="AX542" t="s">
        <v>74</v>
      </c>
      <c r="AY542" t="s">
        <v>74</v>
      </c>
      <c r="AZ542" t="s">
        <v>74</v>
      </c>
      <c r="BA542" t="s">
        <v>74</v>
      </c>
      <c r="BB542">
        <v>648</v>
      </c>
      <c r="BC542">
        <v>661</v>
      </c>
      <c r="BD542" t="s">
        <v>74</v>
      </c>
      <c r="BE542" t="s">
        <v>10797</v>
      </c>
      <c r="BF542" t="str">
        <f>HYPERLINK("http://dx.doi.org/10.1111/ibi.12664","http://dx.doi.org/10.1111/ibi.12664")</f>
        <v>http://dx.doi.org/10.1111/ibi.12664</v>
      </c>
      <c r="BG542" t="s">
        <v>74</v>
      </c>
      <c r="BH542" t="s">
        <v>74</v>
      </c>
      <c r="BI542">
        <v>14</v>
      </c>
      <c r="BJ542" t="s">
        <v>10780</v>
      </c>
      <c r="BK542" t="s">
        <v>101</v>
      </c>
      <c r="BL542" t="s">
        <v>1348</v>
      </c>
      <c r="BM542" t="s">
        <v>10781</v>
      </c>
      <c r="BN542" t="s">
        <v>74</v>
      </c>
      <c r="BO542" t="s">
        <v>595</v>
      </c>
      <c r="BP542" t="s">
        <v>74</v>
      </c>
      <c r="BQ542" t="s">
        <v>74</v>
      </c>
      <c r="BR542" t="s">
        <v>103</v>
      </c>
      <c r="BS542" t="s">
        <v>10798</v>
      </c>
      <c r="BT542" t="str">
        <f>HYPERLINK("https%3A%2F%2Fwww.webofscience.com%2Fwos%2Fwoscc%2Ffull-record%2FWOS:000471132000013","View Full Record in Web of Science")</f>
        <v>View Full Record in Web of Science</v>
      </c>
    </row>
    <row r="543" spans="1:72" x14ac:dyDescent="0.15">
      <c r="A543" t="s">
        <v>72</v>
      </c>
      <c r="B543" t="s">
        <v>10799</v>
      </c>
      <c r="C543" t="s">
        <v>74</v>
      </c>
      <c r="D543" t="s">
        <v>74</v>
      </c>
      <c r="E543" t="s">
        <v>74</v>
      </c>
      <c r="F543" t="s">
        <v>10800</v>
      </c>
      <c r="G543" t="s">
        <v>74</v>
      </c>
      <c r="H543" t="s">
        <v>74</v>
      </c>
      <c r="I543" t="s">
        <v>10801</v>
      </c>
      <c r="J543" t="s">
        <v>238</v>
      </c>
      <c r="K543" t="s">
        <v>74</v>
      </c>
      <c r="L543" t="s">
        <v>74</v>
      </c>
      <c r="M543" t="s">
        <v>78</v>
      </c>
      <c r="N543" t="s">
        <v>108</v>
      </c>
      <c r="O543" t="s">
        <v>74</v>
      </c>
      <c r="P543" t="s">
        <v>74</v>
      </c>
      <c r="Q543" t="s">
        <v>74</v>
      </c>
      <c r="R543" t="s">
        <v>74</v>
      </c>
      <c r="S543" t="s">
        <v>74</v>
      </c>
      <c r="T543" t="s">
        <v>10802</v>
      </c>
      <c r="U543" t="s">
        <v>10803</v>
      </c>
      <c r="V543" t="s">
        <v>10804</v>
      </c>
      <c r="W543" t="s">
        <v>10805</v>
      </c>
      <c r="X543" t="s">
        <v>10806</v>
      </c>
      <c r="Y543" t="s">
        <v>10807</v>
      </c>
      <c r="Z543" t="s">
        <v>10808</v>
      </c>
      <c r="AA543" t="s">
        <v>10809</v>
      </c>
      <c r="AB543" t="s">
        <v>74</v>
      </c>
      <c r="AC543" t="s">
        <v>10810</v>
      </c>
      <c r="AD543" t="s">
        <v>10811</v>
      </c>
      <c r="AE543" t="s">
        <v>10812</v>
      </c>
      <c r="AF543" t="s">
        <v>74</v>
      </c>
      <c r="AG543">
        <v>70</v>
      </c>
      <c r="AH543">
        <v>10</v>
      </c>
      <c r="AI543">
        <v>14</v>
      </c>
      <c r="AJ543">
        <v>1</v>
      </c>
      <c r="AK543">
        <v>34</v>
      </c>
      <c r="AL543" t="s">
        <v>251</v>
      </c>
      <c r="AM543" t="s">
        <v>252</v>
      </c>
      <c r="AN543" t="s">
        <v>253</v>
      </c>
      <c r="AO543" t="s">
        <v>254</v>
      </c>
      <c r="AP543" t="s">
        <v>255</v>
      </c>
      <c r="AQ543" t="s">
        <v>74</v>
      </c>
      <c r="AR543" t="s">
        <v>256</v>
      </c>
      <c r="AS543" t="s">
        <v>257</v>
      </c>
      <c r="AT543" t="s">
        <v>7543</v>
      </c>
      <c r="AU543">
        <v>2019</v>
      </c>
      <c r="AV543">
        <v>32</v>
      </c>
      <c r="AW543">
        <v>14</v>
      </c>
      <c r="AX543" t="s">
        <v>74</v>
      </c>
      <c r="AY543" t="s">
        <v>74</v>
      </c>
      <c r="AZ543" t="s">
        <v>74</v>
      </c>
      <c r="BA543" t="s">
        <v>74</v>
      </c>
      <c r="BB543">
        <v>4347</v>
      </c>
      <c r="BC543">
        <v>4365</v>
      </c>
      <c r="BD543" t="s">
        <v>74</v>
      </c>
      <c r="BE543" t="s">
        <v>10813</v>
      </c>
      <c r="BF543" t="str">
        <f>HYPERLINK("http://dx.doi.org/10.1175/JCLI-D-18-0621.1","http://dx.doi.org/10.1175/JCLI-D-18-0621.1")</f>
        <v>http://dx.doi.org/10.1175/JCLI-D-18-0621.1</v>
      </c>
      <c r="BG543" t="s">
        <v>74</v>
      </c>
      <c r="BH543" t="s">
        <v>74</v>
      </c>
      <c r="BI543">
        <v>19</v>
      </c>
      <c r="BJ543" t="s">
        <v>259</v>
      </c>
      <c r="BK543" t="s">
        <v>101</v>
      </c>
      <c r="BL543" t="s">
        <v>259</v>
      </c>
      <c r="BM543" t="s">
        <v>10814</v>
      </c>
      <c r="BN543" t="s">
        <v>74</v>
      </c>
      <c r="BO543" t="s">
        <v>555</v>
      </c>
      <c r="BP543" t="s">
        <v>74</v>
      </c>
      <c r="BQ543" t="s">
        <v>74</v>
      </c>
      <c r="BR543" t="s">
        <v>103</v>
      </c>
      <c r="BS543" t="s">
        <v>10815</v>
      </c>
      <c r="BT543" t="str">
        <f>HYPERLINK("https%3A%2F%2Fwww.webofscience.com%2Fwos%2Fwoscc%2Ffull-record%2FWOS:000472550100003","View Full Record in Web of Science")</f>
        <v>View Full Record in Web of Science</v>
      </c>
    </row>
    <row r="544" spans="1:72" x14ac:dyDescent="0.15">
      <c r="A544" t="s">
        <v>72</v>
      </c>
      <c r="B544" t="s">
        <v>10816</v>
      </c>
      <c r="C544" t="s">
        <v>74</v>
      </c>
      <c r="D544" t="s">
        <v>74</v>
      </c>
      <c r="E544" t="s">
        <v>74</v>
      </c>
      <c r="F544" t="s">
        <v>10817</v>
      </c>
      <c r="G544" t="s">
        <v>74</v>
      </c>
      <c r="H544" t="s">
        <v>74</v>
      </c>
      <c r="I544" t="s">
        <v>10818</v>
      </c>
      <c r="J544" t="s">
        <v>7376</v>
      </c>
      <c r="K544" t="s">
        <v>74</v>
      </c>
      <c r="L544" t="s">
        <v>74</v>
      </c>
      <c r="M544" t="s">
        <v>78</v>
      </c>
      <c r="N544" t="s">
        <v>2711</v>
      </c>
      <c r="O544" t="s">
        <v>74</v>
      </c>
      <c r="P544" t="s">
        <v>74</v>
      </c>
      <c r="Q544" t="s">
        <v>74</v>
      </c>
      <c r="R544" t="s">
        <v>74</v>
      </c>
      <c r="S544" t="s">
        <v>74</v>
      </c>
      <c r="T544" t="s">
        <v>74</v>
      </c>
      <c r="U544" t="s">
        <v>10819</v>
      </c>
      <c r="V544" t="s">
        <v>74</v>
      </c>
      <c r="W544" t="s">
        <v>10820</v>
      </c>
      <c r="X544" t="s">
        <v>10821</v>
      </c>
      <c r="Y544" t="s">
        <v>10822</v>
      </c>
      <c r="Z544" t="s">
        <v>10823</v>
      </c>
      <c r="AA544" t="s">
        <v>10824</v>
      </c>
      <c r="AB544" t="s">
        <v>10825</v>
      </c>
      <c r="AC544" t="s">
        <v>10826</v>
      </c>
      <c r="AD544" t="s">
        <v>10827</v>
      </c>
      <c r="AE544" t="s">
        <v>10828</v>
      </c>
      <c r="AF544" t="s">
        <v>74</v>
      </c>
      <c r="AG544">
        <v>54</v>
      </c>
      <c r="AH544">
        <v>4</v>
      </c>
      <c r="AI544">
        <v>4</v>
      </c>
      <c r="AJ544">
        <v>1</v>
      </c>
      <c r="AK544">
        <v>3</v>
      </c>
      <c r="AL544" t="s">
        <v>1140</v>
      </c>
      <c r="AM544" t="s">
        <v>1141</v>
      </c>
      <c r="AN544" t="s">
        <v>1142</v>
      </c>
      <c r="AO544" t="s">
        <v>7387</v>
      </c>
      <c r="AP544" t="s">
        <v>7388</v>
      </c>
      <c r="AQ544" t="s">
        <v>74</v>
      </c>
      <c r="AR544" t="s">
        <v>7389</v>
      </c>
      <c r="AS544" t="s">
        <v>7390</v>
      </c>
      <c r="AT544" t="s">
        <v>7543</v>
      </c>
      <c r="AU544">
        <v>2019</v>
      </c>
      <c r="AV544">
        <v>35</v>
      </c>
      <c r="AW544">
        <v>3</v>
      </c>
      <c r="AX544" t="s">
        <v>74</v>
      </c>
      <c r="AY544" t="s">
        <v>74</v>
      </c>
      <c r="AZ544" t="s">
        <v>74</v>
      </c>
      <c r="BA544" t="s">
        <v>74</v>
      </c>
      <c r="BB544">
        <v>1070</v>
      </c>
      <c r="BC544">
        <v>1082</v>
      </c>
      <c r="BD544" t="s">
        <v>74</v>
      </c>
      <c r="BE544" t="s">
        <v>10829</v>
      </c>
      <c r="BF544" t="str">
        <f>HYPERLINK("http://dx.doi.org/10.1111/mms.12564","http://dx.doi.org/10.1111/mms.12564")</f>
        <v>http://dx.doi.org/10.1111/mms.12564</v>
      </c>
      <c r="BG544" t="s">
        <v>74</v>
      </c>
      <c r="BH544" t="s">
        <v>74</v>
      </c>
      <c r="BI544">
        <v>13</v>
      </c>
      <c r="BJ544" t="s">
        <v>3091</v>
      </c>
      <c r="BK544" t="s">
        <v>101</v>
      </c>
      <c r="BL544" t="s">
        <v>3091</v>
      </c>
      <c r="BM544" t="s">
        <v>8498</v>
      </c>
      <c r="BN544" t="s">
        <v>74</v>
      </c>
      <c r="BO544" t="s">
        <v>74</v>
      </c>
      <c r="BP544" t="s">
        <v>74</v>
      </c>
      <c r="BQ544" t="s">
        <v>74</v>
      </c>
      <c r="BR544" t="s">
        <v>103</v>
      </c>
      <c r="BS544" t="s">
        <v>10830</v>
      </c>
      <c r="BT544" t="str">
        <f>HYPERLINK("https%3A%2F%2Fwww.webofscience.com%2Fwos%2Fwoscc%2Ffull-record%2FWOS:000511602300013","View Full Record in Web of Science")</f>
        <v>View Full Record in Web of Science</v>
      </c>
    </row>
    <row r="545" spans="1:72" x14ac:dyDescent="0.15">
      <c r="A545" t="s">
        <v>72</v>
      </c>
      <c r="B545" t="s">
        <v>10831</v>
      </c>
      <c r="C545" t="s">
        <v>74</v>
      </c>
      <c r="D545" t="s">
        <v>74</v>
      </c>
      <c r="E545" t="s">
        <v>74</v>
      </c>
      <c r="F545" t="s">
        <v>10832</v>
      </c>
      <c r="G545" t="s">
        <v>74</v>
      </c>
      <c r="H545" t="s">
        <v>74</v>
      </c>
      <c r="I545" t="s">
        <v>10833</v>
      </c>
      <c r="J545" t="s">
        <v>7376</v>
      </c>
      <c r="K545" t="s">
        <v>74</v>
      </c>
      <c r="L545" t="s">
        <v>74</v>
      </c>
      <c r="M545" t="s">
        <v>78</v>
      </c>
      <c r="N545" t="s">
        <v>108</v>
      </c>
      <c r="O545" t="s">
        <v>74</v>
      </c>
      <c r="P545" t="s">
        <v>74</v>
      </c>
      <c r="Q545" t="s">
        <v>74</v>
      </c>
      <c r="R545" t="s">
        <v>74</v>
      </c>
      <c r="S545" t="s">
        <v>74</v>
      </c>
      <c r="T545" t="s">
        <v>74</v>
      </c>
      <c r="U545" t="s">
        <v>10834</v>
      </c>
      <c r="V545" t="s">
        <v>74</v>
      </c>
      <c r="W545" t="s">
        <v>10835</v>
      </c>
      <c r="X545" t="s">
        <v>10836</v>
      </c>
      <c r="Y545" t="s">
        <v>10837</v>
      </c>
      <c r="Z545" t="s">
        <v>10838</v>
      </c>
      <c r="AA545" t="s">
        <v>10839</v>
      </c>
      <c r="AB545" t="s">
        <v>10840</v>
      </c>
      <c r="AC545" t="s">
        <v>10841</v>
      </c>
      <c r="AD545" t="s">
        <v>10842</v>
      </c>
      <c r="AE545" t="s">
        <v>10843</v>
      </c>
      <c r="AF545" t="s">
        <v>74</v>
      </c>
      <c r="AG545">
        <v>45</v>
      </c>
      <c r="AH545">
        <v>6</v>
      </c>
      <c r="AI545">
        <v>6</v>
      </c>
      <c r="AJ545">
        <v>0</v>
      </c>
      <c r="AK545">
        <v>3</v>
      </c>
      <c r="AL545" t="s">
        <v>1140</v>
      </c>
      <c r="AM545" t="s">
        <v>1141</v>
      </c>
      <c r="AN545" t="s">
        <v>1142</v>
      </c>
      <c r="AO545" t="s">
        <v>7387</v>
      </c>
      <c r="AP545" t="s">
        <v>7388</v>
      </c>
      <c r="AQ545" t="s">
        <v>74</v>
      </c>
      <c r="AR545" t="s">
        <v>7389</v>
      </c>
      <c r="AS545" t="s">
        <v>7390</v>
      </c>
      <c r="AT545" t="s">
        <v>7543</v>
      </c>
      <c r="AU545">
        <v>2019</v>
      </c>
      <c r="AV545">
        <v>35</v>
      </c>
      <c r="AW545">
        <v>3</v>
      </c>
      <c r="AX545" t="s">
        <v>74</v>
      </c>
      <c r="AY545" t="s">
        <v>74</v>
      </c>
      <c r="AZ545" t="s">
        <v>74</v>
      </c>
      <c r="BA545" t="s">
        <v>74</v>
      </c>
      <c r="BB545">
        <v>1141</v>
      </c>
      <c r="BC545">
        <v>1161</v>
      </c>
      <c r="BD545" t="s">
        <v>74</v>
      </c>
      <c r="BE545" t="s">
        <v>10844</v>
      </c>
      <c r="BF545" t="str">
        <f>HYPERLINK("http://dx.doi.org/10.1111/mms.12575","http://dx.doi.org/10.1111/mms.12575")</f>
        <v>http://dx.doi.org/10.1111/mms.12575</v>
      </c>
      <c r="BG545" t="s">
        <v>74</v>
      </c>
      <c r="BH545" t="s">
        <v>74</v>
      </c>
      <c r="BI545">
        <v>21</v>
      </c>
      <c r="BJ545" t="s">
        <v>3091</v>
      </c>
      <c r="BK545" t="s">
        <v>101</v>
      </c>
      <c r="BL545" t="s">
        <v>3091</v>
      </c>
      <c r="BM545" t="s">
        <v>8498</v>
      </c>
      <c r="BN545" t="s">
        <v>74</v>
      </c>
      <c r="BO545" t="s">
        <v>74</v>
      </c>
      <c r="BP545" t="s">
        <v>74</v>
      </c>
      <c r="BQ545" t="s">
        <v>74</v>
      </c>
      <c r="BR545" t="s">
        <v>103</v>
      </c>
      <c r="BS545" t="s">
        <v>10845</v>
      </c>
      <c r="BT545" t="str">
        <f>HYPERLINK("https%3A%2F%2Fwww.webofscience.com%2Fwos%2Fwoscc%2Ffull-record%2FWOS:000511602300019","View Full Record in Web of Science")</f>
        <v>View Full Record in Web of Science</v>
      </c>
    </row>
    <row r="546" spans="1:72" x14ac:dyDescent="0.15">
      <c r="A546" t="s">
        <v>72</v>
      </c>
      <c r="B546" t="s">
        <v>10846</v>
      </c>
      <c r="C546" t="s">
        <v>74</v>
      </c>
      <c r="D546" t="s">
        <v>74</v>
      </c>
      <c r="E546" t="s">
        <v>74</v>
      </c>
      <c r="F546" t="s">
        <v>10847</v>
      </c>
      <c r="G546" t="s">
        <v>74</v>
      </c>
      <c r="H546" t="s">
        <v>74</v>
      </c>
      <c r="I546" t="s">
        <v>10848</v>
      </c>
      <c r="J546" t="s">
        <v>10849</v>
      </c>
      <c r="K546" t="s">
        <v>74</v>
      </c>
      <c r="L546" t="s">
        <v>74</v>
      </c>
      <c r="M546" t="s">
        <v>78</v>
      </c>
      <c r="N546" t="s">
        <v>108</v>
      </c>
      <c r="O546" t="s">
        <v>74</v>
      </c>
      <c r="P546" t="s">
        <v>74</v>
      </c>
      <c r="Q546" t="s">
        <v>74</v>
      </c>
      <c r="R546" t="s">
        <v>74</v>
      </c>
      <c r="S546" t="s">
        <v>74</v>
      </c>
      <c r="T546" t="s">
        <v>74</v>
      </c>
      <c r="U546" t="s">
        <v>10850</v>
      </c>
      <c r="V546" t="s">
        <v>10851</v>
      </c>
      <c r="W546" t="s">
        <v>10852</v>
      </c>
      <c r="X546" t="s">
        <v>10853</v>
      </c>
      <c r="Y546" t="s">
        <v>10854</v>
      </c>
      <c r="Z546" t="s">
        <v>10855</v>
      </c>
      <c r="AA546" t="s">
        <v>10856</v>
      </c>
      <c r="AB546" t="s">
        <v>10857</v>
      </c>
      <c r="AC546" t="s">
        <v>10858</v>
      </c>
      <c r="AD546" t="s">
        <v>10859</v>
      </c>
      <c r="AE546" t="s">
        <v>10860</v>
      </c>
      <c r="AF546" t="s">
        <v>74</v>
      </c>
      <c r="AG546">
        <v>66</v>
      </c>
      <c r="AH546">
        <v>37</v>
      </c>
      <c r="AI546">
        <v>38</v>
      </c>
      <c r="AJ546">
        <v>6</v>
      </c>
      <c r="AK546">
        <v>43</v>
      </c>
      <c r="AL546" t="s">
        <v>1019</v>
      </c>
      <c r="AM546" t="s">
        <v>1020</v>
      </c>
      <c r="AN546" t="s">
        <v>1021</v>
      </c>
      <c r="AO546" t="s">
        <v>10861</v>
      </c>
      <c r="AP546" t="s">
        <v>74</v>
      </c>
      <c r="AQ546" t="s">
        <v>74</v>
      </c>
      <c r="AR546" t="s">
        <v>10862</v>
      </c>
      <c r="AS546" t="s">
        <v>10863</v>
      </c>
      <c r="AT546" t="s">
        <v>7543</v>
      </c>
      <c r="AU546">
        <v>2019</v>
      </c>
      <c r="AV546">
        <v>3</v>
      </c>
      <c r="AW546">
        <v>7</v>
      </c>
      <c r="AX546" t="s">
        <v>74</v>
      </c>
      <c r="AY546" t="s">
        <v>74</v>
      </c>
      <c r="AZ546" t="s">
        <v>74</v>
      </c>
      <c r="BA546" t="s">
        <v>74</v>
      </c>
      <c r="BB546">
        <v>1102</v>
      </c>
      <c r="BC546">
        <v>1109</v>
      </c>
      <c r="BD546" t="s">
        <v>74</v>
      </c>
      <c r="BE546" t="s">
        <v>10864</v>
      </c>
      <c r="BF546" t="str">
        <f>HYPERLINK("http://dx.doi.org/10.1038/s41559-019-0914-2","http://dx.doi.org/10.1038/s41559-019-0914-2")</f>
        <v>http://dx.doi.org/10.1038/s41559-019-0914-2</v>
      </c>
      <c r="BG546" t="s">
        <v>74</v>
      </c>
      <c r="BH546" t="s">
        <v>74</v>
      </c>
      <c r="BI546">
        <v>8</v>
      </c>
      <c r="BJ546" t="s">
        <v>2883</v>
      </c>
      <c r="BK546" t="s">
        <v>101</v>
      </c>
      <c r="BL546" t="s">
        <v>2884</v>
      </c>
      <c r="BM546" t="s">
        <v>10865</v>
      </c>
      <c r="BN546">
        <v>31182814</v>
      </c>
      <c r="BO546" t="s">
        <v>919</v>
      </c>
      <c r="BP546" t="s">
        <v>74</v>
      </c>
      <c r="BQ546" t="s">
        <v>74</v>
      </c>
      <c r="BR546" t="s">
        <v>103</v>
      </c>
      <c r="BS546" t="s">
        <v>10866</v>
      </c>
      <c r="BT546" t="str">
        <f>HYPERLINK("https%3A%2F%2Fwww.webofscience.com%2Fwos%2Fwoscc%2Ffull-record%2FWOS:000473550400022","View Full Record in Web of Science")</f>
        <v>View Full Record in Web of Science</v>
      </c>
    </row>
    <row r="547" spans="1:72" x14ac:dyDescent="0.15">
      <c r="A547" t="s">
        <v>72</v>
      </c>
      <c r="B547" t="s">
        <v>10867</v>
      </c>
      <c r="C547" t="s">
        <v>74</v>
      </c>
      <c r="D547" t="s">
        <v>74</v>
      </c>
      <c r="E547" t="s">
        <v>74</v>
      </c>
      <c r="F547" t="s">
        <v>10868</v>
      </c>
      <c r="G547" t="s">
        <v>74</v>
      </c>
      <c r="H547" t="s">
        <v>74</v>
      </c>
      <c r="I547" t="s">
        <v>10869</v>
      </c>
      <c r="J547" t="s">
        <v>10870</v>
      </c>
      <c r="K547" t="s">
        <v>74</v>
      </c>
      <c r="L547" t="s">
        <v>74</v>
      </c>
      <c r="M547" t="s">
        <v>78</v>
      </c>
      <c r="N547" t="s">
        <v>108</v>
      </c>
      <c r="O547" t="s">
        <v>74</v>
      </c>
      <c r="P547" t="s">
        <v>74</v>
      </c>
      <c r="Q547" t="s">
        <v>74</v>
      </c>
      <c r="R547" t="s">
        <v>74</v>
      </c>
      <c r="S547" t="s">
        <v>74</v>
      </c>
      <c r="T547" t="s">
        <v>74</v>
      </c>
      <c r="U547" t="s">
        <v>10871</v>
      </c>
      <c r="V547" t="s">
        <v>10872</v>
      </c>
      <c r="W547" t="s">
        <v>10873</v>
      </c>
      <c r="X547" t="s">
        <v>10874</v>
      </c>
      <c r="Y547" t="s">
        <v>10875</v>
      </c>
      <c r="Z547" t="s">
        <v>10876</v>
      </c>
      <c r="AA547" t="s">
        <v>10877</v>
      </c>
      <c r="AB547" t="s">
        <v>10878</v>
      </c>
      <c r="AC547" t="s">
        <v>10879</v>
      </c>
      <c r="AD547" t="s">
        <v>10880</v>
      </c>
      <c r="AE547" t="s">
        <v>10881</v>
      </c>
      <c r="AF547" t="s">
        <v>74</v>
      </c>
      <c r="AG547">
        <v>42</v>
      </c>
      <c r="AH547">
        <v>60</v>
      </c>
      <c r="AI547">
        <v>64</v>
      </c>
      <c r="AJ547">
        <v>1</v>
      </c>
      <c r="AK547">
        <v>18</v>
      </c>
      <c r="AL547" t="s">
        <v>2032</v>
      </c>
      <c r="AM547" t="s">
        <v>2033</v>
      </c>
      <c r="AN547" t="s">
        <v>2034</v>
      </c>
      <c r="AO547" t="s">
        <v>10882</v>
      </c>
      <c r="AP547" t="s">
        <v>10883</v>
      </c>
      <c r="AQ547" t="s">
        <v>74</v>
      </c>
      <c r="AR547" t="s">
        <v>10884</v>
      </c>
      <c r="AS547" t="s">
        <v>10885</v>
      </c>
      <c r="AT547" t="s">
        <v>7543</v>
      </c>
      <c r="AU547">
        <v>2019</v>
      </c>
      <c r="AV547">
        <v>17</v>
      </c>
      <c r="AW547">
        <v>7</v>
      </c>
      <c r="AX547" t="s">
        <v>74</v>
      </c>
      <c r="AY547" t="s">
        <v>74</v>
      </c>
      <c r="AZ547" t="s">
        <v>74</v>
      </c>
      <c r="BA547" t="s">
        <v>74</v>
      </c>
      <c r="BB547" t="s">
        <v>74</v>
      </c>
      <c r="BC547" t="s">
        <v>74</v>
      </c>
      <c r="BD547" t="s">
        <v>10886</v>
      </c>
      <c r="BE547" t="s">
        <v>10887</v>
      </c>
      <c r="BF547" t="str">
        <f>HYPERLINK("http://dx.doi.org/10.1371/journal.pbio.3000380","http://dx.doi.org/10.1371/journal.pbio.3000380")</f>
        <v>http://dx.doi.org/10.1371/journal.pbio.3000380</v>
      </c>
      <c r="BG547" t="s">
        <v>74</v>
      </c>
      <c r="BH547" t="s">
        <v>74</v>
      </c>
      <c r="BI547">
        <v>13</v>
      </c>
      <c r="BJ547" t="s">
        <v>10888</v>
      </c>
      <c r="BK547" t="s">
        <v>101</v>
      </c>
      <c r="BL547" t="s">
        <v>10889</v>
      </c>
      <c r="BM547" t="s">
        <v>10890</v>
      </c>
      <c r="BN547">
        <v>31299043</v>
      </c>
      <c r="BO547" t="s">
        <v>2313</v>
      </c>
      <c r="BP547" t="s">
        <v>74</v>
      </c>
      <c r="BQ547" t="s">
        <v>74</v>
      </c>
      <c r="BR547" t="s">
        <v>103</v>
      </c>
      <c r="BS547" t="s">
        <v>10891</v>
      </c>
      <c r="BT547" t="str">
        <f>HYPERLINK("https%3A%2F%2Fwww.webofscience.com%2Fwos%2Fwoscc%2Ffull-record%2FWOS:000478922100026","View Full Record in Web of Science")</f>
        <v>View Full Record in Web of Science</v>
      </c>
    </row>
    <row r="548" spans="1:72" x14ac:dyDescent="0.15">
      <c r="A548" t="s">
        <v>72</v>
      </c>
      <c r="B548" t="s">
        <v>10892</v>
      </c>
      <c r="C548" t="s">
        <v>74</v>
      </c>
      <c r="D548" t="s">
        <v>74</v>
      </c>
      <c r="E548" t="s">
        <v>74</v>
      </c>
      <c r="F548" t="s">
        <v>10893</v>
      </c>
      <c r="G548" t="s">
        <v>74</v>
      </c>
      <c r="H548" t="s">
        <v>74</v>
      </c>
      <c r="I548" t="s">
        <v>10894</v>
      </c>
      <c r="J548" t="s">
        <v>4003</v>
      </c>
      <c r="K548" t="s">
        <v>74</v>
      </c>
      <c r="L548" t="s">
        <v>74</v>
      </c>
      <c r="M548" t="s">
        <v>78</v>
      </c>
      <c r="N548" t="s">
        <v>108</v>
      </c>
      <c r="O548" t="s">
        <v>74</v>
      </c>
      <c r="P548" t="s">
        <v>74</v>
      </c>
      <c r="Q548" t="s">
        <v>74</v>
      </c>
      <c r="R548" t="s">
        <v>74</v>
      </c>
      <c r="S548" t="s">
        <v>74</v>
      </c>
      <c r="T548" t="s">
        <v>10895</v>
      </c>
      <c r="U548" t="s">
        <v>10896</v>
      </c>
      <c r="V548" t="s">
        <v>10897</v>
      </c>
      <c r="W548" t="s">
        <v>10898</v>
      </c>
      <c r="X548" t="s">
        <v>10899</v>
      </c>
      <c r="Y548" t="s">
        <v>10900</v>
      </c>
      <c r="Z548" t="s">
        <v>10901</v>
      </c>
      <c r="AA548" t="s">
        <v>10902</v>
      </c>
      <c r="AB548" t="s">
        <v>10903</v>
      </c>
      <c r="AC548" t="s">
        <v>10904</v>
      </c>
      <c r="AD548" t="s">
        <v>74</v>
      </c>
      <c r="AE548" t="s">
        <v>10905</v>
      </c>
      <c r="AF548" t="s">
        <v>74</v>
      </c>
      <c r="AG548">
        <v>57</v>
      </c>
      <c r="AH548">
        <v>3</v>
      </c>
      <c r="AI548">
        <v>3</v>
      </c>
      <c r="AJ548">
        <v>0</v>
      </c>
      <c r="AK548">
        <v>23</v>
      </c>
      <c r="AL548" t="s">
        <v>154</v>
      </c>
      <c r="AM548" t="s">
        <v>4016</v>
      </c>
      <c r="AN548" t="s">
        <v>4040</v>
      </c>
      <c r="AO548" t="s">
        <v>4018</v>
      </c>
      <c r="AP548" t="s">
        <v>4019</v>
      </c>
      <c r="AQ548" t="s">
        <v>74</v>
      </c>
      <c r="AR548" t="s">
        <v>4020</v>
      </c>
      <c r="AS548" t="s">
        <v>4021</v>
      </c>
      <c r="AT548" t="s">
        <v>7543</v>
      </c>
      <c r="AU548">
        <v>2019</v>
      </c>
      <c r="AV548">
        <v>42</v>
      </c>
      <c r="AW548">
        <v>7</v>
      </c>
      <c r="AX548" t="s">
        <v>74</v>
      </c>
      <c r="AY548" t="s">
        <v>74</v>
      </c>
      <c r="AZ548" t="s">
        <v>74</v>
      </c>
      <c r="BA548" t="s">
        <v>74</v>
      </c>
      <c r="BB548">
        <v>1343</v>
      </c>
      <c r="BC548">
        <v>1352</v>
      </c>
      <c r="BD548" t="s">
        <v>74</v>
      </c>
      <c r="BE548" t="s">
        <v>10906</v>
      </c>
      <c r="BF548" t="str">
        <f>HYPERLINK("http://dx.doi.org/10.1007/s00300-019-02522-3","http://dx.doi.org/10.1007/s00300-019-02522-3")</f>
        <v>http://dx.doi.org/10.1007/s00300-019-02522-3</v>
      </c>
      <c r="BG548" t="s">
        <v>74</v>
      </c>
      <c r="BH548" t="s">
        <v>74</v>
      </c>
      <c r="BI548">
        <v>10</v>
      </c>
      <c r="BJ548" t="s">
        <v>3802</v>
      </c>
      <c r="BK548" t="s">
        <v>101</v>
      </c>
      <c r="BL548" t="s">
        <v>1646</v>
      </c>
      <c r="BM548" t="s">
        <v>9837</v>
      </c>
      <c r="BN548" t="s">
        <v>74</v>
      </c>
      <c r="BO548" t="s">
        <v>261</v>
      </c>
      <c r="BP548" t="s">
        <v>74</v>
      </c>
      <c r="BQ548" t="s">
        <v>74</v>
      </c>
      <c r="BR548" t="s">
        <v>103</v>
      </c>
      <c r="BS548" t="s">
        <v>10907</v>
      </c>
      <c r="BT548" t="str">
        <f>HYPERLINK("https%3A%2F%2Fwww.webofscience.com%2Fwos%2Fwoscc%2Ffull-record%2FWOS:000475570000009","View Full Record in Web of Science")</f>
        <v>View Full Record in Web of Science</v>
      </c>
    </row>
    <row r="549" spans="1:72" x14ac:dyDescent="0.15">
      <c r="A549" t="s">
        <v>72</v>
      </c>
      <c r="B549" t="s">
        <v>10908</v>
      </c>
      <c r="C549" t="s">
        <v>74</v>
      </c>
      <c r="D549" t="s">
        <v>74</v>
      </c>
      <c r="E549" t="s">
        <v>74</v>
      </c>
      <c r="F549" t="s">
        <v>10909</v>
      </c>
      <c r="G549" t="s">
        <v>74</v>
      </c>
      <c r="H549" t="s">
        <v>74</v>
      </c>
      <c r="I549" t="s">
        <v>10910</v>
      </c>
      <c r="J549" t="s">
        <v>8503</v>
      </c>
      <c r="K549" t="s">
        <v>74</v>
      </c>
      <c r="L549" t="s">
        <v>74</v>
      </c>
      <c r="M549" t="s">
        <v>78</v>
      </c>
      <c r="N549" t="s">
        <v>2711</v>
      </c>
      <c r="O549" t="s">
        <v>74</v>
      </c>
      <c r="P549" t="s">
        <v>74</v>
      </c>
      <c r="Q549" t="s">
        <v>74</v>
      </c>
      <c r="R549" t="s">
        <v>74</v>
      </c>
      <c r="S549" t="s">
        <v>74</v>
      </c>
      <c r="T549" t="s">
        <v>74</v>
      </c>
      <c r="U549" t="s">
        <v>74</v>
      </c>
      <c r="V549" t="s">
        <v>10911</v>
      </c>
      <c r="W549" t="s">
        <v>10912</v>
      </c>
      <c r="X549" t="s">
        <v>10913</v>
      </c>
      <c r="Y549" t="s">
        <v>10914</v>
      </c>
      <c r="Z549" t="s">
        <v>10915</v>
      </c>
      <c r="AA549" t="s">
        <v>74</v>
      </c>
      <c r="AB549" t="s">
        <v>74</v>
      </c>
      <c r="AC549" t="s">
        <v>10916</v>
      </c>
      <c r="AD549" t="s">
        <v>10917</v>
      </c>
      <c r="AE549" t="s">
        <v>10918</v>
      </c>
      <c r="AF549" t="s">
        <v>74</v>
      </c>
      <c r="AG549">
        <v>13</v>
      </c>
      <c r="AH549">
        <v>0</v>
      </c>
      <c r="AI549">
        <v>0</v>
      </c>
      <c r="AJ549">
        <v>0</v>
      </c>
      <c r="AK549">
        <v>1</v>
      </c>
      <c r="AL549" t="s">
        <v>302</v>
      </c>
      <c r="AM549" t="s">
        <v>4016</v>
      </c>
      <c r="AN549" t="s">
        <v>4542</v>
      </c>
      <c r="AO549" t="s">
        <v>8515</v>
      </c>
      <c r="AP549" t="s">
        <v>8516</v>
      </c>
      <c r="AQ549" t="s">
        <v>74</v>
      </c>
      <c r="AR549" t="s">
        <v>8517</v>
      </c>
      <c r="AS549" t="s">
        <v>8518</v>
      </c>
      <c r="AT549" t="s">
        <v>7543</v>
      </c>
      <c r="AU549">
        <v>2019</v>
      </c>
      <c r="AV549">
        <v>55</v>
      </c>
      <c r="AW549">
        <v>4</v>
      </c>
      <c r="AX549" t="s">
        <v>74</v>
      </c>
      <c r="AY549" t="s">
        <v>74</v>
      </c>
      <c r="AZ549" t="s">
        <v>74</v>
      </c>
      <c r="BA549" t="s">
        <v>74</v>
      </c>
      <c r="BB549">
        <v>207</v>
      </c>
      <c r="BC549">
        <v>212</v>
      </c>
      <c r="BD549" t="s">
        <v>74</v>
      </c>
      <c r="BE549" t="s">
        <v>10919</v>
      </c>
      <c r="BF549" t="str">
        <f>HYPERLINK("http://dx.doi.org/10.1017/S0032247419000317","http://dx.doi.org/10.1017/S0032247419000317")</f>
        <v>http://dx.doi.org/10.1017/S0032247419000317</v>
      </c>
      <c r="BG549" t="s">
        <v>74</v>
      </c>
      <c r="BH549" t="s">
        <v>74</v>
      </c>
      <c r="BI549">
        <v>6</v>
      </c>
      <c r="BJ549" t="s">
        <v>7452</v>
      </c>
      <c r="BK549" t="s">
        <v>101</v>
      </c>
      <c r="BL549" t="s">
        <v>799</v>
      </c>
      <c r="BM549" t="s">
        <v>8520</v>
      </c>
      <c r="BN549" t="s">
        <v>74</v>
      </c>
      <c r="BO549" t="s">
        <v>537</v>
      </c>
      <c r="BP549" t="s">
        <v>74</v>
      </c>
      <c r="BQ549" t="s">
        <v>74</v>
      </c>
      <c r="BR549" t="s">
        <v>103</v>
      </c>
      <c r="BS549" t="s">
        <v>10920</v>
      </c>
      <c r="BT549" t="str">
        <f>HYPERLINK("https%3A%2F%2Fwww.webofscience.com%2Fwos%2Fwoscc%2Ffull-record%2FWOS:000501820000003","View Full Record in Web of Science")</f>
        <v>View Full Record in Web of Science</v>
      </c>
    </row>
    <row r="550" spans="1:72" x14ac:dyDescent="0.15">
      <c r="A550" t="s">
        <v>72</v>
      </c>
      <c r="B550" t="s">
        <v>10921</v>
      </c>
      <c r="C550" t="s">
        <v>74</v>
      </c>
      <c r="D550" t="s">
        <v>74</v>
      </c>
      <c r="E550" t="s">
        <v>74</v>
      </c>
      <c r="F550" t="s">
        <v>10922</v>
      </c>
      <c r="G550" t="s">
        <v>74</v>
      </c>
      <c r="H550" t="s">
        <v>74</v>
      </c>
      <c r="I550" t="s">
        <v>10923</v>
      </c>
      <c r="J550" t="s">
        <v>8503</v>
      </c>
      <c r="K550" t="s">
        <v>74</v>
      </c>
      <c r="L550" t="s">
        <v>74</v>
      </c>
      <c r="M550" t="s">
        <v>78</v>
      </c>
      <c r="N550" t="s">
        <v>2711</v>
      </c>
      <c r="O550" t="s">
        <v>74</v>
      </c>
      <c r="P550" t="s">
        <v>74</v>
      </c>
      <c r="Q550" t="s">
        <v>74</v>
      </c>
      <c r="R550" t="s">
        <v>74</v>
      </c>
      <c r="S550" t="s">
        <v>74</v>
      </c>
      <c r="T550" t="s">
        <v>10924</v>
      </c>
      <c r="U550" t="s">
        <v>74</v>
      </c>
      <c r="V550" t="s">
        <v>10925</v>
      </c>
      <c r="W550" t="s">
        <v>10926</v>
      </c>
      <c r="X550" t="s">
        <v>10927</v>
      </c>
      <c r="Y550" t="s">
        <v>10928</v>
      </c>
      <c r="Z550" t="s">
        <v>10929</v>
      </c>
      <c r="AA550" t="s">
        <v>74</v>
      </c>
      <c r="AB550" t="s">
        <v>10930</v>
      </c>
      <c r="AC550" t="s">
        <v>74</v>
      </c>
      <c r="AD550" t="s">
        <v>74</v>
      </c>
      <c r="AE550" t="s">
        <v>74</v>
      </c>
      <c r="AF550" t="s">
        <v>74</v>
      </c>
      <c r="AG550">
        <v>8</v>
      </c>
      <c r="AH550">
        <v>2</v>
      </c>
      <c r="AI550">
        <v>2</v>
      </c>
      <c r="AJ550">
        <v>0</v>
      </c>
      <c r="AK550">
        <v>2</v>
      </c>
      <c r="AL550" t="s">
        <v>302</v>
      </c>
      <c r="AM550" t="s">
        <v>4016</v>
      </c>
      <c r="AN550" t="s">
        <v>4542</v>
      </c>
      <c r="AO550" t="s">
        <v>8515</v>
      </c>
      <c r="AP550" t="s">
        <v>8516</v>
      </c>
      <c r="AQ550" t="s">
        <v>74</v>
      </c>
      <c r="AR550" t="s">
        <v>8517</v>
      </c>
      <c r="AS550" t="s">
        <v>8518</v>
      </c>
      <c r="AT550" t="s">
        <v>7543</v>
      </c>
      <c r="AU550">
        <v>2019</v>
      </c>
      <c r="AV550">
        <v>55</v>
      </c>
      <c r="AW550">
        <v>4</v>
      </c>
      <c r="AX550" t="s">
        <v>74</v>
      </c>
      <c r="AY550" t="s">
        <v>74</v>
      </c>
      <c r="AZ550" t="s">
        <v>74</v>
      </c>
      <c r="BA550" t="s">
        <v>74</v>
      </c>
      <c r="BB550">
        <v>213</v>
      </c>
      <c r="BC550">
        <v>215</v>
      </c>
      <c r="BD550" t="s">
        <v>74</v>
      </c>
      <c r="BE550" t="s">
        <v>10931</v>
      </c>
      <c r="BF550" t="str">
        <f>HYPERLINK("http://dx.doi.org/10.1017/S0032247419000342","http://dx.doi.org/10.1017/S0032247419000342")</f>
        <v>http://dx.doi.org/10.1017/S0032247419000342</v>
      </c>
      <c r="BG550" t="s">
        <v>74</v>
      </c>
      <c r="BH550" t="s">
        <v>74</v>
      </c>
      <c r="BI550">
        <v>3</v>
      </c>
      <c r="BJ550" t="s">
        <v>7452</v>
      </c>
      <c r="BK550" t="s">
        <v>101</v>
      </c>
      <c r="BL550" t="s">
        <v>799</v>
      </c>
      <c r="BM550" t="s">
        <v>8520</v>
      </c>
      <c r="BN550" t="s">
        <v>74</v>
      </c>
      <c r="BO550" t="s">
        <v>537</v>
      </c>
      <c r="BP550" t="s">
        <v>74</v>
      </c>
      <c r="BQ550" t="s">
        <v>74</v>
      </c>
      <c r="BR550" t="s">
        <v>103</v>
      </c>
      <c r="BS550" t="s">
        <v>10932</v>
      </c>
      <c r="BT550" t="str">
        <f>HYPERLINK("https%3A%2F%2Fwww.webofscience.com%2Fwos%2Fwoscc%2Ffull-record%2FWOS:000501820000004","View Full Record in Web of Science")</f>
        <v>View Full Record in Web of Science</v>
      </c>
    </row>
    <row r="551" spans="1:72" x14ac:dyDescent="0.15">
      <c r="A551" t="s">
        <v>72</v>
      </c>
      <c r="B551" t="s">
        <v>10933</v>
      </c>
      <c r="C551" t="s">
        <v>74</v>
      </c>
      <c r="D551" t="s">
        <v>74</v>
      </c>
      <c r="E551" t="s">
        <v>74</v>
      </c>
      <c r="F551" t="s">
        <v>10934</v>
      </c>
      <c r="G551" t="s">
        <v>74</v>
      </c>
      <c r="H551" t="s">
        <v>74</v>
      </c>
      <c r="I551" t="s">
        <v>10935</v>
      </c>
      <c r="J551" t="s">
        <v>10936</v>
      </c>
      <c r="K551" t="s">
        <v>74</v>
      </c>
      <c r="L551" t="s">
        <v>74</v>
      </c>
      <c r="M551" t="s">
        <v>78</v>
      </c>
      <c r="N551" t="s">
        <v>79</v>
      </c>
      <c r="O551" t="s">
        <v>74</v>
      </c>
      <c r="P551" t="s">
        <v>74</v>
      </c>
      <c r="Q551" t="s">
        <v>74</v>
      </c>
      <c r="R551" t="s">
        <v>74</v>
      </c>
      <c r="S551" t="s">
        <v>74</v>
      </c>
      <c r="T551" t="s">
        <v>10937</v>
      </c>
      <c r="U551" t="s">
        <v>10938</v>
      </c>
      <c r="V551" t="s">
        <v>10939</v>
      </c>
      <c r="W551" t="s">
        <v>10940</v>
      </c>
      <c r="X551" t="s">
        <v>10941</v>
      </c>
      <c r="Y551" t="s">
        <v>10942</v>
      </c>
      <c r="Z551" t="s">
        <v>10943</v>
      </c>
      <c r="AA551" t="s">
        <v>10944</v>
      </c>
      <c r="AB551" t="s">
        <v>74</v>
      </c>
      <c r="AC551" t="s">
        <v>10945</v>
      </c>
      <c r="AD551" t="s">
        <v>10946</v>
      </c>
      <c r="AE551" t="s">
        <v>10947</v>
      </c>
      <c r="AF551" t="s">
        <v>74</v>
      </c>
      <c r="AG551">
        <v>242</v>
      </c>
      <c r="AH551">
        <v>189</v>
      </c>
      <c r="AI551">
        <v>211</v>
      </c>
      <c r="AJ551">
        <v>67</v>
      </c>
      <c r="AK551">
        <v>408</v>
      </c>
      <c r="AL551" t="s">
        <v>92</v>
      </c>
      <c r="AM551" t="s">
        <v>93</v>
      </c>
      <c r="AN551" t="s">
        <v>94</v>
      </c>
      <c r="AO551" t="s">
        <v>10948</v>
      </c>
      <c r="AP551" t="s">
        <v>10949</v>
      </c>
      <c r="AQ551" t="s">
        <v>74</v>
      </c>
      <c r="AR551" t="s">
        <v>10950</v>
      </c>
      <c r="AS551" t="s">
        <v>10951</v>
      </c>
      <c r="AT551" t="s">
        <v>7543</v>
      </c>
      <c r="AU551">
        <v>2019</v>
      </c>
      <c r="AV551">
        <v>75</v>
      </c>
      <c r="AW551" t="s">
        <v>74</v>
      </c>
      <c r="AX551" t="s">
        <v>74</v>
      </c>
      <c r="AY551" t="s">
        <v>74</v>
      </c>
      <c r="AZ551" t="s">
        <v>74</v>
      </c>
      <c r="BA551" t="s">
        <v>74</v>
      </c>
      <c r="BB551" t="s">
        <v>74</v>
      </c>
      <c r="BC551" t="s">
        <v>74</v>
      </c>
      <c r="BD551">
        <v>100997</v>
      </c>
      <c r="BE551" t="s">
        <v>10952</v>
      </c>
      <c r="BF551" t="str">
        <f>HYPERLINK("http://dx.doi.org/10.1016/j.plipres.2019.100997","http://dx.doi.org/10.1016/j.plipres.2019.100997")</f>
        <v>http://dx.doi.org/10.1016/j.plipres.2019.100997</v>
      </c>
      <c r="BG551" t="s">
        <v>74</v>
      </c>
      <c r="BH551" t="s">
        <v>74</v>
      </c>
      <c r="BI551">
        <v>24</v>
      </c>
      <c r="BJ551" t="s">
        <v>10953</v>
      </c>
      <c r="BK551" t="s">
        <v>101</v>
      </c>
      <c r="BL551" t="s">
        <v>10953</v>
      </c>
      <c r="BM551" t="s">
        <v>10954</v>
      </c>
      <c r="BN551">
        <v>31442526</v>
      </c>
      <c r="BO551" t="s">
        <v>74</v>
      </c>
      <c r="BP551" t="s">
        <v>1784</v>
      </c>
      <c r="BQ551" t="s">
        <v>1785</v>
      </c>
      <c r="BR551" t="s">
        <v>103</v>
      </c>
      <c r="BS551" t="s">
        <v>10955</v>
      </c>
      <c r="BT551" t="str">
        <f>HYPERLINK("https%3A%2F%2Fwww.webofscience.com%2Fwos%2Fwoscc%2Ffull-record%2FWOS:000487169700004","View Full Record in Web of Science")</f>
        <v>View Full Record in Web of Science</v>
      </c>
    </row>
    <row r="552" spans="1:72" x14ac:dyDescent="0.15">
      <c r="A552" t="s">
        <v>72</v>
      </c>
      <c r="B552" t="s">
        <v>10956</v>
      </c>
      <c r="C552" t="s">
        <v>74</v>
      </c>
      <c r="D552" t="s">
        <v>74</v>
      </c>
      <c r="E552" t="s">
        <v>74</v>
      </c>
      <c r="F552" t="s">
        <v>10957</v>
      </c>
      <c r="G552" t="s">
        <v>74</v>
      </c>
      <c r="H552" t="s">
        <v>74</v>
      </c>
      <c r="I552" t="s">
        <v>10958</v>
      </c>
      <c r="J552" t="s">
        <v>10959</v>
      </c>
      <c r="K552" t="s">
        <v>74</v>
      </c>
      <c r="L552" t="s">
        <v>74</v>
      </c>
      <c r="M552" t="s">
        <v>78</v>
      </c>
      <c r="N552" t="s">
        <v>108</v>
      </c>
      <c r="O552" t="s">
        <v>74</v>
      </c>
      <c r="P552" t="s">
        <v>74</v>
      </c>
      <c r="Q552" t="s">
        <v>74</v>
      </c>
      <c r="R552" t="s">
        <v>74</v>
      </c>
      <c r="S552" t="s">
        <v>74</v>
      </c>
      <c r="T552" t="s">
        <v>10960</v>
      </c>
      <c r="U552" t="s">
        <v>10961</v>
      </c>
      <c r="V552" t="s">
        <v>10962</v>
      </c>
      <c r="W552" t="s">
        <v>10963</v>
      </c>
      <c r="X552" t="s">
        <v>10964</v>
      </c>
      <c r="Y552" t="s">
        <v>10965</v>
      </c>
      <c r="Z552" t="s">
        <v>10966</v>
      </c>
      <c r="AA552" t="s">
        <v>10967</v>
      </c>
      <c r="AB552" t="s">
        <v>10968</v>
      </c>
      <c r="AC552" t="s">
        <v>10969</v>
      </c>
      <c r="AD552" t="s">
        <v>10970</v>
      </c>
      <c r="AE552" t="s">
        <v>10971</v>
      </c>
      <c r="AF552" t="s">
        <v>74</v>
      </c>
      <c r="AG552">
        <v>48</v>
      </c>
      <c r="AH552">
        <v>9</v>
      </c>
      <c r="AI552">
        <v>9</v>
      </c>
      <c r="AJ552">
        <v>8</v>
      </c>
      <c r="AK552">
        <v>115</v>
      </c>
      <c r="AL552" t="s">
        <v>3533</v>
      </c>
      <c r="AM552" t="s">
        <v>93</v>
      </c>
      <c r="AN552" t="s">
        <v>3534</v>
      </c>
      <c r="AO552" t="s">
        <v>10972</v>
      </c>
      <c r="AP552" t="s">
        <v>10973</v>
      </c>
      <c r="AQ552" t="s">
        <v>74</v>
      </c>
      <c r="AR552" t="s">
        <v>10974</v>
      </c>
      <c r="AS552" t="s">
        <v>10975</v>
      </c>
      <c r="AT552" t="s">
        <v>7543</v>
      </c>
      <c r="AU552">
        <v>2019</v>
      </c>
      <c r="AV552">
        <v>250</v>
      </c>
      <c r="AW552" t="s">
        <v>74</v>
      </c>
      <c r="AX552" t="s">
        <v>74</v>
      </c>
      <c r="AY552" t="s">
        <v>74</v>
      </c>
      <c r="AZ552" t="s">
        <v>74</v>
      </c>
      <c r="BA552" t="s">
        <v>74</v>
      </c>
      <c r="BB552">
        <v>892</v>
      </c>
      <c r="BC552">
        <v>897</v>
      </c>
      <c r="BD552" t="s">
        <v>74</v>
      </c>
      <c r="BE552" t="s">
        <v>10976</v>
      </c>
      <c r="BF552" t="str">
        <f>HYPERLINK("http://dx.doi.org/10.1016/j.envpol.2019.04.113","http://dx.doi.org/10.1016/j.envpol.2019.04.113")</f>
        <v>http://dx.doi.org/10.1016/j.envpol.2019.04.113</v>
      </c>
      <c r="BG552" t="s">
        <v>74</v>
      </c>
      <c r="BH552" t="s">
        <v>74</v>
      </c>
      <c r="BI552">
        <v>6</v>
      </c>
      <c r="BJ552" t="s">
        <v>797</v>
      </c>
      <c r="BK552" t="s">
        <v>101</v>
      </c>
      <c r="BL552" t="s">
        <v>799</v>
      </c>
      <c r="BM552" t="s">
        <v>10977</v>
      </c>
      <c r="BN552">
        <v>31085475</v>
      </c>
      <c r="BO552" t="s">
        <v>74</v>
      </c>
      <c r="BP552" t="s">
        <v>74</v>
      </c>
      <c r="BQ552" t="s">
        <v>74</v>
      </c>
      <c r="BR552" t="s">
        <v>103</v>
      </c>
      <c r="BS552" t="s">
        <v>10978</v>
      </c>
      <c r="BT552" t="str">
        <f>HYPERLINK("https%3A%2F%2Fwww.webofscience.com%2Fwos%2Fwoscc%2Ffull-record%2FWOS:000471088200095","View Full Record in Web of Science")</f>
        <v>View Full Record in Web of Science</v>
      </c>
    </row>
    <row r="553" spans="1:72" x14ac:dyDescent="0.15">
      <c r="A553" t="s">
        <v>72</v>
      </c>
      <c r="B553" t="s">
        <v>10979</v>
      </c>
      <c r="C553" t="s">
        <v>74</v>
      </c>
      <c r="D553" t="s">
        <v>74</v>
      </c>
      <c r="E553" t="s">
        <v>74</v>
      </c>
      <c r="F553" t="s">
        <v>10980</v>
      </c>
      <c r="G553" t="s">
        <v>74</v>
      </c>
      <c r="H553" t="s">
        <v>74</v>
      </c>
      <c r="I553" t="s">
        <v>10981</v>
      </c>
      <c r="J553" t="s">
        <v>10959</v>
      </c>
      <c r="K553" t="s">
        <v>74</v>
      </c>
      <c r="L553" t="s">
        <v>74</v>
      </c>
      <c r="M553" t="s">
        <v>78</v>
      </c>
      <c r="N553" t="s">
        <v>108</v>
      </c>
      <c r="O553" t="s">
        <v>74</v>
      </c>
      <c r="P553" t="s">
        <v>74</v>
      </c>
      <c r="Q553" t="s">
        <v>74</v>
      </c>
      <c r="R553" t="s">
        <v>74</v>
      </c>
      <c r="S553" t="s">
        <v>74</v>
      </c>
      <c r="T553" t="s">
        <v>10982</v>
      </c>
      <c r="U553" t="s">
        <v>10983</v>
      </c>
      <c r="V553" t="s">
        <v>10984</v>
      </c>
      <c r="W553" t="s">
        <v>10985</v>
      </c>
      <c r="X553" t="s">
        <v>10986</v>
      </c>
      <c r="Y553" t="s">
        <v>10987</v>
      </c>
      <c r="Z553" t="s">
        <v>10988</v>
      </c>
      <c r="AA553" t="s">
        <v>10989</v>
      </c>
      <c r="AB553" t="s">
        <v>10990</v>
      </c>
      <c r="AC553" t="s">
        <v>10991</v>
      </c>
      <c r="AD553" t="s">
        <v>10992</v>
      </c>
      <c r="AE553" t="s">
        <v>10993</v>
      </c>
      <c r="AF553" t="s">
        <v>74</v>
      </c>
      <c r="AG553">
        <v>51</v>
      </c>
      <c r="AH553">
        <v>20</v>
      </c>
      <c r="AI553">
        <v>23</v>
      </c>
      <c r="AJ553">
        <v>4</v>
      </c>
      <c r="AK553">
        <v>76</v>
      </c>
      <c r="AL553" t="s">
        <v>3533</v>
      </c>
      <c r="AM553" t="s">
        <v>93</v>
      </c>
      <c r="AN553" t="s">
        <v>3534</v>
      </c>
      <c r="AO553" t="s">
        <v>10972</v>
      </c>
      <c r="AP553" t="s">
        <v>10973</v>
      </c>
      <c r="AQ553" t="s">
        <v>74</v>
      </c>
      <c r="AR553" t="s">
        <v>10974</v>
      </c>
      <c r="AS553" t="s">
        <v>10975</v>
      </c>
      <c r="AT553" t="s">
        <v>7543</v>
      </c>
      <c r="AU553">
        <v>2019</v>
      </c>
      <c r="AV553">
        <v>250</v>
      </c>
      <c r="AW553" t="s">
        <v>74</v>
      </c>
      <c r="AX553" t="s">
        <v>74</v>
      </c>
      <c r="AY553" t="s">
        <v>74</v>
      </c>
      <c r="AZ553" t="s">
        <v>74</v>
      </c>
      <c r="BA553" t="s">
        <v>74</v>
      </c>
      <c r="BB553">
        <v>953</v>
      </c>
      <c r="BC553">
        <v>959</v>
      </c>
      <c r="BD553" t="s">
        <v>74</v>
      </c>
      <c r="BE553" t="s">
        <v>10994</v>
      </c>
      <c r="BF553" t="str">
        <f>HYPERLINK("http://dx.doi.org/10.1016/j.envpol.2019.04.103","http://dx.doi.org/10.1016/j.envpol.2019.04.103")</f>
        <v>http://dx.doi.org/10.1016/j.envpol.2019.04.103</v>
      </c>
      <c r="BG553" t="s">
        <v>74</v>
      </c>
      <c r="BH553" t="s">
        <v>74</v>
      </c>
      <c r="BI553">
        <v>7</v>
      </c>
      <c r="BJ553" t="s">
        <v>797</v>
      </c>
      <c r="BK553" t="s">
        <v>101</v>
      </c>
      <c r="BL553" t="s">
        <v>799</v>
      </c>
      <c r="BM553" t="s">
        <v>10977</v>
      </c>
      <c r="BN553">
        <v>31085482</v>
      </c>
      <c r="BO553" t="s">
        <v>74</v>
      </c>
      <c r="BP553" t="s">
        <v>74</v>
      </c>
      <c r="BQ553" t="s">
        <v>74</v>
      </c>
      <c r="BR553" t="s">
        <v>103</v>
      </c>
      <c r="BS553" t="s">
        <v>10995</v>
      </c>
      <c r="BT553" t="str">
        <f>HYPERLINK("https%3A%2F%2Fwww.webofscience.com%2Fwos%2Fwoscc%2Ffull-record%2FWOS:000471088200102","View Full Record in Web of Science")</f>
        <v>View Full Record in Web of Science</v>
      </c>
    </row>
    <row r="554" spans="1:72" x14ac:dyDescent="0.15">
      <c r="A554" t="s">
        <v>72</v>
      </c>
      <c r="B554" t="s">
        <v>10996</v>
      </c>
      <c r="C554" t="s">
        <v>74</v>
      </c>
      <c r="D554" t="s">
        <v>74</v>
      </c>
      <c r="E554" t="s">
        <v>74</v>
      </c>
      <c r="F554" t="s">
        <v>10997</v>
      </c>
      <c r="G554" t="s">
        <v>74</v>
      </c>
      <c r="H554" t="s">
        <v>74</v>
      </c>
      <c r="I554" t="s">
        <v>10998</v>
      </c>
      <c r="J554" t="s">
        <v>10999</v>
      </c>
      <c r="K554" t="s">
        <v>74</v>
      </c>
      <c r="L554" t="s">
        <v>74</v>
      </c>
      <c r="M554" t="s">
        <v>78</v>
      </c>
      <c r="N554" t="s">
        <v>108</v>
      </c>
      <c r="O554" t="s">
        <v>74</v>
      </c>
      <c r="P554" t="s">
        <v>74</v>
      </c>
      <c r="Q554" t="s">
        <v>74</v>
      </c>
      <c r="R554" t="s">
        <v>74</v>
      </c>
      <c r="S554" t="s">
        <v>74</v>
      </c>
      <c r="T554" t="s">
        <v>11000</v>
      </c>
      <c r="U554" t="s">
        <v>11001</v>
      </c>
      <c r="V554" t="s">
        <v>11002</v>
      </c>
      <c r="W554" t="s">
        <v>11003</v>
      </c>
      <c r="X554" t="s">
        <v>11004</v>
      </c>
      <c r="Y554" t="s">
        <v>11005</v>
      </c>
      <c r="Z554" t="s">
        <v>11006</v>
      </c>
      <c r="AA554" t="s">
        <v>11007</v>
      </c>
      <c r="AB554" t="s">
        <v>74</v>
      </c>
      <c r="AC554" t="s">
        <v>11008</v>
      </c>
      <c r="AD554" t="s">
        <v>11009</v>
      </c>
      <c r="AE554" t="s">
        <v>11010</v>
      </c>
      <c r="AF554" t="s">
        <v>74</v>
      </c>
      <c r="AG554">
        <v>140</v>
      </c>
      <c r="AH554">
        <v>9</v>
      </c>
      <c r="AI554">
        <v>9</v>
      </c>
      <c r="AJ554">
        <v>0</v>
      </c>
      <c r="AK554">
        <v>8</v>
      </c>
      <c r="AL554" t="s">
        <v>638</v>
      </c>
      <c r="AM554" t="s">
        <v>439</v>
      </c>
      <c r="AN554" t="s">
        <v>639</v>
      </c>
      <c r="AO554" t="s">
        <v>11011</v>
      </c>
      <c r="AP554" t="s">
        <v>11012</v>
      </c>
      <c r="AQ554" t="s">
        <v>74</v>
      </c>
      <c r="AR554" t="s">
        <v>11013</v>
      </c>
      <c r="AS554" t="s">
        <v>11014</v>
      </c>
      <c r="AT554" t="s">
        <v>8453</v>
      </c>
      <c r="AU554">
        <v>2019</v>
      </c>
      <c r="AV554">
        <v>327</v>
      </c>
      <c r="AW554" t="s">
        <v>74</v>
      </c>
      <c r="AX554" t="s">
        <v>74</v>
      </c>
      <c r="AY554" t="s">
        <v>74</v>
      </c>
      <c r="AZ554" t="s">
        <v>74</v>
      </c>
      <c r="BA554" t="s">
        <v>74</v>
      </c>
      <c r="BB554">
        <v>273</v>
      </c>
      <c r="BC554">
        <v>295</v>
      </c>
      <c r="BD554" t="s">
        <v>74</v>
      </c>
      <c r="BE554" t="s">
        <v>11015</v>
      </c>
      <c r="BF554" t="str">
        <f>HYPERLINK("http://dx.doi.org/10.1016/j.precamres.2019.04.002","http://dx.doi.org/10.1016/j.precamres.2019.04.002")</f>
        <v>http://dx.doi.org/10.1016/j.precamres.2019.04.002</v>
      </c>
      <c r="BG554" t="s">
        <v>74</v>
      </c>
      <c r="BH554" t="s">
        <v>74</v>
      </c>
      <c r="BI554">
        <v>23</v>
      </c>
      <c r="BJ554" t="s">
        <v>471</v>
      </c>
      <c r="BK554" t="s">
        <v>101</v>
      </c>
      <c r="BL554" t="s">
        <v>472</v>
      </c>
      <c r="BM554" t="s">
        <v>11016</v>
      </c>
      <c r="BN554" t="s">
        <v>74</v>
      </c>
      <c r="BO554" t="s">
        <v>74</v>
      </c>
      <c r="BP554" t="s">
        <v>74</v>
      </c>
      <c r="BQ554" t="s">
        <v>74</v>
      </c>
      <c r="BR554" t="s">
        <v>103</v>
      </c>
      <c r="BS554" t="s">
        <v>11017</v>
      </c>
      <c r="BT554" t="str">
        <f>HYPERLINK("https%3A%2F%2Fwww.webofscience.com%2Fwos%2Fwoscc%2Ffull-record%2FWOS:000471358100015","View Full Record in Web of Science")</f>
        <v>View Full Record in Web of Science</v>
      </c>
    </row>
    <row r="555" spans="1:72" x14ac:dyDescent="0.15">
      <c r="A555" t="s">
        <v>72</v>
      </c>
      <c r="B555" t="s">
        <v>11018</v>
      </c>
      <c r="C555" t="s">
        <v>74</v>
      </c>
      <c r="D555" t="s">
        <v>74</v>
      </c>
      <c r="E555" t="s">
        <v>74</v>
      </c>
      <c r="F555" t="s">
        <v>11019</v>
      </c>
      <c r="G555" t="s">
        <v>74</v>
      </c>
      <c r="H555" t="s">
        <v>74</v>
      </c>
      <c r="I555" t="s">
        <v>11020</v>
      </c>
      <c r="J555" t="s">
        <v>197</v>
      </c>
      <c r="K555" t="s">
        <v>74</v>
      </c>
      <c r="L555" t="s">
        <v>74</v>
      </c>
      <c r="M555" t="s">
        <v>78</v>
      </c>
      <c r="N555" t="s">
        <v>108</v>
      </c>
      <c r="O555" t="s">
        <v>74</v>
      </c>
      <c r="P555" t="s">
        <v>74</v>
      </c>
      <c r="Q555" t="s">
        <v>74</v>
      </c>
      <c r="R555" t="s">
        <v>74</v>
      </c>
      <c r="S555" t="s">
        <v>74</v>
      </c>
      <c r="T555" t="s">
        <v>11021</v>
      </c>
      <c r="U555" t="s">
        <v>11022</v>
      </c>
      <c r="V555" t="s">
        <v>11023</v>
      </c>
      <c r="W555" t="s">
        <v>11024</v>
      </c>
      <c r="X555" t="s">
        <v>11025</v>
      </c>
      <c r="Y555" t="s">
        <v>11026</v>
      </c>
      <c r="Z555" t="s">
        <v>11027</v>
      </c>
      <c r="AA555" t="s">
        <v>74</v>
      </c>
      <c r="AB555" t="s">
        <v>11028</v>
      </c>
      <c r="AC555" t="s">
        <v>74</v>
      </c>
      <c r="AD555" t="s">
        <v>74</v>
      </c>
      <c r="AE555" t="s">
        <v>74</v>
      </c>
      <c r="AF555" t="s">
        <v>74</v>
      </c>
      <c r="AG555">
        <v>21</v>
      </c>
      <c r="AH555">
        <v>2</v>
      </c>
      <c r="AI555">
        <v>2</v>
      </c>
      <c r="AJ555">
        <v>0</v>
      </c>
      <c r="AK555">
        <v>11</v>
      </c>
      <c r="AL555" t="s">
        <v>210</v>
      </c>
      <c r="AM555" t="s">
        <v>211</v>
      </c>
      <c r="AN555" t="s">
        <v>11029</v>
      </c>
      <c r="AO555" t="s">
        <v>213</v>
      </c>
      <c r="AP555" t="s">
        <v>214</v>
      </c>
      <c r="AQ555" t="s">
        <v>74</v>
      </c>
      <c r="AR555" t="s">
        <v>197</v>
      </c>
      <c r="AS555" t="s">
        <v>215</v>
      </c>
      <c r="AT555" t="s">
        <v>7543</v>
      </c>
      <c r="AU555">
        <v>2019</v>
      </c>
      <c r="AV555">
        <v>23</v>
      </c>
      <c r="AW555">
        <v>4</v>
      </c>
      <c r="AX555" t="s">
        <v>74</v>
      </c>
      <c r="AY555" t="s">
        <v>74</v>
      </c>
      <c r="AZ555" t="s">
        <v>74</v>
      </c>
      <c r="BA555" t="s">
        <v>74</v>
      </c>
      <c r="BB555">
        <v>461</v>
      </c>
      <c r="BC555">
        <v>466</v>
      </c>
      <c r="BD555" t="s">
        <v>74</v>
      </c>
      <c r="BE555" t="s">
        <v>11030</v>
      </c>
      <c r="BF555" t="str">
        <f>HYPERLINK("http://dx.doi.org/10.1007/s00792-019-01097-5","http://dx.doi.org/10.1007/s00792-019-01097-5")</f>
        <v>http://dx.doi.org/10.1007/s00792-019-01097-5</v>
      </c>
      <c r="BG555" t="s">
        <v>74</v>
      </c>
      <c r="BH555" t="s">
        <v>74</v>
      </c>
      <c r="BI555">
        <v>6</v>
      </c>
      <c r="BJ555" t="s">
        <v>217</v>
      </c>
      <c r="BK555" t="s">
        <v>101</v>
      </c>
      <c r="BL555" t="s">
        <v>217</v>
      </c>
      <c r="BM555" t="s">
        <v>11031</v>
      </c>
      <c r="BN555">
        <v>31089891</v>
      </c>
      <c r="BO555" t="s">
        <v>74</v>
      </c>
      <c r="BP555" t="s">
        <v>74</v>
      </c>
      <c r="BQ555" t="s">
        <v>74</v>
      </c>
      <c r="BR555" t="s">
        <v>103</v>
      </c>
      <c r="BS555" t="s">
        <v>11032</v>
      </c>
      <c r="BT555" t="str">
        <f>HYPERLINK("https%3A%2F%2Fwww.webofscience.com%2Fwos%2Fwoscc%2Ffull-record%2FWOS:000471018700009","View Full Record in Web of Science")</f>
        <v>View Full Record in Web of Science</v>
      </c>
    </row>
    <row r="556" spans="1:72" x14ac:dyDescent="0.15">
      <c r="A556" t="s">
        <v>72</v>
      </c>
      <c r="B556" t="s">
        <v>11033</v>
      </c>
      <c r="C556" t="s">
        <v>74</v>
      </c>
      <c r="D556" t="s">
        <v>74</v>
      </c>
      <c r="E556" t="s">
        <v>74</v>
      </c>
      <c r="F556" t="s">
        <v>11034</v>
      </c>
      <c r="G556" t="s">
        <v>74</v>
      </c>
      <c r="H556" t="s">
        <v>74</v>
      </c>
      <c r="I556" t="s">
        <v>11035</v>
      </c>
      <c r="J556" t="s">
        <v>7751</v>
      </c>
      <c r="K556" t="s">
        <v>74</v>
      </c>
      <c r="L556" t="s">
        <v>74</v>
      </c>
      <c r="M556" t="s">
        <v>78</v>
      </c>
      <c r="N556" t="s">
        <v>108</v>
      </c>
      <c r="O556" t="s">
        <v>74</v>
      </c>
      <c r="P556" t="s">
        <v>74</v>
      </c>
      <c r="Q556" t="s">
        <v>74</v>
      </c>
      <c r="R556" t="s">
        <v>74</v>
      </c>
      <c r="S556" t="s">
        <v>74</v>
      </c>
      <c r="T556" t="s">
        <v>11036</v>
      </c>
      <c r="U556" t="s">
        <v>11037</v>
      </c>
      <c r="V556" t="s">
        <v>11038</v>
      </c>
      <c r="W556" t="s">
        <v>11039</v>
      </c>
      <c r="X556" t="s">
        <v>11040</v>
      </c>
      <c r="Y556" t="s">
        <v>11041</v>
      </c>
      <c r="Z556" t="s">
        <v>11042</v>
      </c>
      <c r="AA556" t="s">
        <v>74</v>
      </c>
      <c r="AB556" t="s">
        <v>74</v>
      </c>
      <c r="AC556" t="s">
        <v>11043</v>
      </c>
      <c r="AD556" t="s">
        <v>11044</v>
      </c>
      <c r="AE556" t="s">
        <v>11045</v>
      </c>
      <c r="AF556" t="s">
        <v>74</v>
      </c>
      <c r="AG556">
        <v>39</v>
      </c>
      <c r="AH556">
        <v>2</v>
      </c>
      <c r="AI556">
        <v>4</v>
      </c>
      <c r="AJ556">
        <v>0</v>
      </c>
      <c r="AK556">
        <v>11</v>
      </c>
      <c r="AL556" t="s">
        <v>638</v>
      </c>
      <c r="AM556" t="s">
        <v>439</v>
      </c>
      <c r="AN556" t="s">
        <v>639</v>
      </c>
      <c r="AO556" t="s">
        <v>7764</v>
      </c>
      <c r="AP556" t="s">
        <v>7765</v>
      </c>
      <c r="AQ556" t="s">
        <v>74</v>
      </c>
      <c r="AR556" t="s">
        <v>7751</v>
      </c>
      <c r="AS556" t="s">
        <v>7766</v>
      </c>
      <c r="AT556" t="s">
        <v>8453</v>
      </c>
      <c r="AU556">
        <v>2019</v>
      </c>
      <c r="AV556">
        <v>336</v>
      </c>
      <c r="AW556" t="s">
        <v>74</v>
      </c>
      <c r="AX556" t="s">
        <v>74</v>
      </c>
      <c r="AY556" t="s">
        <v>74</v>
      </c>
      <c r="AZ556" t="s">
        <v>74</v>
      </c>
      <c r="BA556" t="s">
        <v>74</v>
      </c>
      <c r="BB556">
        <v>40</v>
      </c>
      <c r="BC556">
        <v>51</v>
      </c>
      <c r="BD556" t="s">
        <v>74</v>
      </c>
      <c r="BE556" t="s">
        <v>11046</v>
      </c>
      <c r="BF556" t="str">
        <f>HYPERLINK("http://dx.doi.org/10.1016/j.geomorph.2019.03.019","http://dx.doi.org/10.1016/j.geomorph.2019.03.019")</f>
        <v>http://dx.doi.org/10.1016/j.geomorph.2019.03.019</v>
      </c>
      <c r="BG556" t="s">
        <v>74</v>
      </c>
      <c r="BH556" t="s">
        <v>74</v>
      </c>
      <c r="BI556">
        <v>12</v>
      </c>
      <c r="BJ556" t="s">
        <v>310</v>
      </c>
      <c r="BK556" t="s">
        <v>101</v>
      </c>
      <c r="BL556" t="s">
        <v>311</v>
      </c>
      <c r="BM556" t="s">
        <v>11047</v>
      </c>
      <c r="BN556" t="s">
        <v>74</v>
      </c>
      <c r="BO556" t="s">
        <v>537</v>
      </c>
      <c r="BP556" t="s">
        <v>74</v>
      </c>
      <c r="BQ556" t="s">
        <v>74</v>
      </c>
      <c r="BR556" t="s">
        <v>103</v>
      </c>
      <c r="BS556" t="s">
        <v>11048</v>
      </c>
      <c r="BT556" t="str">
        <f>HYPERLINK("https%3A%2F%2Fwww.webofscience.com%2Fwos%2Fwoscc%2Ffull-record%2FWOS:000471081700004","View Full Record in Web of Science")</f>
        <v>View Full Record in Web of Science</v>
      </c>
    </row>
    <row r="557" spans="1:72" x14ac:dyDescent="0.15">
      <c r="A557" t="s">
        <v>72</v>
      </c>
      <c r="B557" t="s">
        <v>11049</v>
      </c>
      <c r="C557" t="s">
        <v>74</v>
      </c>
      <c r="D557" t="s">
        <v>74</v>
      </c>
      <c r="E557" t="s">
        <v>74</v>
      </c>
      <c r="F557" t="s">
        <v>11050</v>
      </c>
      <c r="G557" t="s">
        <v>74</v>
      </c>
      <c r="H557" t="s">
        <v>74</v>
      </c>
      <c r="I557" t="s">
        <v>11051</v>
      </c>
      <c r="J557" t="s">
        <v>238</v>
      </c>
      <c r="K557" t="s">
        <v>74</v>
      </c>
      <c r="L557" t="s">
        <v>74</v>
      </c>
      <c r="M557" t="s">
        <v>78</v>
      </c>
      <c r="N557" t="s">
        <v>108</v>
      </c>
      <c r="O557" t="s">
        <v>74</v>
      </c>
      <c r="P557" t="s">
        <v>74</v>
      </c>
      <c r="Q557" t="s">
        <v>74</v>
      </c>
      <c r="R557" t="s">
        <v>74</v>
      </c>
      <c r="S557" t="s">
        <v>74</v>
      </c>
      <c r="T557" t="s">
        <v>11052</v>
      </c>
      <c r="U557" t="s">
        <v>11053</v>
      </c>
      <c r="V557" t="s">
        <v>11054</v>
      </c>
      <c r="W557" t="s">
        <v>11055</v>
      </c>
      <c r="X557" t="s">
        <v>11056</v>
      </c>
      <c r="Y557" t="s">
        <v>11057</v>
      </c>
      <c r="Z557" t="s">
        <v>11058</v>
      </c>
      <c r="AA557" t="s">
        <v>11059</v>
      </c>
      <c r="AB557" t="s">
        <v>11060</v>
      </c>
      <c r="AC557" t="s">
        <v>11061</v>
      </c>
      <c r="AD557" t="s">
        <v>11062</v>
      </c>
      <c r="AE557" t="s">
        <v>11063</v>
      </c>
      <c r="AF557" t="s">
        <v>74</v>
      </c>
      <c r="AG557">
        <v>42</v>
      </c>
      <c r="AH557">
        <v>19</v>
      </c>
      <c r="AI557">
        <v>24</v>
      </c>
      <c r="AJ557">
        <v>1</v>
      </c>
      <c r="AK557">
        <v>12</v>
      </c>
      <c r="AL557" t="s">
        <v>251</v>
      </c>
      <c r="AM557" t="s">
        <v>252</v>
      </c>
      <c r="AN557" t="s">
        <v>253</v>
      </c>
      <c r="AO557" t="s">
        <v>254</v>
      </c>
      <c r="AP557" t="s">
        <v>255</v>
      </c>
      <c r="AQ557" t="s">
        <v>74</v>
      </c>
      <c r="AR557" t="s">
        <v>256</v>
      </c>
      <c r="AS557" t="s">
        <v>257</v>
      </c>
      <c r="AT557" t="s">
        <v>7543</v>
      </c>
      <c r="AU557">
        <v>2019</v>
      </c>
      <c r="AV557">
        <v>32</v>
      </c>
      <c r="AW557">
        <v>13</v>
      </c>
      <c r="AX557" t="s">
        <v>74</v>
      </c>
      <c r="AY557" t="s">
        <v>74</v>
      </c>
      <c r="AZ557" t="s">
        <v>74</v>
      </c>
      <c r="BA557" t="s">
        <v>74</v>
      </c>
      <c r="BB557">
        <v>3941</v>
      </c>
      <c r="BC557">
        <v>3956</v>
      </c>
      <c r="BD557" t="s">
        <v>74</v>
      </c>
      <c r="BE557" t="s">
        <v>11064</v>
      </c>
      <c r="BF557" t="str">
        <f>HYPERLINK("http://dx.doi.org/10.1175/JCLI-D-18-0546.1","http://dx.doi.org/10.1175/JCLI-D-18-0546.1")</f>
        <v>http://dx.doi.org/10.1175/JCLI-D-18-0546.1</v>
      </c>
      <c r="BG557" t="s">
        <v>74</v>
      </c>
      <c r="BH557" t="s">
        <v>74</v>
      </c>
      <c r="BI557">
        <v>16</v>
      </c>
      <c r="BJ557" t="s">
        <v>259</v>
      </c>
      <c r="BK557" t="s">
        <v>101</v>
      </c>
      <c r="BL557" t="s">
        <v>259</v>
      </c>
      <c r="BM557" t="s">
        <v>11065</v>
      </c>
      <c r="BN557" t="s">
        <v>74</v>
      </c>
      <c r="BO557" t="s">
        <v>595</v>
      </c>
      <c r="BP557" t="s">
        <v>74</v>
      </c>
      <c r="BQ557" t="s">
        <v>74</v>
      </c>
      <c r="BR557" t="s">
        <v>103</v>
      </c>
      <c r="BS557" t="s">
        <v>11066</v>
      </c>
      <c r="BT557" t="str">
        <f>HYPERLINK("https%3A%2F%2Fwww.webofscience.com%2Fwos%2Fwoscc%2Ffull-record%2FWOS:000471115300003","View Full Record in Web of Science")</f>
        <v>View Full Record in Web of Science</v>
      </c>
    </row>
    <row r="558" spans="1:72" x14ac:dyDescent="0.15">
      <c r="A558" t="s">
        <v>72</v>
      </c>
      <c r="B558" t="s">
        <v>11067</v>
      </c>
      <c r="C558" t="s">
        <v>74</v>
      </c>
      <c r="D558" t="s">
        <v>74</v>
      </c>
      <c r="E558" t="s">
        <v>74</v>
      </c>
      <c r="F558" t="s">
        <v>11068</v>
      </c>
      <c r="G558" t="s">
        <v>74</v>
      </c>
      <c r="H558" t="s">
        <v>74</v>
      </c>
      <c r="I558" t="s">
        <v>11069</v>
      </c>
      <c r="J558" t="s">
        <v>11070</v>
      </c>
      <c r="K558" t="s">
        <v>74</v>
      </c>
      <c r="L558" t="s">
        <v>74</v>
      </c>
      <c r="M558" t="s">
        <v>78</v>
      </c>
      <c r="N558" t="s">
        <v>108</v>
      </c>
      <c r="O558" t="s">
        <v>74</v>
      </c>
      <c r="P558" t="s">
        <v>74</v>
      </c>
      <c r="Q558" t="s">
        <v>74</v>
      </c>
      <c r="R558" t="s">
        <v>74</v>
      </c>
      <c r="S558" t="s">
        <v>74</v>
      </c>
      <c r="T558" t="s">
        <v>11071</v>
      </c>
      <c r="U558" t="s">
        <v>11072</v>
      </c>
      <c r="V558" t="s">
        <v>11073</v>
      </c>
      <c r="W558" t="s">
        <v>11074</v>
      </c>
      <c r="X558" t="s">
        <v>11075</v>
      </c>
      <c r="Y558" t="s">
        <v>11076</v>
      </c>
      <c r="Z558" t="s">
        <v>11077</v>
      </c>
      <c r="AA558" t="s">
        <v>11078</v>
      </c>
      <c r="AB558" t="s">
        <v>11079</v>
      </c>
      <c r="AC558" t="s">
        <v>11080</v>
      </c>
      <c r="AD558" t="s">
        <v>11081</v>
      </c>
      <c r="AE558" t="s">
        <v>11082</v>
      </c>
      <c r="AF558" t="s">
        <v>74</v>
      </c>
      <c r="AG558">
        <v>31</v>
      </c>
      <c r="AH558">
        <v>7</v>
      </c>
      <c r="AI558">
        <v>7</v>
      </c>
      <c r="AJ558">
        <v>0</v>
      </c>
      <c r="AK558">
        <v>12</v>
      </c>
      <c r="AL558" t="s">
        <v>1140</v>
      </c>
      <c r="AM558" t="s">
        <v>1141</v>
      </c>
      <c r="AN558" t="s">
        <v>1142</v>
      </c>
      <c r="AO558" t="s">
        <v>11083</v>
      </c>
      <c r="AP558" t="s">
        <v>11084</v>
      </c>
      <c r="AQ558" t="s">
        <v>74</v>
      </c>
      <c r="AR558" t="s">
        <v>11085</v>
      </c>
      <c r="AS558" t="s">
        <v>11086</v>
      </c>
      <c r="AT558" t="s">
        <v>7543</v>
      </c>
      <c r="AU558">
        <v>2019</v>
      </c>
      <c r="AV558">
        <v>42</v>
      </c>
      <c r="AW558">
        <v>7</v>
      </c>
      <c r="AX558" t="s">
        <v>74</v>
      </c>
      <c r="AY558" t="s">
        <v>74</v>
      </c>
      <c r="AZ558" t="s">
        <v>74</v>
      </c>
      <c r="BA558" t="s">
        <v>74</v>
      </c>
      <c r="BB558">
        <v>1047</v>
      </c>
      <c r="BC558">
        <v>1056</v>
      </c>
      <c r="BD558" t="s">
        <v>74</v>
      </c>
      <c r="BE558" t="s">
        <v>11087</v>
      </c>
      <c r="BF558" t="str">
        <f>HYPERLINK("http://dx.doi.org/10.1111/jfd.13016","http://dx.doi.org/10.1111/jfd.13016")</f>
        <v>http://dx.doi.org/10.1111/jfd.13016</v>
      </c>
      <c r="BG558" t="s">
        <v>74</v>
      </c>
      <c r="BH558" t="s">
        <v>74</v>
      </c>
      <c r="BI558">
        <v>10</v>
      </c>
      <c r="BJ558" t="s">
        <v>11088</v>
      </c>
      <c r="BK558" t="s">
        <v>101</v>
      </c>
      <c r="BL558" t="s">
        <v>11088</v>
      </c>
      <c r="BM558" t="s">
        <v>11089</v>
      </c>
      <c r="BN558">
        <v>31094002</v>
      </c>
      <c r="BO558" t="s">
        <v>74</v>
      </c>
      <c r="BP558" t="s">
        <v>74</v>
      </c>
      <c r="BQ558" t="s">
        <v>74</v>
      </c>
      <c r="BR558" t="s">
        <v>103</v>
      </c>
      <c r="BS558" t="s">
        <v>11090</v>
      </c>
      <c r="BT558" t="str">
        <f>HYPERLINK("https%3A%2F%2Fwww.webofscience.com%2Fwos%2Fwoscc%2Ffull-record%2FWOS:000470981700010","View Full Record in Web of Science")</f>
        <v>View Full Record in Web of Science</v>
      </c>
    </row>
    <row r="559" spans="1:72" x14ac:dyDescent="0.15">
      <c r="A559" t="s">
        <v>72</v>
      </c>
      <c r="B559" t="s">
        <v>11091</v>
      </c>
      <c r="C559" t="s">
        <v>74</v>
      </c>
      <c r="D559" t="s">
        <v>74</v>
      </c>
      <c r="E559" t="s">
        <v>74</v>
      </c>
      <c r="F559" t="s">
        <v>11092</v>
      </c>
      <c r="G559" t="s">
        <v>74</v>
      </c>
      <c r="H559" t="s">
        <v>74</v>
      </c>
      <c r="I559" t="s">
        <v>11093</v>
      </c>
      <c r="J559" t="s">
        <v>5910</v>
      </c>
      <c r="K559" t="s">
        <v>74</v>
      </c>
      <c r="L559" t="s">
        <v>74</v>
      </c>
      <c r="M559" t="s">
        <v>78</v>
      </c>
      <c r="N559" t="s">
        <v>108</v>
      </c>
      <c r="O559" t="s">
        <v>74</v>
      </c>
      <c r="P559" t="s">
        <v>74</v>
      </c>
      <c r="Q559" t="s">
        <v>74</v>
      </c>
      <c r="R559" t="s">
        <v>74</v>
      </c>
      <c r="S559" t="s">
        <v>74</v>
      </c>
      <c r="T559" t="s">
        <v>11094</v>
      </c>
      <c r="U559" t="s">
        <v>11095</v>
      </c>
      <c r="V559" t="s">
        <v>11096</v>
      </c>
      <c r="W559" t="s">
        <v>11097</v>
      </c>
      <c r="X559" t="s">
        <v>11098</v>
      </c>
      <c r="Y559" t="s">
        <v>11099</v>
      </c>
      <c r="Z559" t="s">
        <v>11100</v>
      </c>
      <c r="AA559" t="s">
        <v>11101</v>
      </c>
      <c r="AB559" t="s">
        <v>11102</v>
      </c>
      <c r="AC559" t="s">
        <v>11103</v>
      </c>
      <c r="AD559" t="s">
        <v>11104</v>
      </c>
      <c r="AE559" t="s">
        <v>11105</v>
      </c>
      <c r="AF559" t="s">
        <v>74</v>
      </c>
      <c r="AG559">
        <v>52</v>
      </c>
      <c r="AH559">
        <v>8</v>
      </c>
      <c r="AI559">
        <v>8</v>
      </c>
      <c r="AJ559">
        <v>1</v>
      </c>
      <c r="AK559">
        <v>11</v>
      </c>
      <c r="AL559" t="s">
        <v>638</v>
      </c>
      <c r="AM559" t="s">
        <v>439</v>
      </c>
      <c r="AN559" t="s">
        <v>639</v>
      </c>
      <c r="AO559" t="s">
        <v>5923</v>
      </c>
      <c r="AP559" t="s">
        <v>5924</v>
      </c>
      <c r="AQ559" t="s">
        <v>74</v>
      </c>
      <c r="AR559" t="s">
        <v>5925</v>
      </c>
      <c r="AS559" t="s">
        <v>5926</v>
      </c>
      <c r="AT559" t="s">
        <v>7543</v>
      </c>
      <c r="AU559">
        <v>2019</v>
      </c>
      <c r="AV559">
        <v>102</v>
      </c>
      <c r="AW559" t="s">
        <v>74</v>
      </c>
      <c r="AX559" t="s">
        <v>74</v>
      </c>
      <c r="AY559" t="s">
        <v>74</v>
      </c>
      <c r="AZ559" t="s">
        <v>74</v>
      </c>
      <c r="BA559" t="s">
        <v>74</v>
      </c>
      <c r="BB559">
        <v>693</v>
      </c>
      <c r="BC559">
        <v>703</v>
      </c>
      <c r="BD559" t="s">
        <v>74</v>
      </c>
      <c r="BE559" t="s">
        <v>11106</v>
      </c>
      <c r="BF559" t="str">
        <f>HYPERLINK("http://dx.doi.org/10.1016/j.ecolind.2019.03.022","http://dx.doi.org/10.1016/j.ecolind.2019.03.022")</f>
        <v>http://dx.doi.org/10.1016/j.ecolind.2019.03.022</v>
      </c>
      <c r="BG559" t="s">
        <v>74</v>
      </c>
      <c r="BH559" t="s">
        <v>74</v>
      </c>
      <c r="BI559">
        <v>11</v>
      </c>
      <c r="BJ559" t="s">
        <v>5928</v>
      </c>
      <c r="BK559" t="s">
        <v>101</v>
      </c>
      <c r="BL559" t="s">
        <v>1646</v>
      </c>
      <c r="BM559" t="s">
        <v>10622</v>
      </c>
      <c r="BN559" t="s">
        <v>74</v>
      </c>
      <c r="BO559" t="s">
        <v>6963</v>
      </c>
      <c r="BP559" t="s">
        <v>74</v>
      </c>
      <c r="BQ559" t="s">
        <v>74</v>
      </c>
      <c r="BR559" t="s">
        <v>103</v>
      </c>
      <c r="BS559" t="s">
        <v>11107</v>
      </c>
      <c r="BT559" t="str">
        <f>HYPERLINK("https%3A%2F%2Fwww.webofscience.com%2Fwos%2Fwoscc%2Ffull-record%2FWOS:000470964500069","View Full Record in Web of Science")</f>
        <v>View Full Record in Web of Science</v>
      </c>
    </row>
    <row r="560" spans="1:72" x14ac:dyDescent="0.15">
      <c r="A560" t="s">
        <v>72</v>
      </c>
      <c r="B560" t="s">
        <v>11108</v>
      </c>
      <c r="C560" t="s">
        <v>74</v>
      </c>
      <c r="D560" t="s">
        <v>74</v>
      </c>
      <c r="E560" t="s">
        <v>74</v>
      </c>
      <c r="F560" t="s">
        <v>11109</v>
      </c>
      <c r="G560" t="s">
        <v>74</v>
      </c>
      <c r="H560" t="s">
        <v>74</v>
      </c>
      <c r="I560" t="s">
        <v>11110</v>
      </c>
      <c r="J560" t="s">
        <v>519</v>
      </c>
      <c r="K560" t="s">
        <v>74</v>
      </c>
      <c r="L560" t="s">
        <v>74</v>
      </c>
      <c r="M560" t="s">
        <v>78</v>
      </c>
      <c r="N560" t="s">
        <v>108</v>
      </c>
      <c r="O560" t="s">
        <v>74</v>
      </c>
      <c r="P560" t="s">
        <v>74</v>
      </c>
      <c r="Q560" t="s">
        <v>74</v>
      </c>
      <c r="R560" t="s">
        <v>74</v>
      </c>
      <c r="S560" t="s">
        <v>74</v>
      </c>
      <c r="T560" t="s">
        <v>11111</v>
      </c>
      <c r="U560" t="s">
        <v>11112</v>
      </c>
      <c r="V560" t="s">
        <v>11113</v>
      </c>
      <c r="W560" t="s">
        <v>11114</v>
      </c>
      <c r="X560" t="s">
        <v>11115</v>
      </c>
      <c r="Y560" t="s">
        <v>11116</v>
      </c>
      <c r="Z560" t="s">
        <v>11117</v>
      </c>
      <c r="AA560" t="s">
        <v>11118</v>
      </c>
      <c r="AB560" t="s">
        <v>11119</v>
      </c>
      <c r="AC560" t="s">
        <v>11120</v>
      </c>
      <c r="AD560" t="s">
        <v>11121</v>
      </c>
      <c r="AE560" t="s">
        <v>11122</v>
      </c>
      <c r="AF560" t="s">
        <v>74</v>
      </c>
      <c r="AG560">
        <v>54</v>
      </c>
      <c r="AH560">
        <v>56</v>
      </c>
      <c r="AI560">
        <v>58</v>
      </c>
      <c r="AJ560">
        <v>5</v>
      </c>
      <c r="AK560">
        <v>52</v>
      </c>
      <c r="AL560" t="s">
        <v>638</v>
      </c>
      <c r="AM560" t="s">
        <v>439</v>
      </c>
      <c r="AN560" t="s">
        <v>639</v>
      </c>
      <c r="AO560" t="s">
        <v>531</v>
      </c>
      <c r="AP560" t="s">
        <v>532</v>
      </c>
      <c r="AQ560" t="s">
        <v>74</v>
      </c>
      <c r="AR560" t="s">
        <v>533</v>
      </c>
      <c r="AS560" t="s">
        <v>534</v>
      </c>
      <c r="AT560" t="s">
        <v>8453</v>
      </c>
      <c r="AU560">
        <v>2019</v>
      </c>
      <c r="AV560">
        <v>517</v>
      </c>
      <c r="AW560" t="s">
        <v>74</v>
      </c>
      <c r="AX560" t="s">
        <v>74</v>
      </c>
      <c r="AY560" t="s">
        <v>74</v>
      </c>
      <c r="AZ560" t="s">
        <v>74</v>
      </c>
      <c r="BA560" t="s">
        <v>74</v>
      </c>
      <c r="BB560">
        <v>71</v>
      </c>
      <c r="BC560">
        <v>82</v>
      </c>
      <c r="BD560" t="s">
        <v>74</v>
      </c>
      <c r="BE560" t="s">
        <v>11123</v>
      </c>
      <c r="BF560" t="str">
        <f>HYPERLINK("http://dx.doi.org/10.1016/j.epsl.2019.04.013","http://dx.doi.org/10.1016/j.epsl.2019.04.013")</f>
        <v>http://dx.doi.org/10.1016/j.epsl.2019.04.013</v>
      </c>
      <c r="BG560" t="s">
        <v>74</v>
      </c>
      <c r="BH560" t="s">
        <v>74</v>
      </c>
      <c r="BI560">
        <v>12</v>
      </c>
      <c r="BJ560" t="s">
        <v>190</v>
      </c>
      <c r="BK560" t="s">
        <v>101</v>
      </c>
      <c r="BL560" t="s">
        <v>190</v>
      </c>
      <c r="BM560" t="s">
        <v>11124</v>
      </c>
      <c r="BN560" t="s">
        <v>74</v>
      </c>
      <c r="BO560" t="s">
        <v>537</v>
      </c>
      <c r="BP560" t="s">
        <v>74</v>
      </c>
      <c r="BQ560" t="s">
        <v>74</v>
      </c>
      <c r="BR560" t="s">
        <v>103</v>
      </c>
      <c r="BS560" t="s">
        <v>11125</v>
      </c>
      <c r="BT560" t="str">
        <f>HYPERLINK("https%3A%2F%2Fwww.webofscience.com%2Fwos%2Fwoscc%2Ffull-record%2FWOS:000470053300007","View Full Record in Web of Science")</f>
        <v>View Full Record in Web of Science</v>
      </c>
    </row>
    <row r="561" spans="1:72" x14ac:dyDescent="0.15">
      <c r="A561" t="s">
        <v>72</v>
      </c>
      <c r="B561" t="s">
        <v>11126</v>
      </c>
      <c r="C561" t="s">
        <v>74</v>
      </c>
      <c r="D561" t="s">
        <v>74</v>
      </c>
      <c r="E561" t="s">
        <v>74</v>
      </c>
      <c r="F561" t="s">
        <v>11127</v>
      </c>
      <c r="G561" t="s">
        <v>74</v>
      </c>
      <c r="H561" t="s">
        <v>74</v>
      </c>
      <c r="I561" t="s">
        <v>11128</v>
      </c>
      <c r="J561" t="s">
        <v>11129</v>
      </c>
      <c r="K561" t="s">
        <v>74</v>
      </c>
      <c r="L561" t="s">
        <v>74</v>
      </c>
      <c r="M561" t="s">
        <v>78</v>
      </c>
      <c r="N561" t="s">
        <v>108</v>
      </c>
      <c r="O561" t="s">
        <v>74</v>
      </c>
      <c r="P561" t="s">
        <v>74</v>
      </c>
      <c r="Q561" t="s">
        <v>74</v>
      </c>
      <c r="R561" t="s">
        <v>74</v>
      </c>
      <c r="S561" t="s">
        <v>74</v>
      </c>
      <c r="T561" t="s">
        <v>11130</v>
      </c>
      <c r="U561" t="s">
        <v>11131</v>
      </c>
      <c r="V561" t="s">
        <v>11132</v>
      </c>
      <c r="W561" t="s">
        <v>11133</v>
      </c>
      <c r="X561" t="s">
        <v>11134</v>
      </c>
      <c r="Y561" t="s">
        <v>11135</v>
      </c>
      <c r="Z561" t="s">
        <v>11136</v>
      </c>
      <c r="AA561" t="s">
        <v>11137</v>
      </c>
      <c r="AB561" t="s">
        <v>11138</v>
      </c>
      <c r="AC561" t="s">
        <v>11139</v>
      </c>
      <c r="AD561" t="s">
        <v>11140</v>
      </c>
      <c r="AE561" t="s">
        <v>11141</v>
      </c>
      <c r="AF561" t="s">
        <v>74</v>
      </c>
      <c r="AG561">
        <v>68</v>
      </c>
      <c r="AH561">
        <v>55</v>
      </c>
      <c r="AI561">
        <v>66</v>
      </c>
      <c r="AJ561">
        <v>11</v>
      </c>
      <c r="AK561">
        <v>115</v>
      </c>
      <c r="AL561" t="s">
        <v>638</v>
      </c>
      <c r="AM561" t="s">
        <v>439</v>
      </c>
      <c r="AN561" t="s">
        <v>639</v>
      </c>
      <c r="AO561" t="s">
        <v>11142</v>
      </c>
      <c r="AP561" t="s">
        <v>11143</v>
      </c>
      <c r="AQ561" t="s">
        <v>74</v>
      </c>
      <c r="AR561" t="s">
        <v>11144</v>
      </c>
      <c r="AS561" t="s">
        <v>11145</v>
      </c>
      <c r="AT561" t="s">
        <v>7543</v>
      </c>
      <c r="AU561">
        <v>2019</v>
      </c>
      <c r="AV561">
        <v>121</v>
      </c>
      <c r="AW561" t="s">
        <v>74</v>
      </c>
      <c r="AX561" t="s">
        <v>74</v>
      </c>
      <c r="AY561" t="s">
        <v>74</v>
      </c>
      <c r="AZ561" t="s">
        <v>74</v>
      </c>
      <c r="BA561" t="s">
        <v>74</v>
      </c>
      <c r="BB561">
        <v>197</v>
      </c>
      <c r="BC561">
        <v>204</v>
      </c>
      <c r="BD561" t="s">
        <v>74</v>
      </c>
      <c r="BE561" t="s">
        <v>11146</v>
      </c>
      <c r="BF561" t="str">
        <f>HYPERLINK("http://dx.doi.org/10.1016/j.foodres.2019.03.035","http://dx.doi.org/10.1016/j.foodres.2019.03.035")</f>
        <v>http://dx.doi.org/10.1016/j.foodres.2019.03.035</v>
      </c>
      <c r="BG561" t="s">
        <v>74</v>
      </c>
      <c r="BH561" t="s">
        <v>74</v>
      </c>
      <c r="BI561">
        <v>8</v>
      </c>
      <c r="BJ561" t="s">
        <v>7313</v>
      </c>
      <c r="BK561" t="s">
        <v>101</v>
      </c>
      <c r="BL561" t="s">
        <v>7313</v>
      </c>
      <c r="BM561" t="s">
        <v>11147</v>
      </c>
      <c r="BN561">
        <v>31108740</v>
      </c>
      <c r="BO561" t="s">
        <v>74</v>
      </c>
      <c r="BP561" t="s">
        <v>74</v>
      </c>
      <c r="BQ561" t="s">
        <v>74</v>
      </c>
      <c r="BR561" t="s">
        <v>103</v>
      </c>
      <c r="BS561" t="s">
        <v>11148</v>
      </c>
      <c r="BT561" t="str">
        <f>HYPERLINK("https%3A%2F%2Fwww.webofscience.com%2Fwos%2Fwoscc%2Ffull-record%2FWOS:000470048200021","View Full Record in Web of Science")</f>
        <v>View Full Record in Web of Science</v>
      </c>
    </row>
    <row r="562" spans="1:72" x14ac:dyDescent="0.15">
      <c r="A562" t="s">
        <v>72</v>
      </c>
      <c r="B562" t="s">
        <v>11149</v>
      </c>
      <c r="C562" t="s">
        <v>74</v>
      </c>
      <c r="D562" t="s">
        <v>74</v>
      </c>
      <c r="E562" t="s">
        <v>74</v>
      </c>
      <c r="F562" t="s">
        <v>11150</v>
      </c>
      <c r="G562" t="s">
        <v>74</v>
      </c>
      <c r="H562" t="s">
        <v>74</v>
      </c>
      <c r="I562" t="s">
        <v>11151</v>
      </c>
      <c r="J562" t="s">
        <v>11152</v>
      </c>
      <c r="K562" t="s">
        <v>74</v>
      </c>
      <c r="L562" t="s">
        <v>74</v>
      </c>
      <c r="M562" t="s">
        <v>78</v>
      </c>
      <c r="N562" t="s">
        <v>108</v>
      </c>
      <c r="O562" t="s">
        <v>74</v>
      </c>
      <c r="P562" t="s">
        <v>74</v>
      </c>
      <c r="Q562" t="s">
        <v>74</v>
      </c>
      <c r="R562" t="s">
        <v>74</v>
      </c>
      <c r="S562" t="s">
        <v>74</v>
      </c>
      <c r="T562" t="s">
        <v>11153</v>
      </c>
      <c r="U562" t="s">
        <v>11154</v>
      </c>
      <c r="V562" t="s">
        <v>11155</v>
      </c>
      <c r="W562" t="s">
        <v>11156</v>
      </c>
      <c r="X562" t="s">
        <v>11157</v>
      </c>
      <c r="Y562" t="s">
        <v>11158</v>
      </c>
      <c r="Z562" t="s">
        <v>11159</v>
      </c>
      <c r="AA562" t="s">
        <v>11160</v>
      </c>
      <c r="AB562" t="s">
        <v>11161</v>
      </c>
      <c r="AC562" t="s">
        <v>11162</v>
      </c>
      <c r="AD562" t="s">
        <v>11163</v>
      </c>
      <c r="AE562" t="s">
        <v>11164</v>
      </c>
      <c r="AF562" t="s">
        <v>74</v>
      </c>
      <c r="AG562">
        <v>70</v>
      </c>
      <c r="AH562">
        <v>10</v>
      </c>
      <c r="AI562">
        <v>10</v>
      </c>
      <c r="AJ562">
        <v>0</v>
      </c>
      <c r="AK562">
        <v>17</v>
      </c>
      <c r="AL562" t="s">
        <v>3084</v>
      </c>
      <c r="AM562" t="s">
        <v>93</v>
      </c>
      <c r="AN562" t="s">
        <v>3085</v>
      </c>
      <c r="AO562" t="s">
        <v>11165</v>
      </c>
      <c r="AP562" t="s">
        <v>11166</v>
      </c>
      <c r="AQ562" t="s">
        <v>74</v>
      </c>
      <c r="AR562" t="s">
        <v>11167</v>
      </c>
      <c r="AS562" t="s">
        <v>11168</v>
      </c>
      <c r="AT562" t="s">
        <v>7543</v>
      </c>
      <c r="AU562">
        <v>2019</v>
      </c>
      <c r="AV562">
        <v>218</v>
      </c>
      <c r="AW562">
        <v>1</v>
      </c>
      <c r="AX562" t="s">
        <v>74</v>
      </c>
      <c r="AY562" t="s">
        <v>74</v>
      </c>
      <c r="AZ562" t="s">
        <v>74</v>
      </c>
      <c r="BA562" t="s">
        <v>74</v>
      </c>
      <c r="BB562">
        <v>388</v>
      </c>
      <c r="BC562">
        <v>400</v>
      </c>
      <c r="BD562" t="s">
        <v>74</v>
      </c>
      <c r="BE562" t="s">
        <v>11169</v>
      </c>
      <c r="BF562" t="str">
        <f>HYPERLINK("http://dx.doi.org/10.1093/gji/ggz154","http://dx.doi.org/10.1093/gji/ggz154")</f>
        <v>http://dx.doi.org/10.1093/gji/ggz154</v>
      </c>
      <c r="BG562" t="s">
        <v>74</v>
      </c>
      <c r="BH562" t="s">
        <v>74</v>
      </c>
      <c r="BI562">
        <v>13</v>
      </c>
      <c r="BJ562" t="s">
        <v>190</v>
      </c>
      <c r="BK562" t="s">
        <v>101</v>
      </c>
      <c r="BL562" t="s">
        <v>190</v>
      </c>
      <c r="BM562" t="s">
        <v>11170</v>
      </c>
      <c r="BN562" t="s">
        <v>74</v>
      </c>
      <c r="BO562" t="s">
        <v>74</v>
      </c>
      <c r="BP562" t="s">
        <v>74</v>
      </c>
      <c r="BQ562" t="s">
        <v>74</v>
      </c>
      <c r="BR562" t="s">
        <v>103</v>
      </c>
      <c r="BS562" t="s">
        <v>11171</v>
      </c>
      <c r="BT562" t="str">
        <f>HYPERLINK("https%3A%2F%2Fwww.webofscience.com%2Fwos%2Fwoscc%2Ffull-record%2FWOS:000470320500022","View Full Record in Web of Science")</f>
        <v>View Full Record in Web of Science</v>
      </c>
    </row>
    <row r="563" spans="1:72" x14ac:dyDescent="0.15">
      <c r="A563" t="s">
        <v>72</v>
      </c>
      <c r="B563" t="s">
        <v>11172</v>
      </c>
      <c r="C563" t="s">
        <v>74</v>
      </c>
      <c r="D563" t="s">
        <v>74</v>
      </c>
      <c r="E563" t="s">
        <v>74</v>
      </c>
      <c r="F563" t="s">
        <v>11173</v>
      </c>
      <c r="G563" t="s">
        <v>74</v>
      </c>
      <c r="H563" t="s">
        <v>74</v>
      </c>
      <c r="I563" t="s">
        <v>11174</v>
      </c>
      <c r="J563" t="s">
        <v>10385</v>
      </c>
      <c r="K563" t="s">
        <v>74</v>
      </c>
      <c r="L563" t="s">
        <v>74</v>
      </c>
      <c r="M563" t="s">
        <v>78</v>
      </c>
      <c r="N563" t="s">
        <v>1083</v>
      </c>
      <c r="O563" t="s">
        <v>74</v>
      </c>
      <c r="P563" t="s">
        <v>74</v>
      </c>
      <c r="Q563" t="s">
        <v>74</v>
      </c>
      <c r="R563" t="s">
        <v>74</v>
      </c>
      <c r="S563" t="s">
        <v>74</v>
      </c>
      <c r="T563" t="s">
        <v>74</v>
      </c>
      <c r="U563" t="s">
        <v>74</v>
      </c>
      <c r="V563" t="s">
        <v>11175</v>
      </c>
      <c r="W563" t="s">
        <v>11176</v>
      </c>
      <c r="X563" t="s">
        <v>11177</v>
      </c>
      <c r="Y563" t="s">
        <v>11178</v>
      </c>
      <c r="Z563" t="s">
        <v>8509</v>
      </c>
      <c r="AA563" t="s">
        <v>11179</v>
      </c>
      <c r="AB563" t="s">
        <v>11180</v>
      </c>
      <c r="AC563" t="s">
        <v>74</v>
      </c>
      <c r="AD563" t="s">
        <v>74</v>
      </c>
      <c r="AE563" t="s">
        <v>74</v>
      </c>
      <c r="AF563" t="s">
        <v>74</v>
      </c>
      <c r="AG563">
        <v>2</v>
      </c>
      <c r="AH563">
        <v>1</v>
      </c>
      <c r="AI563">
        <v>1</v>
      </c>
      <c r="AJ563">
        <v>1</v>
      </c>
      <c r="AK563">
        <v>10</v>
      </c>
      <c r="AL563" t="s">
        <v>2396</v>
      </c>
      <c r="AM563" t="s">
        <v>2397</v>
      </c>
      <c r="AN563" t="s">
        <v>2398</v>
      </c>
      <c r="AO563" t="s">
        <v>10396</v>
      </c>
      <c r="AP563" t="s">
        <v>10397</v>
      </c>
      <c r="AQ563" t="s">
        <v>74</v>
      </c>
      <c r="AR563" t="s">
        <v>10398</v>
      </c>
      <c r="AS563" t="s">
        <v>10399</v>
      </c>
      <c r="AT563" t="s">
        <v>7543</v>
      </c>
      <c r="AU563">
        <v>2019</v>
      </c>
      <c r="AV563">
        <v>166</v>
      </c>
      <c r="AW563">
        <v>7</v>
      </c>
      <c r="AX563" t="s">
        <v>74</v>
      </c>
      <c r="AY563" t="s">
        <v>74</v>
      </c>
      <c r="AZ563" t="s">
        <v>74</v>
      </c>
      <c r="BA563" t="s">
        <v>74</v>
      </c>
      <c r="BB563" t="s">
        <v>74</v>
      </c>
      <c r="BC563" t="s">
        <v>74</v>
      </c>
      <c r="BD563">
        <v>87</v>
      </c>
      <c r="BE563" t="s">
        <v>11181</v>
      </c>
      <c r="BF563" t="str">
        <f>HYPERLINK("http://dx.doi.org/10.1007/s00227-019-3531-3","http://dx.doi.org/10.1007/s00227-019-3531-3")</f>
        <v>http://dx.doi.org/10.1007/s00227-019-3531-3</v>
      </c>
      <c r="BG563" t="s">
        <v>74</v>
      </c>
      <c r="BH563" t="s">
        <v>74</v>
      </c>
      <c r="BI563">
        <v>5</v>
      </c>
      <c r="BJ563" t="s">
        <v>6961</v>
      </c>
      <c r="BK563" t="s">
        <v>101</v>
      </c>
      <c r="BL563" t="s">
        <v>6961</v>
      </c>
      <c r="BM563" t="s">
        <v>11182</v>
      </c>
      <c r="BN563" t="s">
        <v>74</v>
      </c>
      <c r="BO563" t="s">
        <v>1308</v>
      </c>
      <c r="BP563" t="s">
        <v>74</v>
      </c>
      <c r="BQ563" t="s">
        <v>74</v>
      </c>
      <c r="BR563" t="s">
        <v>103</v>
      </c>
      <c r="BS563" t="s">
        <v>11183</v>
      </c>
      <c r="BT563" t="str">
        <f>HYPERLINK("https%3A%2F%2Fwww.webofscience.com%2Fwos%2Fwoscc%2Ffull-record%2FWOS:000470186500002","View Full Record in Web of Science")</f>
        <v>View Full Record in Web of Science</v>
      </c>
    </row>
    <row r="564" spans="1:72" x14ac:dyDescent="0.15">
      <c r="A564" t="s">
        <v>72</v>
      </c>
      <c r="B564" t="s">
        <v>11184</v>
      </c>
      <c r="C564" t="s">
        <v>74</v>
      </c>
      <c r="D564" t="s">
        <v>74</v>
      </c>
      <c r="E564" t="s">
        <v>74</v>
      </c>
      <c r="F564" t="s">
        <v>11185</v>
      </c>
      <c r="G564" t="s">
        <v>74</v>
      </c>
      <c r="H564" t="s">
        <v>74</v>
      </c>
      <c r="I564" t="s">
        <v>11186</v>
      </c>
      <c r="J564" t="s">
        <v>11187</v>
      </c>
      <c r="K564" t="s">
        <v>74</v>
      </c>
      <c r="L564" t="s">
        <v>74</v>
      </c>
      <c r="M564" t="s">
        <v>78</v>
      </c>
      <c r="N564" t="s">
        <v>79</v>
      </c>
      <c r="O564" t="s">
        <v>74</v>
      </c>
      <c r="P564" t="s">
        <v>74</v>
      </c>
      <c r="Q564" t="s">
        <v>74</v>
      </c>
      <c r="R564" t="s">
        <v>74</v>
      </c>
      <c r="S564" t="s">
        <v>74</v>
      </c>
      <c r="T564" t="s">
        <v>11188</v>
      </c>
      <c r="U564" t="s">
        <v>11189</v>
      </c>
      <c r="V564" t="s">
        <v>11190</v>
      </c>
      <c r="W564" t="s">
        <v>11191</v>
      </c>
      <c r="X564" t="s">
        <v>11192</v>
      </c>
      <c r="Y564" t="s">
        <v>11193</v>
      </c>
      <c r="Z564" t="s">
        <v>548</v>
      </c>
      <c r="AA564" t="s">
        <v>74</v>
      </c>
      <c r="AB564" t="s">
        <v>74</v>
      </c>
      <c r="AC564" t="s">
        <v>11194</v>
      </c>
      <c r="AD564" t="s">
        <v>11195</v>
      </c>
      <c r="AE564" t="s">
        <v>11196</v>
      </c>
      <c r="AF564" t="s">
        <v>74</v>
      </c>
      <c r="AG564">
        <v>140</v>
      </c>
      <c r="AH564">
        <v>0</v>
      </c>
      <c r="AI564">
        <v>1</v>
      </c>
      <c r="AJ564">
        <v>3</v>
      </c>
      <c r="AK564">
        <v>40</v>
      </c>
      <c r="AL564" t="s">
        <v>4254</v>
      </c>
      <c r="AM564" t="s">
        <v>4255</v>
      </c>
      <c r="AN564" t="s">
        <v>4256</v>
      </c>
      <c r="AO564" t="s">
        <v>11197</v>
      </c>
      <c r="AP564" t="s">
        <v>11198</v>
      </c>
      <c r="AQ564" t="s">
        <v>74</v>
      </c>
      <c r="AR564" t="s">
        <v>11199</v>
      </c>
      <c r="AS564" t="s">
        <v>11200</v>
      </c>
      <c r="AT564" t="s">
        <v>7543</v>
      </c>
      <c r="AU564">
        <v>2019</v>
      </c>
      <c r="AV564">
        <v>62</v>
      </c>
      <c r="AW564">
        <v>7</v>
      </c>
      <c r="AX564" t="s">
        <v>74</v>
      </c>
      <c r="AY564" t="s">
        <v>74</v>
      </c>
      <c r="AZ564" t="s">
        <v>74</v>
      </c>
      <c r="BA564" t="s">
        <v>74</v>
      </c>
      <c r="BB564">
        <v>1076</v>
      </c>
      <c r="BC564">
        <v>1091</v>
      </c>
      <c r="BD564" t="s">
        <v>74</v>
      </c>
      <c r="BE564" t="s">
        <v>11201</v>
      </c>
      <c r="BF564" t="str">
        <f>HYPERLINK("http://dx.doi.org/10.1007/s11430-018-9355-2","http://dx.doi.org/10.1007/s11430-018-9355-2")</f>
        <v>http://dx.doi.org/10.1007/s11430-018-9355-2</v>
      </c>
      <c r="BG564" t="s">
        <v>74</v>
      </c>
      <c r="BH564" t="s">
        <v>74</v>
      </c>
      <c r="BI564">
        <v>16</v>
      </c>
      <c r="BJ564" t="s">
        <v>471</v>
      </c>
      <c r="BK564" t="s">
        <v>101</v>
      </c>
      <c r="BL564" t="s">
        <v>472</v>
      </c>
      <c r="BM564" t="s">
        <v>11202</v>
      </c>
      <c r="BN564" t="s">
        <v>74</v>
      </c>
      <c r="BO564" t="s">
        <v>74</v>
      </c>
      <c r="BP564" t="s">
        <v>74</v>
      </c>
      <c r="BQ564" t="s">
        <v>74</v>
      </c>
      <c r="BR564" t="s">
        <v>103</v>
      </c>
      <c r="BS564" t="s">
        <v>11203</v>
      </c>
      <c r="BT564" t="str">
        <f>HYPERLINK("https%3A%2F%2Fwww.webofscience.com%2Fwos%2Fwoscc%2Ffull-record%2FWOS:000469804300003","View Full Record in Web of Science")</f>
        <v>View Full Record in Web of Science</v>
      </c>
    </row>
    <row r="565" spans="1:72" x14ac:dyDescent="0.15">
      <c r="A565" t="s">
        <v>72</v>
      </c>
      <c r="B565" t="s">
        <v>11204</v>
      </c>
      <c r="C565" t="s">
        <v>74</v>
      </c>
      <c r="D565" t="s">
        <v>74</v>
      </c>
      <c r="E565" t="s">
        <v>74</v>
      </c>
      <c r="F565" t="s">
        <v>11205</v>
      </c>
      <c r="G565" t="s">
        <v>74</v>
      </c>
      <c r="H565" t="s">
        <v>74</v>
      </c>
      <c r="I565" t="s">
        <v>11206</v>
      </c>
      <c r="J565" t="s">
        <v>805</v>
      </c>
      <c r="K565" t="s">
        <v>74</v>
      </c>
      <c r="L565" t="s">
        <v>74</v>
      </c>
      <c r="M565" t="s">
        <v>78</v>
      </c>
      <c r="N565" t="s">
        <v>108</v>
      </c>
      <c r="O565" t="s">
        <v>74</v>
      </c>
      <c r="P565" t="s">
        <v>74</v>
      </c>
      <c r="Q565" t="s">
        <v>74</v>
      </c>
      <c r="R565" t="s">
        <v>74</v>
      </c>
      <c r="S565" t="s">
        <v>74</v>
      </c>
      <c r="T565" t="s">
        <v>11207</v>
      </c>
      <c r="U565" t="s">
        <v>11208</v>
      </c>
      <c r="V565" t="s">
        <v>11209</v>
      </c>
      <c r="W565" t="s">
        <v>11210</v>
      </c>
      <c r="X565" t="s">
        <v>11211</v>
      </c>
      <c r="Y565" t="s">
        <v>11212</v>
      </c>
      <c r="Z565" t="s">
        <v>11213</v>
      </c>
      <c r="AA565" t="s">
        <v>11214</v>
      </c>
      <c r="AB565" t="s">
        <v>11215</v>
      </c>
      <c r="AC565" t="s">
        <v>11216</v>
      </c>
      <c r="AD565" t="s">
        <v>11217</v>
      </c>
      <c r="AE565" t="s">
        <v>11218</v>
      </c>
      <c r="AF565" t="s">
        <v>74</v>
      </c>
      <c r="AG565">
        <v>77</v>
      </c>
      <c r="AH565">
        <v>29</v>
      </c>
      <c r="AI565">
        <v>33</v>
      </c>
      <c r="AJ565">
        <v>5</v>
      </c>
      <c r="AK565">
        <v>42</v>
      </c>
      <c r="AL565" t="s">
        <v>638</v>
      </c>
      <c r="AM565" t="s">
        <v>439</v>
      </c>
      <c r="AN565" t="s">
        <v>639</v>
      </c>
      <c r="AO565" t="s">
        <v>818</v>
      </c>
      <c r="AP565" t="s">
        <v>819</v>
      </c>
      <c r="AQ565" t="s">
        <v>74</v>
      </c>
      <c r="AR565" t="s">
        <v>820</v>
      </c>
      <c r="AS565" t="s">
        <v>821</v>
      </c>
      <c r="AT565" t="s">
        <v>8453</v>
      </c>
      <c r="AU565">
        <v>2019</v>
      </c>
      <c r="AV565">
        <v>672</v>
      </c>
      <c r="AW565" t="s">
        <v>74</v>
      </c>
      <c r="AX565" t="s">
        <v>74</v>
      </c>
      <c r="AY565" t="s">
        <v>74</v>
      </c>
      <c r="AZ565" t="s">
        <v>74</v>
      </c>
      <c r="BA565" t="s">
        <v>74</v>
      </c>
      <c r="BB565">
        <v>657</v>
      </c>
      <c r="BC565">
        <v>668</v>
      </c>
      <c r="BD565" t="s">
        <v>74</v>
      </c>
      <c r="BE565" t="s">
        <v>11219</v>
      </c>
      <c r="BF565" t="str">
        <f>HYPERLINK("http://dx.doi.org/10.1016/j.scitotenv.2019.03.459","http://dx.doi.org/10.1016/j.scitotenv.2019.03.459")</f>
        <v>http://dx.doi.org/10.1016/j.scitotenv.2019.03.459</v>
      </c>
      <c r="BG565" t="s">
        <v>74</v>
      </c>
      <c r="BH565" t="s">
        <v>74</v>
      </c>
      <c r="BI565">
        <v>12</v>
      </c>
      <c r="BJ565" t="s">
        <v>797</v>
      </c>
      <c r="BK565" t="s">
        <v>101</v>
      </c>
      <c r="BL565" t="s">
        <v>799</v>
      </c>
      <c r="BM565" t="s">
        <v>11220</v>
      </c>
      <c r="BN565">
        <v>30974357</v>
      </c>
      <c r="BO565" t="s">
        <v>6963</v>
      </c>
      <c r="BP565" t="s">
        <v>74</v>
      </c>
      <c r="BQ565" t="s">
        <v>74</v>
      </c>
      <c r="BR565" t="s">
        <v>103</v>
      </c>
      <c r="BS565" t="s">
        <v>11221</v>
      </c>
      <c r="BT565" t="str">
        <f>HYPERLINK("https%3A%2F%2Fwww.webofscience.com%2Fwos%2Fwoscc%2Ffull-record%2FWOS:000466979400062","View Full Record in Web of Science")</f>
        <v>View Full Record in Web of Science</v>
      </c>
    </row>
    <row r="566" spans="1:72" x14ac:dyDescent="0.15">
      <c r="A566" t="s">
        <v>72</v>
      </c>
      <c r="B566" t="s">
        <v>11222</v>
      </c>
      <c r="C566" t="s">
        <v>74</v>
      </c>
      <c r="D566" t="s">
        <v>74</v>
      </c>
      <c r="E566" t="s">
        <v>74</v>
      </c>
      <c r="F566" t="s">
        <v>11223</v>
      </c>
      <c r="G566" t="s">
        <v>74</v>
      </c>
      <c r="H566" t="s">
        <v>74</v>
      </c>
      <c r="I566" t="s">
        <v>11224</v>
      </c>
      <c r="J566" t="s">
        <v>11225</v>
      </c>
      <c r="K566" t="s">
        <v>74</v>
      </c>
      <c r="L566" t="s">
        <v>74</v>
      </c>
      <c r="M566" t="s">
        <v>78</v>
      </c>
      <c r="N566" t="s">
        <v>108</v>
      </c>
      <c r="O566" t="s">
        <v>74</v>
      </c>
      <c r="P566" t="s">
        <v>74</v>
      </c>
      <c r="Q566" t="s">
        <v>74</v>
      </c>
      <c r="R566" t="s">
        <v>74</v>
      </c>
      <c r="S566" t="s">
        <v>74</v>
      </c>
      <c r="T566" t="s">
        <v>11226</v>
      </c>
      <c r="U566" t="s">
        <v>11227</v>
      </c>
      <c r="V566" t="s">
        <v>11228</v>
      </c>
      <c r="W566" t="s">
        <v>11229</v>
      </c>
      <c r="X566" t="s">
        <v>11230</v>
      </c>
      <c r="Y566" t="s">
        <v>11231</v>
      </c>
      <c r="Z566" t="s">
        <v>11232</v>
      </c>
      <c r="AA566" t="s">
        <v>11233</v>
      </c>
      <c r="AB566" t="s">
        <v>11234</v>
      </c>
      <c r="AC566" t="s">
        <v>11235</v>
      </c>
      <c r="AD566" t="s">
        <v>11236</v>
      </c>
      <c r="AE566" t="s">
        <v>11237</v>
      </c>
      <c r="AF566" t="s">
        <v>74</v>
      </c>
      <c r="AG566">
        <v>61</v>
      </c>
      <c r="AH566">
        <v>15</v>
      </c>
      <c r="AI566">
        <v>15</v>
      </c>
      <c r="AJ566">
        <v>0</v>
      </c>
      <c r="AK566">
        <v>10</v>
      </c>
      <c r="AL566" t="s">
        <v>6158</v>
      </c>
      <c r="AM566" t="s">
        <v>6159</v>
      </c>
      <c r="AN566" t="s">
        <v>6160</v>
      </c>
      <c r="AO566" t="s">
        <v>11238</v>
      </c>
      <c r="AP566" t="s">
        <v>11239</v>
      </c>
      <c r="AQ566" t="s">
        <v>74</v>
      </c>
      <c r="AR566" t="s">
        <v>11240</v>
      </c>
      <c r="AS566" t="s">
        <v>11241</v>
      </c>
      <c r="AT566" t="s">
        <v>7543</v>
      </c>
      <c r="AU566">
        <v>2019</v>
      </c>
      <c r="AV566">
        <v>136</v>
      </c>
      <c r="AW566" t="s">
        <v>74</v>
      </c>
      <c r="AX566" t="s">
        <v>74</v>
      </c>
      <c r="AY566" t="s">
        <v>74</v>
      </c>
      <c r="AZ566" t="s">
        <v>74</v>
      </c>
      <c r="BA566" t="s">
        <v>74</v>
      </c>
      <c r="BB566">
        <v>206</v>
      </c>
      <c r="BC566">
        <v>214</v>
      </c>
      <c r="BD566" t="s">
        <v>74</v>
      </c>
      <c r="BE566" t="s">
        <v>11242</v>
      </c>
      <c r="BF566" t="str">
        <f>HYPERLINK("http://dx.doi.org/10.1016/j.ympev.2019.04.017","http://dx.doi.org/10.1016/j.ympev.2019.04.017")</f>
        <v>http://dx.doi.org/10.1016/j.ympev.2019.04.017</v>
      </c>
      <c r="BG566" t="s">
        <v>74</v>
      </c>
      <c r="BH566" t="s">
        <v>74</v>
      </c>
      <c r="BI566">
        <v>9</v>
      </c>
      <c r="BJ566" t="s">
        <v>3115</v>
      </c>
      <c r="BK566" t="s">
        <v>101</v>
      </c>
      <c r="BL566" t="s">
        <v>3115</v>
      </c>
      <c r="BM566" t="s">
        <v>11243</v>
      </c>
      <c r="BN566">
        <v>31002869</v>
      </c>
      <c r="BO566" t="s">
        <v>74</v>
      </c>
      <c r="BP566" t="s">
        <v>74</v>
      </c>
      <c r="BQ566" t="s">
        <v>74</v>
      </c>
      <c r="BR566" t="s">
        <v>103</v>
      </c>
      <c r="BS566" t="s">
        <v>11244</v>
      </c>
      <c r="BT566" t="str">
        <f>HYPERLINK("https%3A%2F%2Fwww.webofscience.com%2Fwos%2Fwoscc%2Ffull-record%2FWOS:000468796300019","View Full Record in Web of Science")</f>
        <v>View Full Record in Web of Science</v>
      </c>
    </row>
    <row r="567" spans="1:72" x14ac:dyDescent="0.15">
      <c r="A567" t="s">
        <v>72</v>
      </c>
      <c r="B567" t="s">
        <v>11245</v>
      </c>
      <c r="C567" t="s">
        <v>74</v>
      </c>
      <c r="D567" t="s">
        <v>74</v>
      </c>
      <c r="E567" t="s">
        <v>74</v>
      </c>
      <c r="F567" t="s">
        <v>11246</v>
      </c>
      <c r="G567" t="s">
        <v>74</v>
      </c>
      <c r="H567" t="s">
        <v>74</v>
      </c>
      <c r="I567" t="s">
        <v>11247</v>
      </c>
      <c r="J567" t="s">
        <v>11248</v>
      </c>
      <c r="K567" t="s">
        <v>74</v>
      </c>
      <c r="L567" t="s">
        <v>74</v>
      </c>
      <c r="M567" t="s">
        <v>78</v>
      </c>
      <c r="N567" t="s">
        <v>108</v>
      </c>
      <c r="O567" t="s">
        <v>74</v>
      </c>
      <c r="P567" t="s">
        <v>74</v>
      </c>
      <c r="Q567" t="s">
        <v>74</v>
      </c>
      <c r="R567" t="s">
        <v>74</v>
      </c>
      <c r="S567" t="s">
        <v>74</v>
      </c>
      <c r="T567" t="s">
        <v>11249</v>
      </c>
      <c r="U567" t="s">
        <v>11250</v>
      </c>
      <c r="V567" t="s">
        <v>11251</v>
      </c>
      <c r="W567" t="s">
        <v>11252</v>
      </c>
      <c r="X567" t="s">
        <v>11253</v>
      </c>
      <c r="Y567" t="s">
        <v>11254</v>
      </c>
      <c r="Z567" t="s">
        <v>11255</v>
      </c>
      <c r="AA567" t="s">
        <v>11256</v>
      </c>
      <c r="AB567" t="s">
        <v>11257</v>
      </c>
      <c r="AC567" t="s">
        <v>11258</v>
      </c>
      <c r="AD567" t="s">
        <v>11258</v>
      </c>
      <c r="AE567" t="s">
        <v>11259</v>
      </c>
      <c r="AF567" t="s">
        <v>74</v>
      </c>
      <c r="AG567">
        <v>45</v>
      </c>
      <c r="AH567">
        <v>11</v>
      </c>
      <c r="AI567">
        <v>11</v>
      </c>
      <c r="AJ567">
        <v>0</v>
      </c>
      <c r="AK567">
        <v>46</v>
      </c>
      <c r="AL567" t="s">
        <v>3533</v>
      </c>
      <c r="AM567" t="s">
        <v>93</v>
      </c>
      <c r="AN567" t="s">
        <v>3534</v>
      </c>
      <c r="AO567" t="s">
        <v>11260</v>
      </c>
      <c r="AP567" t="s">
        <v>11261</v>
      </c>
      <c r="AQ567" t="s">
        <v>74</v>
      </c>
      <c r="AR567" t="s">
        <v>11262</v>
      </c>
      <c r="AS567" t="s">
        <v>11263</v>
      </c>
      <c r="AT567" t="s">
        <v>7543</v>
      </c>
      <c r="AU567">
        <v>2019</v>
      </c>
      <c r="AV567">
        <v>96</v>
      </c>
      <c r="AW567" t="s">
        <v>74</v>
      </c>
      <c r="AX567" t="s">
        <v>74</v>
      </c>
      <c r="AY567" t="s">
        <v>74</v>
      </c>
      <c r="AZ567" t="s">
        <v>74</v>
      </c>
      <c r="BA567" t="s">
        <v>74</v>
      </c>
      <c r="BB567">
        <v>9</v>
      </c>
      <c r="BC567">
        <v>17</v>
      </c>
      <c r="BD567" t="s">
        <v>74</v>
      </c>
      <c r="BE567" t="s">
        <v>11264</v>
      </c>
      <c r="BF567" t="str">
        <f>HYPERLINK("http://dx.doi.org/10.1016/j.dci.2019.02.012","http://dx.doi.org/10.1016/j.dci.2019.02.012")</f>
        <v>http://dx.doi.org/10.1016/j.dci.2019.02.012</v>
      </c>
      <c r="BG567" t="s">
        <v>74</v>
      </c>
      <c r="BH567" t="s">
        <v>74</v>
      </c>
      <c r="BI567">
        <v>9</v>
      </c>
      <c r="BJ567" t="s">
        <v>11265</v>
      </c>
      <c r="BK567" t="s">
        <v>101</v>
      </c>
      <c r="BL567" t="s">
        <v>11265</v>
      </c>
      <c r="BM567" t="s">
        <v>11266</v>
      </c>
      <c r="BN567">
        <v>30790604</v>
      </c>
      <c r="BO567" t="s">
        <v>1648</v>
      </c>
      <c r="BP567" t="s">
        <v>74</v>
      </c>
      <c r="BQ567" t="s">
        <v>74</v>
      </c>
      <c r="BR567" t="s">
        <v>103</v>
      </c>
      <c r="BS567" t="s">
        <v>11267</v>
      </c>
      <c r="BT567" t="str">
        <f>HYPERLINK("https%3A%2F%2Fwww.webofscience.com%2Fwos%2Fwoscc%2Ffull-record%2FWOS:000464299000002","View Full Record in Web of Science")</f>
        <v>View Full Record in Web of Science</v>
      </c>
    </row>
    <row r="568" spans="1:72" x14ac:dyDescent="0.15">
      <c r="A568" t="s">
        <v>72</v>
      </c>
      <c r="B568" t="s">
        <v>11268</v>
      </c>
      <c r="C568" t="s">
        <v>74</v>
      </c>
      <c r="D568" t="s">
        <v>74</v>
      </c>
      <c r="E568" t="s">
        <v>74</v>
      </c>
      <c r="F568" t="s">
        <v>11269</v>
      </c>
      <c r="G568" t="s">
        <v>74</v>
      </c>
      <c r="H568" t="s">
        <v>74</v>
      </c>
      <c r="I568" t="s">
        <v>11270</v>
      </c>
      <c r="J568" t="s">
        <v>4294</v>
      </c>
      <c r="K568" t="s">
        <v>74</v>
      </c>
      <c r="L568" t="s">
        <v>74</v>
      </c>
      <c r="M568" t="s">
        <v>78</v>
      </c>
      <c r="N568" t="s">
        <v>108</v>
      </c>
      <c r="O568" t="s">
        <v>74</v>
      </c>
      <c r="P568" t="s">
        <v>74</v>
      </c>
      <c r="Q568" t="s">
        <v>74</v>
      </c>
      <c r="R568" t="s">
        <v>74</v>
      </c>
      <c r="S568" t="s">
        <v>74</v>
      </c>
      <c r="T568" t="s">
        <v>11271</v>
      </c>
      <c r="U568" t="s">
        <v>11272</v>
      </c>
      <c r="V568" t="s">
        <v>11273</v>
      </c>
      <c r="W568" t="s">
        <v>11274</v>
      </c>
      <c r="X568" t="s">
        <v>11275</v>
      </c>
      <c r="Y568" t="s">
        <v>11276</v>
      </c>
      <c r="Z568" t="s">
        <v>11277</v>
      </c>
      <c r="AA568" t="s">
        <v>11278</v>
      </c>
      <c r="AB568" t="s">
        <v>11279</v>
      </c>
      <c r="AC568" t="s">
        <v>11280</v>
      </c>
      <c r="AD568" t="s">
        <v>11281</v>
      </c>
      <c r="AE568" t="s">
        <v>11282</v>
      </c>
      <c r="AF568" t="s">
        <v>74</v>
      </c>
      <c r="AG568">
        <v>42</v>
      </c>
      <c r="AH568">
        <v>32</v>
      </c>
      <c r="AI568">
        <v>37</v>
      </c>
      <c r="AJ568">
        <v>4</v>
      </c>
      <c r="AK568">
        <v>20</v>
      </c>
      <c r="AL568" t="s">
        <v>1140</v>
      </c>
      <c r="AM568" t="s">
        <v>1141</v>
      </c>
      <c r="AN568" t="s">
        <v>1142</v>
      </c>
      <c r="AO568" t="s">
        <v>4307</v>
      </c>
      <c r="AP568" t="s">
        <v>4308</v>
      </c>
      <c r="AQ568" t="s">
        <v>74</v>
      </c>
      <c r="AR568" t="s">
        <v>4309</v>
      </c>
      <c r="AS568" t="s">
        <v>4310</v>
      </c>
      <c r="AT568" t="s">
        <v>11283</v>
      </c>
      <c r="AU568">
        <v>2019</v>
      </c>
      <c r="AV568">
        <v>39</v>
      </c>
      <c r="AW568">
        <v>8</v>
      </c>
      <c r="AX568" t="s">
        <v>74</v>
      </c>
      <c r="AY568" t="s">
        <v>74</v>
      </c>
      <c r="AZ568" t="s">
        <v>74</v>
      </c>
      <c r="BA568" t="s">
        <v>74</v>
      </c>
      <c r="BB568">
        <v>3582</v>
      </c>
      <c r="BC568">
        <v>3592</v>
      </c>
      <c r="BD568" t="s">
        <v>74</v>
      </c>
      <c r="BE568" t="s">
        <v>11284</v>
      </c>
      <c r="BF568" t="str">
        <f>HYPERLINK("http://dx.doi.org/10.1002/joc.6040","http://dx.doi.org/10.1002/joc.6040")</f>
        <v>http://dx.doi.org/10.1002/joc.6040</v>
      </c>
      <c r="BG568" t="s">
        <v>74</v>
      </c>
      <c r="BH568" t="s">
        <v>74</v>
      </c>
      <c r="BI568">
        <v>11</v>
      </c>
      <c r="BJ568" t="s">
        <v>259</v>
      </c>
      <c r="BK568" t="s">
        <v>101</v>
      </c>
      <c r="BL568" t="s">
        <v>259</v>
      </c>
      <c r="BM568" t="s">
        <v>11285</v>
      </c>
      <c r="BN568" t="s">
        <v>74</v>
      </c>
      <c r="BO568" t="s">
        <v>537</v>
      </c>
      <c r="BP568" t="s">
        <v>74</v>
      </c>
      <c r="BQ568" t="s">
        <v>74</v>
      </c>
      <c r="BR568" t="s">
        <v>103</v>
      </c>
      <c r="BS568" t="s">
        <v>11286</v>
      </c>
      <c r="BT568" t="str">
        <f>HYPERLINK("https%3A%2F%2Fwww.webofscience.com%2Fwos%2Fwoscc%2Ffull-record%2FWOS:000474160800012","View Full Record in Web of Science")</f>
        <v>View Full Record in Web of Science</v>
      </c>
    </row>
    <row r="569" spans="1:72" x14ac:dyDescent="0.15">
      <c r="A569" t="s">
        <v>72</v>
      </c>
      <c r="B569" t="s">
        <v>11287</v>
      </c>
      <c r="C569" t="s">
        <v>74</v>
      </c>
      <c r="D569" t="s">
        <v>74</v>
      </c>
      <c r="E569" t="s">
        <v>74</v>
      </c>
      <c r="F569" t="s">
        <v>11288</v>
      </c>
      <c r="G569" t="s">
        <v>74</v>
      </c>
      <c r="H569" t="s">
        <v>74</v>
      </c>
      <c r="I569" t="s">
        <v>11289</v>
      </c>
      <c r="J569" t="s">
        <v>11290</v>
      </c>
      <c r="K569" t="s">
        <v>74</v>
      </c>
      <c r="L569" t="s">
        <v>74</v>
      </c>
      <c r="M569" t="s">
        <v>78</v>
      </c>
      <c r="N569" t="s">
        <v>108</v>
      </c>
      <c r="O569" t="s">
        <v>74</v>
      </c>
      <c r="P569" t="s">
        <v>74</v>
      </c>
      <c r="Q569" t="s">
        <v>74</v>
      </c>
      <c r="R569" t="s">
        <v>74</v>
      </c>
      <c r="S569" t="s">
        <v>74</v>
      </c>
      <c r="T569" t="s">
        <v>11291</v>
      </c>
      <c r="U569" t="s">
        <v>11292</v>
      </c>
      <c r="V569" t="s">
        <v>11293</v>
      </c>
      <c r="W569" t="s">
        <v>11294</v>
      </c>
      <c r="X569" t="s">
        <v>74</v>
      </c>
      <c r="Y569" t="s">
        <v>11295</v>
      </c>
      <c r="Z569" t="s">
        <v>11296</v>
      </c>
      <c r="AA569" t="s">
        <v>11297</v>
      </c>
      <c r="AB569" t="s">
        <v>11298</v>
      </c>
      <c r="AC569" t="s">
        <v>74</v>
      </c>
      <c r="AD569" t="s">
        <v>74</v>
      </c>
      <c r="AE569" t="s">
        <v>74</v>
      </c>
      <c r="AF569" t="s">
        <v>74</v>
      </c>
      <c r="AG569">
        <v>31</v>
      </c>
      <c r="AH569">
        <v>13</v>
      </c>
      <c r="AI569">
        <v>15</v>
      </c>
      <c r="AJ569">
        <v>3</v>
      </c>
      <c r="AK569">
        <v>17</v>
      </c>
      <c r="AL569" t="s">
        <v>1140</v>
      </c>
      <c r="AM569" t="s">
        <v>1141</v>
      </c>
      <c r="AN569" t="s">
        <v>1142</v>
      </c>
      <c r="AO569" t="s">
        <v>11299</v>
      </c>
      <c r="AP569" t="s">
        <v>11300</v>
      </c>
      <c r="AQ569" t="s">
        <v>74</v>
      </c>
      <c r="AR569" t="s">
        <v>11301</v>
      </c>
      <c r="AS569" t="s">
        <v>11302</v>
      </c>
      <c r="AT569" t="s">
        <v>2930</v>
      </c>
      <c r="AU569">
        <v>2019</v>
      </c>
      <c r="AV569">
        <v>26</v>
      </c>
      <c r="AW569">
        <v>4</v>
      </c>
      <c r="AX569" t="s">
        <v>74</v>
      </c>
      <c r="AY569" t="s">
        <v>74</v>
      </c>
      <c r="AZ569" t="s">
        <v>74</v>
      </c>
      <c r="BA569" t="s">
        <v>74</v>
      </c>
      <c r="BB569">
        <v>327</v>
      </c>
      <c r="BC569">
        <v>333</v>
      </c>
      <c r="BD569" t="s">
        <v>74</v>
      </c>
      <c r="BE569" t="s">
        <v>11303</v>
      </c>
      <c r="BF569" t="str">
        <f>HYPERLINK("http://dx.doi.org/10.1111/fme.12363","http://dx.doi.org/10.1111/fme.12363")</f>
        <v>http://dx.doi.org/10.1111/fme.12363</v>
      </c>
      <c r="BG569" t="s">
        <v>74</v>
      </c>
      <c r="BH569" t="s">
        <v>11304</v>
      </c>
      <c r="BI569">
        <v>7</v>
      </c>
      <c r="BJ569" t="s">
        <v>732</v>
      </c>
      <c r="BK569" t="s">
        <v>101</v>
      </c>
      <c r="BL569" t="s">
        <v>732</v>
      </c>
      <c r="BM569" t="s">
        <v>11305</v>
      </c>
      <c r="BN569" t="s">
        <v>74</v>
      </c>
      <c r="BO569" t="s">
        <v>74</v>
      </c>
      <c r="BP569" t="s">
        <v>74</v>
      </c>
      <c r="BQ569" t="s">
        <v>74</v>
      </c>
      <c r="BR569" t="s">
        <v>103</v>
      </c>
      <c r="BS569" t="s">
        <v>11306</v>
      </c>
      <c r="BT569" t="str">
        <f>HYPERLINK("https%3A%2F%2Fwww.webofscience.com%2Fwos%2Fwoscc%2Ffull-record%2FWOS:000473957000001","View Full Record in Web of Science")</f>
        <v>View Full Record in Web of Science</v>
      </c>
    </row>
    <row r="570" spans="1:72" x14ac:dyDescent="0.15">
      <c r="A570" t="s">
        <v>72</v>
      </c>
      <c r="B570" t="s">
        <v>11307</v>
      </c>
      <c r="C570" t="s">
        <v>74</v>
      </c>
      <c r="D570" t="s">
        <v>74</v>
      </c>
      <c r="E570" t="s">
        <v>74</v>
      </c>
      <c r="F570" t="s">
        <v>11308</v>
      </c>
      <c r="G570" t="s">
        <v>74</v>
      </c>
      <c r="H570" t="s">
        <v>74</v>
      </c>
      <c r="I570" t="s">
        <v>11309</v>
      </c>
      <c r="J570" t="s">
        <v>884</v>
      </c>
      <c r="K570" t="s">
        <v>74</v>
      </c>
      <c r="L570" t="s">
        <v>74</v>
      </c>
      <c r="M570" t="s">
        <v>78</v>
      </c>
      <c r="N570" t="s">
        <v>108</v>
      </c>
      <c r="O570" t="s">
        <v>74</v>
      </c>
      <c r="P570" t="s">
        <v>74</v>
      </c>
      <c r="Q570" t="s">
        <v>74</v>
      </c>
      <c r="R570" t="s">
        <v>74</v>
      </c>
      <c r="S570" t="s">
        <v>74</v>
      </c>
      <c r="T570" t="s">
        <v>11310</v>
      </c>
      <c r="U570" t="s">
        <v>11311</v>
      </c>
      <c r="V570" t="s">
        <v>11312</v>
      </c>
      <c r="W570" t="s">
        <v>11313</v>
      </c>
      <c r="X570" t="s">
        <v>11314</v>
      </c>
      <c r="Y570" t="s">
        <v>11315</v>
      </c>
      <c r="Z570" t="s">
        <v>11316</v>
      </c>
      <c r="AA570" t="s">
        <v>11317</v>
      </c>
      <c r="AB570" t="s">
        <v>11318</v>
      </c>
      <c r="AC570" t="s">
        <v>11319</v>
      </c>
      <c r="AD570" t="s">
        <v>11320</v>
      </c>
      <c r="AE570" t="s">
        <v>11321</v>
      </c>
      <c r="AF570" t="s">
        <v>74</v>
      </c>
      <c r="AG570">
        <v>58</v>
      </c>
      <c r="AH570">
        <v>20</v>
      </c>
      <c r="AI570">
        <v>22</v>
      </c>
      <c r="AJ570">
        <v>11</v>
      </c>
      <c r="AK570">
        <v>80</v>
      </c>
      <c r="AL570" t="s">
        <v>182</v>
      </c>
      <c r="AM570" t="s">
        <v>183</v>
      </c>
      <c r="AN570" t="s">
        <v>184</v>
      </c>
      <c r="AO570" t="s">
        <v>896</v>
      </c>
      <c r="AP570" t="s">
        <v>897</v>
      </c>
      <c r="AQ570" t="s">
        <v>74</v>
      </c>
      <c r="AR570" t="s">
        <v>898</v>
      </c>
      <c r="AS570" t="s">
        <v>899</v>
      </c>
      <c r="AT570" t="s">
        <v>11322</v>
      </c>
      <c r="AU570">
        <v>2019</v>
      </c>
      <c r="AV570">
        <v>46</v>
      </c>
      <c r="AW570">
        <v>12</v>
      </c>
      <c r="AX570" t="s">
        <v>74</v>
      </c>
      <c r="AY570" t="s">
        <v>74</v>
      </c>
      <c r="AZ570" t="s">
        <v>74</v>
      </c>
      <c r="BA570" t="s">
        <v>74</v>
      </c>
      <c r="BB570">
        <v>6926</v>
      </c>
      <c r="BC570">
        <v>6935</v>
      </c>
      <c r="BD570" t="s">
        <v>74</v>
      </c>
      <c r="BE570" t="s">
        <v>11323</v>
      </c>
      <c r="BF570" t="str">
        <f>HYPERLINK("http://dx.doi.org/10.1029/2019GL082283","http://dx.doi.org/10.1029/2019GL082283")</f>
        <v>http://dx.doi.org/10.1029/2019GL082283</v>
      </c>
      <c r="BG570" t="s">
        <v>74</v>
      </c>
      <c r="BH570" t="s">
        <v>74</v>
      </c>
      <c r="BI570">
        <v>10</v>
      </c>
      <c r="BJ570" t="s">
        <v>471</v>
      </c>
      <c r="BK570" t="s">
        <v>101</v>
      </c>
      <c r="BL570" t="s">
        <v>472</v>
      </c>
      <c r="BM570" t="s">
        <v>11324</v>
      </c>
      <c r="BN570" t="s">
        <v>74</v>
      </c>
      <c r="BO570" t="s">
        <v>261</v>
      </c>
      <c r="BP570" t="s">
        <v>74</v>
      </c>
      <c r="BQ570" t="s">
        <v>74</v>
      </c>
      <c r="BR570" t="s">
        <v>103</v>
      </c>
      <c r="BS570" t="s">
        <v>11325</v>
      </c>
      <c r="BT570" t="str">
        <f>HYPERLINK("https%3A%2F%2Fwww.webofscience.com%2Fwos%2Fwoscc%2Ffull-record%2FWOS:000477616300085","View Full Record in Web of Science")</f>
        <v>View Full Record in Web of Science</v>
      </c>
    </row>
    <row r="571" spans="1:72" x14ac:dyDescent="0.15">
      <c r="A571" t="s">
        <v>72</v>
      </c>
      <c r="B571" t="s">
        <v>11326</v>
      </c>
      <c r="C571" t="s">
        <v>74</v>
      </c>
      <c r="D571" t="s">
        <v>74</v>
      </c>
      <c r="E571" t="s">
        <v>74</v>
      </c>
      <c r="F571" t="s">
        <v>11327</v>
      </c>
      <c r="G571" t="s">
        <v>74</v>
      </c>
      <c r="H571" t="s">
        <v>74</v>
      </c>
      <c r="I571" t="s">
        <v>11328</v>
      </c>
      <c r="J571" t="s">
        <v>884</v>
      </c>
      <c r="K571" t="s">
        <v>74</v>
      </c>
      <c r="L571" t="s">
        <v>74</v>
      </c>
      <c r="M571" t="s">
        <v>78</v>
      </c>
      <c r="N571" t="s">
        <v>108</v>
      </c>
      <c r="O571" t="s">
        <v>74</v>
      </c>
      <c r="P571" t="s">
        <v>74</v>
      </c>
      <c r="Q571" t="s">
        <v>74</v>
      </c>
      <c r="R571" t="s">
        <v>74</v>
      </c>
      <c r="S571" t="s">
        <v>74</v>
      </c>
      <c r="T571" t="s">
        <v>11329</v>
      </c>
      <c r="U571" t="s">
        <v>11330</v>
      </c>
      <c r="V571" t="s">
        <v>11331</v>
      </c>
      <c r="W571" t="s">
        <v>11332</v>
      </c>
      <c r="X571" t="s">
        <v>11333</v>
      </c>
      <c r="Y571" t="s">
        <v>11334</v>
      </c>
      <c r="Z571" t="s">
        <v>11335</v>
      </c>
      <c r="AA571" t="s">
        <v>11336</v>
      </c>
      <c r="AB571" t="s">
        <v>11337</v>
      </c>
      <c r="AC571" t="s">
        <v>11338</v>
      </c>
      <c r="AD571" t="s">
        <v>11339</v>
      </c>
      <c r="AE571" t="s">
        <v>11340</v>
      </c>
      <c r="AF571" t="s">
        <v>74</v>
      </c>
      <c r="AG571">
        <v>50</v>
      </c>
      <c r="AH571">
        <v>23</v>
      </c>
      <c r="AI571">
        <v>24</v>
      </c>
      <c r="AJ571">
        <v>0</v>
      </c>
      <c r="AK571">
        <v>20</v>
      </c>
      <c r="AL571" t="s">
        <v>182</v>
      </c>
      <c r="AM571" t="s">
        <v>183</v>
      </c>
      <c r="AN571" t="s">
        <v>184</v>
      </c>
      <c r="AO571" t="s">
        <v>896</v>
      </c>
      <c r="AP571" t="s">
        <v>897</v>
      </c>
      <c r="AQ571" t="s">
        <v>74</v>
      </c>
      <c r="AR571" t="s">
        <v>898</v>
      </c>
      <c r="AS571" t="s">
        <v>899</v>
      </c>
      <c r="AT571" t="s">
        <v>11322</v>
      </c>
      <c r="AU571">
        <v>2019</v>
      </c>
      <c r="AV571">
        <v>46</v>
      </c>
      <c r="AW571">
        <v>12</v>
      </c>
      <c r="AX571" t="s">
        <v>74</v>
      </c>
      <c r="AY571" t="s">
        <v>74</v>
      </c>
      <c r="AZ571" t="s">
        <v>74</v>
      </c>
      <c r="BA571" t="s">
        <v>74</v>
      </c>
      <c r="BB571">
        <v>6900</v>
      </c>
      <c r="BC571">
        <v>6909</v>
      </c>
      <c r="BD571" t="s">
        <v>74</v>
      </c>
      <c r="BE571" t="s">
        <v>11341</v>
      </c>
      <c r="BF571" t="str">
        <f>HYPERLINK("http://dx.doi.org/10.1029/2019GL082108","http://dx.doi.org/10.1029/2019GL082108")</f>
        <v>http://dx.doi.org/10.1029/2019GL082108</v>
      </c>
      <c r="BG571" t="s">
        <v>74</v>
      </c>
      <c r="BH571" t="s">
        <v>74</v>
      </c>
      <c r="BI571">
        <v>10</v>
      </c>
      <c r="BJ571" t="s">
        <v>471</v>
      </c>
      <c r="BK571" t="s">
        <v>101</v>
      </c>
      <c r="BL571" t="s">
        <v>472</v>
      </c>
      <c r="BM571" t="s">
        <v>11324</v>
      </c>
      <c r="BN571" t="s">
        <v>74</v>
      </c>
      <c r="BO571" t="s">
        <v>74</v>
      </c>
      <c r="BP571" t="s">
        <v>74</v>
      </c>
      <c r="BQ571" t="s">
        <v>74</v>
      </c>
      <c r="BR571" t="s">
        <v>103</v>
      </c>
      <c r="BS571" t="s">
        <v>11342</v>
      </c>
      <c r="BT571" t="str">
        <f>HYPERLINK("https%3A%2F%2Fwww.webofscience.com%2Fwos%2Fwoscc%2Ffull-record%2FWOS:000477616300082","View Full Record in Web of Science")</f>
        <v>View Full Record in Web of Science</v>
      </c>
    </row>
    <row r="572" spans="1:72" x14ac:dyDescent="0.15">
      <c r="A572" t="s">
        <v>72</v>
      </c>
      <c r="B572" t="s">
        <v>11343</v>
      </c>
      <c r="C572" t="s">
        <v>74</v>
      </c>
      <c r="D572" t="s">
        <v>74</v>
      </c>
      <c r="E572" t="s">
        <v>74</v>
      </c>
      <c r="F572" t="s">
        <v>11344</v>
      </c>
      <c r="G572" t="s">
        <v>74</v>
      </c>
      <c r="H572" t="s">
        <v>74</v>
      </c>
      <c r="I572" t="s">
        <v>11345</v>
      </c>
      <c r="J572" t="s">
        <v>884</v>
      </c>
      <c r="K572" t="s">
        <v>74</v>
      </c>
      <c r="L572" t="s">
        <v>74</v>
      </c>
      <c r="M572" t="s">
        <v>78</v>
      </c>
      <c r="N572" t="s">
        <v>108</v>
      </c>
      <c r="O572" t="s">
        <v>74</v>
      </c>
      <c r="P572" t="s">
        <v>74</v>
      </c>
      <c r="Q572" t="s">
        <v>74</v>
      </c>
      <c r="R572" t="s">
        <v>74</v>
      </c>
      <c r="S572" t="s">
        <v>74</v>
      </c>
      <c r="T572" t="s">
        <v>11346</v>
      </c>
      <c r="U572" t="s">
        <v>11347</v>
      </c>
      <c r="V572" t="s">
        <v>11348</v>
      </c>
      <c r="W572" t="s">
        <v>11349</v>
      </c>
      <c r="X572" t="s">
        <v>11350</v>
      </c>
      <c r="Y572" t="s">
        <v>11351</v>
      </c>
      <c r="Z572" t="s">
        <v>11352</v>
      </c>
      <c r="AA572" t="s">
        <v>11353</v>
      </c>
      <c r="AB572" t="s">
        <v>11354</v>
      </c>
      <c r="AC572" t="s">
        <v>11355</v>
      </c>
      <c r="AD572" t="s">
        <v>4459</v>
      </c>
      <c r="AE572" t="s">
        <v>11356</v>
      </c>
      <c r="AF572" t="s">
        <v>74</v>
      </c>
      <c r="AG572">
        <v>44</v>
      </c>
      <c r="AH572">
        <v>28</v>
      </c>
      <c r="AI572">
        <v>32</v>
      </c>
      <c r="AJ572">
        <v>1</v>
      </c>
      <c r="AK572">
        <v>10</v>
      </c>
      <c r="AL572" t="s">
        <v>182</v>
      </c>
      <c r="AM572" t="s">
        <v>183</v>
      </c>
      <c r="AN572" t="s">
        <v>184</v>
      </c>
      <c r="AO572" t="s">
        <v>896</v>
      </c>
      <c r="AP572" t="s">
        <v>897</v>
      </c>
      <c r="AQ572" t="s">
        <v>74</v>
      </c>
      <c r="AR572" t="s">
        <v>898</v>
      </c>
      <c r="AS572" t="s">
        <v>899</v>
      </c>
      <c r="AT572" t="s">
        <v>11322</v>
      </c>
      <c r="AU572">
        <v>2019</v>
      </c>
      <c r="AV572">
        <v>46</v>
      </c>
      <c r="AW572">
        <v>12</v>
      </c>
      <c r="AX572" t="s">
        <v>74</v>
      </c>
      <c r="AY572" t="s">
        <v>74</v>
      </c>
      <c r="AZ572" t="s">
        <v>74</v>
      </c>
      <c r="BA572" t="s">
        <v>74</v>
      </c>
      <c r="BB572">
        <v>6644</v>
      </c>
      <c r="BC572">
        <v>6652</v>
      </c>
      <c r="BD572" t="s">
        <v>74</v>
      </c>
      <c r="BE572" t="s">
        <v>11357</v>
      </c>
      <c r="BF572" t="str">
        <f>HYPERLINK("http://dx.doi.org/10.1029/2019GL082842","http://dx.doi.org/10.1029/2019GL082842")</f>
        <v>http://dx.doi.org/10.1029/2019GL082842</v>
      </c>
      <c r="BG572" t="s">
        <v>74</v>
      </c>
      <c r="BH572" t="s">
        <v>74</v>
      </c>
      <c r="BI572">
        <v>9</v>
      </c>
      <c r="BJ572" t="s">
        <v>471</v>
      </c>
      <c r="BK572" t="s">
        <v>101</v>
      </c>
      <c r="BL572" t="s">
        <v>472</v>
      </c>
      <c r="BM572" t="s">
        <v>11324</v>
      </c>
      <c r="BN572" t="s">
        <v>74</v>
      </c>
      <c r="BO572" t="s">
        <v>1465</v>
      </c>
      <c r="BP572" t="s">
        <v>74</v>
      </c>
      <c r="BQ572" t="s">
        <v>74</v>
      </c>
      <c r="BR572" t="s">
        <v>103</v>
      </c>
      <c r="BS572" t="s">
        <v>11358</v>
      </c>
      <c r="BT572" t="str">
        <f>HYPERLINK("https%3A%2F%2Fwww.webofscience.com%2Fwos%2Fwoscc%2Ffull-record%2FWOS:000477616300054","View Full Record in Web of Science")</f>
        <v>View Full Record in Web of Science</v>
      </c>
    </row>
    <row r="573" spans="1:72" x14ac:dyDescent="0.15">
      <c r="A573" t="s">
        <v>72</v>
      </c>
      <c r="B573" t="s">
        <v>11359</v>
      </c>
      <c r="C573" t="s">
        <v>74</v>
      </c>
      <c r="D573" t="s">
        <v>74</v>
      </c>
      <c r="E573" t="s">
        <v>74</v>
      </c>
      <c r="F573" t="s">
        <v>11360</v>
      </c>
      <c r="G573" t="s">
        <v>74</v>
      </c>
      <c r="H573" t="s">
        <v>74</v>
      </c>
      <c r="I573" t="s">
        <v>11361</v>
      </c>
      <c r="J573" t="s">
        <v>884</v>
      </c>
      <c r="K573" t="s">
        <v>74</v>
      </c>
      <c r="L573" t="s">
        <v>74</v>
      </c>
      <c r="M573" t="s">
        <v>78</v>
      </c>
      <c r="N573" t="s">
        <v>108</v>
      </c>
      <c r="O573" t="s">
        <v>74</v>
      </c>
      <c r="P573" t="s">
        <v>74</v>
      </c>
      <c r="Q573" t="s">
        <v>74</v>
      </c>
      <c r="R573" t="s">
        <v>74</v>
      </c>
      <c r="S573" t="s">
        <v>74</v>
      </c>
      <c r="T573" t="s">
        <v>11362</v>
      </c>
      <c r="U573" t="s">
        <v>11363</v>
      </c>
      <c r="V573" t="s">
        <v>11364</v>
      </c>
      <c r="W573" t="s">
        <v>11365</v>
      </c>
      <c r="X573" t="s">
        <v>11366</v>
      </c>
      <c r="Y573" t="s">
        <v>11367</v>
      </c>
      <c r="Z573" t="s">
        <v>11368</v>
      </c>
      <c r="AA573" t="s">
        <v>11369</v>
      </c>
      <c r="AB573" t="s">
        <v>11370</v>
      </c>
      <c r="AC573" t="s">
        <v>11371</v>
      </c>
      <c r="AD573" t="s">
        <v>11372</v>
      </c>
      <c r="AE573" t="s">
        <v>11373</v>
      </c>
      <c r="AF573" t="s">
        <v>74</v>
      </c>
      <c r="AG573">
        <v>21</v>
      </c>
      <c r="AH573">
        <v>5</v>
      </c>
      <c r="AI573">
        <v>5</v>
      </c>
      <c r="AJ573">
        <v>0</v>
      </c>
      <c r="AK573">
        <v>4</v>
      </c>
      <c r="AL573" t="s">
        <v>182</v>
      </c>
      <c r="AM573" t="s">
        <v>183</v>
      </c>
      <c r="AN573" t="s">
        <v>184</v>
      </c>
      <c r="AO573" t="s">
        <v>896</v>
      </c>
      <c r="AP573" t="s">
        <v>897</v>
      </c>
      <c r="AQ573" t="s">
        <v>74</v>
      </c>
      <c r="AR573" t="s">
        <v>898</v>
      </c>
      <c r="AS573" t="s">
        <v>899</v>
      </c>
      <c r="AT573" t="s">
        <v>11322</v>
      </c>
      <c r="AU573">
        <v>2019</v>
      </c>
      <c r="AV573">
        <v>46</v>
      </c>
      <c r="AW573">
        <v>12</v>
      </c>
      <c r="AX573" t="s">
        <v>74</v>
      </c>
      <c r="AY573" t="s">
        <v>74</v>
      </c>
      <c r="AZ573" t="s">
        <v>74</v>
      </c>
      <c r="BA573" t="s">
        <v>74</v>
      </c>
      <c r="BB573">
        <v>6699</v>
      </c>
      <c r="BC573">
        <v>6705</v>
      </c>
      <c r="BD573" t="s">
        <v>74</v>
      </c>
      <c r="BE573" t="s">
        <v>11374</v>
      </c>
      <c r="BF573" t="str">
        <f>HYPERLINK("http://dx.doi.org/10.1029/2019GL082740","http://dx.doi.org/10.1029/2019GL082740")</f>
        <v>http://dx.doi.org/10.1029/2019GL082740</v>
      </c>
      <c r="BG573" t="s">
        <v>74</v>
      </c>
      <c r="BH573" t="s">
        <v>74</v>
      </c>
      <c r="BI573">
        <v>7</v>
      </c>
      <c r="BJ573" t="s">
        <v>471</v>
      </c>
      <c r="BK573" t="s">
        <v>101</v>
      </c>
      <c r="BL573" t="s">
        <v>472</v>
      </c>
      <c r="BM573" t="s">
        <v>11324</v>
      </c>
      <c r="BN573" t="s">
        <v>74</v>
      </c>
      <c r="BO573" t="s">
        <v>1308</v>
      </c>
      <c r="BP573" t="s">
        <v>74</v>
      </c>
      <c r="BQ573" t="s">
        <v>74</v>
      </c>
      <c r="BR573" t="s">
        <v>103</v>
      </c>
      <c r="BS573" t="s">
        <v>11375</v>
      </c>
      <c r="BT573" t="str">
        <f>HYPERLINK("https%3A%2F%2Fwww.webofscience.com%2Fwos%2Fwoscc%2Ffull-record%2FWOS:000477616300060","View Full Record in Web of Science")</f>
        <v>View Full Record in Web of Science</v>
      </c>
    </row>
    <row r="574" spans="1:72" x14ac:dyDescent="0.15">
      <c r="A574" t="s">
        <v>72</v>
      </c>
      <c r="B574" t="s">
        <v>11376</v>
      </c>
      <c r="C574" t="s">
        <v>74</v>
      </c>
      <c r="D574" t="s">
        <v>74</v>
      </c>
      <c r="E574" t="s">
        <v>74</v>
      </c>
      <c r="F574" t="s">
        <v>11377</v>
      </c>
      <c r="G574" t="s">
        <v>74</v>
      </c>
      <c r="H574" t="s">
        <v>74</v>
      </c>
      <c r="I574" t="s">
        <v>11378</v>
      </c>
      <c r="J574" t="s">
        <v>884</v>
      </c>
      <c r="K574" t="s">
        <v>74</v>
      </c>
      <c r="L574" t="s">
        <v>74</v>
      </c>
      <c r="M574" t="s">
        <v>78</v>
      </c>
      <c r="N574" t="s">
        <v>108</v>
      </c>
      <c r="O574" t="s">
        <v>74</v>
      </c>
      <c r="P574" t="s">
        <v>74</v>
      </c>
      <c r="Q574" t="s">
        <v>74</v>
      </c>
      <c r="R574" t="s">
        <v>74</v>
      </c>
      <c r="S574" t="s">
        <v>74</v>
      </c>
      <c r="T574" t="s">
        <v>11379</v>
      </c>
      <c r="U574" t="s">
        <v>11380</v>
      </c>
      <c r="V574" t="s">
        <v>11381</v>
      </c>
      <c r="W574" t="s">
        <v>11382</v>
      </c>
      <c r="X574" t="s">
        <v>1475</v>
      </c>
      <c r="Y574" t="s">
        <v>11383</v>
      </c>
      <c r="Z574" t="s">
        <v>11384</v>
      </c>
      <c r="AA574" t="s">
        <v>6278</v>
      </c>
      <c r="AB574" t="s">
        <v>11385</v>
      </c>
      <c r="AC574" t="s">
        <v>11386</v>
      </c>
      <c r="AD574" t="s">
        <v>11387</v>
      </c>
      <c r="AE574" t="s">
        <v>11388</v>
      </c>
      <c r="AF574" t="s">
        <v>74</v>
      </c>
      <c r="AG574">
        <v>43</v>
      </c>
      <c r="AH574">
        <v>41</v>
      </c>
      <c r="AI574">
        <v>46</v>
      </c>
      <c r="AJ574">
        <v>1</v>
      </c>
      <c r="AK574">
        <v>22</v>
      </c>
      <c r="AL574" t="s">
        <v>182</v>
      </c>
      <c r="AM574" t="s">
        <v>183</v>
      </c>
      <c r="AN574" t="s">
        <v>184</v>
      </c>
      <c r="AO574" t="s">
        <v>896</v>
      </c>
      <c r="AP574" t="s">
        <v>897</v>
      </c>
      <c r="AQ574" t="s">
        <v>74</v>
      </c>
      <c r="AR574" t="s">
        <v>898</v>
      </c>
      <c r="AS574" t="s">
        <v>899</v>
      </c>
      <c r="AT574" t="s">
        <v>11322</v>
      </c>
      <c r="AU574">
        <v>2019</v>
      </c>
      <c r="AV574">
        <v>46</v>
      </c>
      <c r="AW574">
        <v>12</v>
      </c>
      <c r="AX574" t="s">
        <v>74</v>
      </c>
      <c r="AY574" t="s">
        <v>74</v>
      </c>
      <c r="AZ574" t="s">
        <v>74</v>
      </c>
      <c r="BA574" t="s">
        <v>74</v>
      </c>
      <c r="BB574">
        <v>6848</v>
      </c>
      <c r="BC574">
        <v>6858</v>
      </c>
      <c r="BD574" t="s">
        <v>74</v>
      </c>
      <c r="BE574" t="s">
        <v>11389</v>
      </c>
      <c r="BF574" t="str">
        <f>HYPERLINK("http://dx.doi.org/10.1029/2019GL082671","http://dx.doi.org/10.1029/2019GL082671")</f>
        <v>http://dx.doi.org/10.1029/2019GL082671</v>
      </c>
      <c r="BG574" t="s">
        <v>74</v>
      </c>
      <c r="BH574" t="s">
        <v>74</v>
      </c>
      <c r="BI574">
        <v>11</v>
      </c>
      <c r="BJ574" t="s">
        <v>471</v>
      </c>
      <c r="BK574" t="s">
        <v>101</v>
      </c>
      <c r="BL574" t="s">
        <v>472</v>
      </c>
      <c r="BM574" t="s">
        <v>11324</v>
      </c>
      <c r="BN574" t="s">
        <v>74</v>
      </c>
      <c r="BO574" t="s">
        <v>74</v>
      </c>
      <c r="BP574" t="s">
        <v>74</v>
      </c>
      <c r="BQ574" t="s">
        <v>74</v>
      </c>
      <c r="BR574" t="s">
        <v>103</v>
      </c>
      <c r="BS574" t="s">
        <v>11390</v>
      </c>
      <c r="BT574" t="str">
        <f>HYPERLINK("https%3A%2F%2Fwww.webofscience.com%2Fwos%2Fwoscc%2Ffull-record%2FWOS:000477616300076","View Full Record in Web of Science")</f>
        <v>View Full Record in Web of Science</v>
      </c>
    </row>
    <row r="575" spans="1:72" x14ac:dyDescent="0.15">
      <c r="A575" t="s">
        <v>72</v>
      </c>
      <c r="B575" t="s">
        <v>11391</v>
      </c>
      <c r="C575" t="s">
        <v>74</v>
      </c>
      <c r="D575" t="s">
        <v>74</v>
      </c>
      <c r="E575" t="s">
        <v>74</v>
      </c>
      <c r="F575" t="s">
        <v>11392</v>
      </c>
      <c r="G575" t="s">
        <v>74</v>
      </c>
      <c r="H575" t="s">
        <v>74</v>
      </c>
      <c r="I575" t="s">
        <v>11393</v>
      </c>
      <c r="J575" t="s">
        <v>884</v>
      </c>
      <c r="K575" t="s">
        <v>74</v>
      </c>
      <c r="L575" t="s">
        <v>74</v>
      </c>
      <c r="M575" t="s">
        <v>78</v>
      </c>
      <c r="N575" t="s">
        <v>108</v>
      </c>
      <c r="O575" t="s">
        <v>74</v>
      </c>
      <c r="P575" t="s">
        <v>74</v>
      </c>
      <c r="Q575" t="s">
        <v>74</v>
      </c>
      <c r="R575" t="s">
        <v>74</v>
      </c>
      <c r="S575" t="s">
        <v>74</v>
      </c>
      <c r="T575" t="s">
        <v>11394</v>
      </c>
      <c r="U575" t="s">
        <v>11395</v>
      </c>
      <c r="V575" t="s">
        <v>11396</v>
      </c>
      <c r="W575" t="s">
        <v>11397</v>
      </c>
      <c r="X575" t="s">
        <v>7478</v>
      </c>
      <c r="Y575" t="s">
        <v>11398</v>
      </c>
      <c r="Z575" t="s">
        <v>11399</v>
      </c>
      <c r="AA575" t="s">
        <v>11400</v>
      </c>
      <c r="AB575" t="s">
        <v>11401</v>
      </c>
      <c r="AC575" t="s">
        <v>11402</v>
      </c>
      <c r="AD575" t="s">
        <v>11403</v>
      </c>
      <c r="AE575" t="s">
        <v>11404</v>
      </c>
      <c r="AF575" t="s">
        <v>74</v>
      </c>
      <c r="AG575">
        <v>44</v>
      </c>
      <c r="AH575">
        <v>106</v>
      </c>
      <c r="AI575">
        <v>118</v>
      </c>
      <c r="AJ575">
        <v>1</v>
      </c>
      <c r="AK575">
        <v>16</v>
      </c>
      <c r="AL575" t="s">
        <v>182</v>
      </c>
      <c r="AM575" t="s">
        <v>183</v>
      </c>
      <c r="AN575" t="s">
        <v>184</v>
      </c>
      <c r="AO575" t="s">
        <v>896</v>
      </c>
      <c r="AP575" t="s">
        <v>897</v>
      </c>
      <c r="AQ575" t="s">
        <v>74</v>
      </c>
      <c r="AR575" t="s">
        <v>898</v>
      </c>
      <c r="AS575" t="s">
        <v>899</v>
      </c>
      <c r="AT575" t="s">
        <v>11322</v>
      </c>
      <c r="AU575">
        <v>2019</v>
      </c>
      <c r="AV575">
        <v>46</v>
      </c>
      <c r="AW575">
        <v>12</v>
      </c>
      <c r="AX575" t="s">
        <v>74</v>
      </c>
      <c r="AY575" t="s">
        <v>74</v>
      </c>
      <c r="AZ575" t="s">
        <v>74</v>
      </c>
      <c r="BA575" t="s">
        <v>74</v>
      </c>
      <c r="BB575">
        <v>6910</v>
      </c>
      <c r="BC575">
        <v>6917</v>
      </c>
      <c r="BD575" t="s">
        <v>74</v>
      </c>
      <c r="BE575" t="s">
        <v>11405</v>
      </c>
      <c r="BF575" t="str">
        <f>HYPERLINK("http://dx.doi.org/10.1029/2019GL082929","http://dx.doi.org/10.1029/2019GL082929")</f>
        <v>http://dx.doi.org/10.1029/2019GL082929</v>
      </c>
      <c r="BG575" t="s">
        <v>74</v>
      </c>
      <c r="BH575" t="s">
        <v>74</v>
      </c>
      <c r="BI575">
        <v>8</v>
      </c>
      <c r="BJ575" t="s">
        <v>471</v>
      </c>
      <c r="BK575" t="s">
        <v>101</v>
      </c>
      <c r="BL575" t="s">
        <v>472</v>
      </c>
      <c r="BM575" t="s">
        <v>11324</v>
      </c>
      <c r="BN575" t="s">
        <v>74</v>
      </c>
      <c r="BO575" t="s">
        <v>74</v>
      </c>
      <c r="BP575" t="s">
        <v>74</v>
      </c>
      <c r="BQ575" t="s">
        <v>74</v>
      </c>
      <c r="BR575" t="s">
        <v>103</v>
      </c>
      <c r="BS575" t="s">
        <v>11406</v>
      </c>
      <c r="BT575" t="str">
        <f>HYPERLINK("https%3A%2F%2Fwww.webofscience.com%2Fwos%2Fwoscc%2Ffull-record%2FWOS:000477616300083","View Full Record in Web of Science")</f>
        <v>View Full Record in Web of Science</v>
      </c>
    </row>
    <row r="576" spans="1:72" x14ac:dyDescent="0.15">
      <c r="A576" t="s">
        <v>72</v>
      </c>
      <c r="B576" t="s">
        <v>11407</v>
      </c>
      <c r="C576" t="s">
        <v>74</v>
      </c>
      <c r="D576" t="s">
        <v>74</v>
      </c>
      <c r="E576" t="s">
        <v>74</v>
      </c>
      <c r="F576" t="s">
        <v>11408</v>
      </c>
      <c r="G576" t="s">
        <v>74</v>
      </c>
      <c r="H576" t="s">
        <v>74</v>
      </c>
      <c r="I576" t="s">
        <v>11409</v>
      </c>
      <c r="J576" t="s">
        <v>855</v>
      </c>
      <c r="K576" t="s">
        <v>74</v>
      </c>
      <c r="L576" t="s">
        <v>74</v>
      </c>
      <c r="M576" t="s">
        <v>78</v>
      </c>
      <c r="N576" t="s">
        <v>79</v>
      </c>
      <c r="O576" t="s">
        <v>74</v>
      </c>
      <c r="P576" t="s">
        <v>74</v>
      </c>
      <c r="Q576" t="s">
        <v>74</v>
      </c>
      <c r="R576" t="s">
        <v>74</v>
      </c>
      <c r="S576" t="s">
        <v>74</v>
      </c>
      <c r="T576" t="s">
        <v>11410</v>
      </c>
      <c r="U576" t="s">
        <v>11411</v>
      </c>
      <c r="V576" t="s">
        <v>11412</v>
      </c>
      <c r="W576" t="s">
        <v>11413</v>
      </c>
      <c r="X576" t="s">
        <v>11414</v>
      </c>
      <c r="Y576" t="s">
        <v>11415</v>
      </c>
      <c r="Z576" t="s">
        <v>11416</v>
      </c>
      <c r="AA576" t="s">
        <v>11417</v>
      </c>
      <c r="AB576" t="s">
        <v>11418</v>
      </c>
      <c r="AC576" t="s">
        <v>11419</v>
      </c>
      <c r="AD576" t="s">
        <v>11420</v>
      </c>
      <c r="AE576" t="s">
        <v>11421</v>
      </c>
      <c r="AF576" t="s">
        <v>74</v>
      </c>
      <c r="AG576">
        <v>160</v>
      </c>
      <c r="AH576">
        <v>42</v>
      </c>
      <c r="AI576">
        <v>44</v>
      </c>
      <c r="AJ576">
        <v>2</v>
      </c>
      <c r="AK576">
        <v>40</v>
      </c>
      <c r="AL576" t="s">
        <v>868</v>
      </c>
      <c r="AM576" t="s">
        <v>869</v>
      </c>
      <c r="AN576" t="s">
        <v>870</v>
      </c>
      <c r="AO576" t="s">
        <v>74</v>
      </c>
      <c r="AP576" t="s">
        <v>871</v>
      </c>
      <c r="AQ576" t="s">
        <v>74</v>
      </c>
      <c r="AR576" t="s">
        <v>872</v>
      </c>
      <c r="AS576" t="s">
        <v>873</v>
      </c>
      <c r="AT576" t="s">
        <v>11322</v>
      </c>
      <c r="AU576">
        <v>2019</v>
      </c>
      <c r="AV576">
        <v>6</v>
      </c>
      <c r="AW576" t="s">
        <v>74</v>
      </c>
      <c r="AX576" t="s">
        <v>74</v>
      </c>
      <c r="AY576" t="s">
        <v>74</v>
      </c>
      <c r="AZ576" t="s">
        <v>74</v>
      </c>
      <c r="BA576" t="s">
        <v>74</v>
      </c>
      <c r="BB576" t="s">
        <v>74</v>
      </c>
      <c r="BC576" t="s">
        <v>74</v>
      </c>
      <c r="BD576">
        <v>355</v>
      </c>
      <c r="BE576" t="s">
        <v>11422</v>
      </c>
      <c r="BF576" t="str">
        <f>HYPERLINK("http://dx.doi.org/10.3389/fmars.2019.00355","http://dx.doi.org/10.3389/fmars.2019.00355")</f>
        <v>http://dx.doi.org/10.3389/fmars.2019.00355</v>
      </c>
      <c r="BG576" t="s">
        <v>74</v>
      </c>
      <c r="BH576" t="s">
        <v>74</v>
      </c>
      <c r="BI576">
        <v>21</v>
      </c>
      <c r="BJ576" t="s">
        <v>876</v>
      </c>
      <c r="BK576" t="s">
        <v>101</v>
      </c>
      <c r="BL576" t="s">
        <v>877</v>
      </c>
      <c r="BM576" t="s">
        <v>11423</v>
      </c>
      <c r="BN576" t="s">
        <v>74</v>
      </c>
      <c r="BO576" t="s">
        <v>331</v>
      </c>
      <c r="BP576" t="s">
        <v>74</v>
      </c>
      <c r="BQ576" t="s">
        <v>74</v>
      </c>
      <c r="BR576" t="s">
        <v>103</v>
      </c>
      <c r="BS576" t="s">
        <v>11424</v>
      </c>
      <c r="BT576" t="str">
        <f>HYPERLINK("https%3A%2F%2Fwww.webofscience.com%2Fwos%2Fwoscc%2Ffull-record%2FWOS:000473484600001","View Full Record in Web of Science")</f>
        <v>View Full Record in Web of Science</v>
      </c>
    </row>
    <row r="577" spans="1:72" x14ac:dyDescent="0.15">
      <c r="A577" t="s">
        <v>72</v>
      </c>
      <c r="B577" t="s">
        <v>11425</v>
      </c>
      <c r="C577" t="s">
        <v>74</v>
      </c>
      <c r="D577" t="s">
        <v>74</v>
      </c>
      <c r="E577" t="s">
        <v>74</v>
      </c>
      <c r="F577" t="s">
        <v>11426</v>
      </c>
      <c r="G577" t="s">
        <v>74</v>
      </c>
      <c r="H577" t="s">
        <v>74</v>
      </c>
      <c r="I577" t="s">
        <v>11427</v>
      </c>
      <c r="J577" t="s">
        <v>2737</v>
      </c>
      <c r="K577" t="s">
        <v>74</v>
      </c>
      <c r="L577" t="s">
        <v>74</v>
      </c>
      <c r="M577" t="s">
        <v>78</v>
      </c>
      <c r="N577" t="s">
        <v>108</v>
      </c>
      <c r="O577" t="s">
        <v>74</v>
      </c>
      <c r="P577" t="s">
        <v>74</v>
      </c>
      <c r="Q577" t="s">
        <v>74</v>
      </c>
      <c r="R577" t="s">
        <v>74</v>
      </c>
      <c r="S577" t="s">
        <v>74</v>
      </c>
      <c r="T577" t="s">
        <v>11428</v>
      </c>
      <c r="U577" t="s">
        <v>11429</v>
      </c>
      <c r="V577" t="s">
        <v>11430</v>
      </c>
      <c r="W577" t="s">
        <v>11431</v>
      </c>
      <c r="X577" t="s">
        <v>11432</v>
      </c>
      <c r="Y577" t="s">
        <v>11433</v>
      </c>
      <c r="Z577" t="s">
        <v>11434</v>
      </c>
      <c r="AA577" t="s">
        <v>11435</v>
      </c>
      <c r="AB577" t="s">
        <v>11436</v>
      </c>
      <c r="AC577" t="s">
        <v>11437</v>
      </c>
      <c r="AD577" t="s">
        <v>11438</v>
      </c>
      <c r="AE577" t="s">
        <v>11439</v>
      </c>
      <c r="AF577" t="s">
        <v>74</v>
      </c>
      <c r="AG577">
        <v>72</v>
      </c>
      <c r="AH577">
        <v>4</v>
      </c>
      <c r="AI577">
        <v>4</v>
      </c>
      <c r="AJ577">
        <v>0</v>
      </c>
      <c r="AK577">
        <v>4</v>
      </c>
      <c r="AL577" t="s">
        <v>1274</v>
      </c>
      <c r="AM577" t="s">
        <v>1275</v>
      </c>
      <c r="AN577" t="s">
        <v>1276</v>
      </c>
      <c r="AO577" t="s">
        <v>2752</v>
      </c>
      <c r="AP577" t="s">
        <v>2753</v>
      </c>
      <c r="AQ577" t="s">
        <v>74</v>
      </c>
      <c r="AR577" t="s">
        <v>2754</v>
      </c>
      <c r="AS577" t="s">
        <v>2755</v>
      </c>
      <c r="AT577" t="s">
        <v>11322</v>
      </c>
      <c r="AU577">
        <v>2019</v>
      </c>
      <c r="AV577">
        <v>38</v>
      </c>
      <c r="AW577" t="s">
        <v>74</v>
      </c>
      <c r="AX577" t="s">
        <v>74</v>
      </c>
      <c r="AY577" t="s">
        <v>74</v>
      </c>
      <c r="AZ577" t="s">
        <v>74</v>
      </c>
      <c r="BA577" t="s">
        <v>74</v>
      </c>
      <c r="BB577" t="s">
        <v>74</v>
      </c>
      <c r="BC577" t="s">
        <v>74</v>
      </c>
      <c r="BD577">
        <v>3349</v>
      </c>
      <c r="BE577" t="s">
        <v>11440</v>
      </c>
      <c r="BF577" t="str">
        <f>HYPERLINK("http://dx.doi.org/10.33265/polar.v38.3349","http://dx.doi.org/10.33265/polar.v38.3349")</f>
        <v>http://dx.doi.org/10.33265/polar.v38.3349</v>
      </c>
      <c r="BG577" t="s">
        <v>74</v>
      </c>
      <c r="BH577" t="s">
        <v>74</v>
      </c>
      <c r="BI577">
        <v>25</v>
      </c>
      <c r="BJ577" t="s">
        <v>2757</v>
      </c>
      <c r="BK577" t="s">
        <v>101</v>
      </c>
      <c r="BL577" t="s">
        <v>2758</v>
      </c>
      <c r="BM577" t="s">
        <v>11441</v>
      </c>
      <c r="BN577" t="s">
        <v>74</v>
      </c>
      <c r="BO577" t="s">
        <v>313</v>
      </c>
      <c r="BP577" t="s">
        <v>74</v>
      </c>
      <c r="BQ577" t="s">
        <v>74</v>
      </c>
      <c r="BR577" t="s">
        <v>103</v>
      </c>
      <c r="BS577" t="s">
        <v>11442</v>
      </c>
      <c r="BT577" t="str">
        <f>HYPERLINK("https%3A%2F%2Fwww.webofscience.com%2Fwos%2Fwoscc%2Ffull-record%2FWOS:000474226500001","View Full Record in Web of Science")</f>
        <v>View Full Record in Web of Science</v>
      </c>
    </row>
    <row r="578" spans="1:72" x14ac:dyDescent="0.15">
      <c r="A578" t="s">
        <v>72</v>
      </c>
      <c r="B578" t="s">
        <v>11443</v>
      </c>
      <c r="C578" t="s">
        <v>74</v>
      </c>
      <c r="D578" t="s">
        <v>74</v>
      </c>
      <c r="E578" t="s">
        <v>74</v>
      </c>
      <c r="F578" t="s">
        <v>11444</v>
      </c>
      <c r="G578" t="s">
        <v>74</v>
      </c>
      <c r="H578" t="s">
        <v>74</v>
      </c>
      <c r="I578" t="s">
        <v>11445</v>
      </c>
      <c r="J578" t="s">
        <v>11446</v>
      </c>
      <c r="K578" t="s">
        <v>74</v>
      </c>
      <c r="L578" t="s">
        <v>74</v>
      </c>
      <c r="M578" t="s">
        <v>78</v>
      </c>
      <c r="N578" t="s">
        <v>108</v>
      </c>
      <c r="O578" t="s">
        <v>74</v>
      </c>
      <c r="P578" t="s">
        <v>74</v>
      </c>
      <c r="Q578" t="s">
        <v>74</v>
      </c>
      <c r="R578" t="s">
        <v>74</v>
      </c>
      <c r="S578" t="s">
        <v>74</v>
      </c>
      <c r="T578" t="s">
        <v>11447</v>
      </c>
      <c r="U578" t="s">
        <v>11448</v>
      </c>
      <c r="V578" t="s">
        <v>11449</v>
      </c>
      <c r="W578" t="s">
        <v>11450</v>
      </c>
      <c r="X578" t="s">
        <v>11451</v>
      </c>
      <c r="Y578" t="s">
        <v>11452</v>
      </c>
      <c r="Z578" t="s">
        <v>11453</v>
      </c>
      <c r="AA578" t="s">
        <v>11454</v>
      </c>
      <c r="AB578" t="s">
        <v>11455</v>
      </c>
      <c r="AC578" t="s">
        <v>11456</v>
      </c>
      <c r="AD578" t="s">
        <v>11457</v>
      </c>
      <c r="AE578" t="s">
        <v>11458</v>
      </c>
      <c r="AF578" t="s">
        <v>74</v>
      </c>
      <c r="AG578">
        <v>72</v>
      </c>
      <c r="AH578">
        <v>7</v>
      </c>
      <c r="AI578">
        <v>7</v>
      </c>
      <c r="AJ578">
        <v>0</v>
      </c>
      <c r="AK578">
        <v>7</v>
      </c>
      <c r="AL578" t="s">
        <v>868</v>
      </c>
      <c r="AM578" t="s">
        <v>869</v>
      </c>
      <c r="AN578" t="s">
        <v>870</v>
      </c>
      <c r="AO578" t="s">
        <v>74</v>
      </c>
      <c r="AP578" t="s">
        <v>11459</v>
      </c>
      <c r="AQ578" t="s">
        <v>74</v>
      </c>
      <c r="AR578" t="s">
        <v>11460</v>
      </c>
      <c r="AS578" t="s">
        <v>11461</v>
      </c>
      <c r="AT578" t="s">
        <v>11322</v>
      </c>
      <c r="AU578">
        <v>2019</v>
      </c>
      <c r="AV578">
        <v>13</v>
      </c>
      <c r="AW578" t="s">
        <v>74</v>
      </c>
      <c r="AX578" t="s">
        <v>74</v>
      </c>
      <c r="AY578" t="s">
        <v>74</v>
      </c>
      <c r="AZ578" t="s">
        <v>74</v>
      </c>
      <c r="BA578" t="s">
        <v>74</v>
      </c>
      <c r="BB578" t="s">
        <v>74</v>
      </c>
      <c r="BC578" t="s">
        <v>74</v>
      </c>
      <c r="BD578">
        <v>626</v>
      </c>
      <c r="BE578" t="s">
        <v>11462</v>
      </c>
      <c r="BF578" t="str">
        <f>HYPERLINK("http://dx.doi.org/10.3389/fnins.2019.00626","http://dx.doi.org/10.3389/fnins.2019.00626")</f>
        <v>http://dx.doi.org/10.3389/fnins.2019.00626</v>
      </c>
      <c r="BG578" t="s">
        <v>74</v>
      </c>
      <c r="BH578" t="s">
        <v>74</v>
      </c>
      <c r="BI578">
        <v>23</v>
      </c>
      <c r="BJ578" t="s">
        <v>11463</v>
      </c>
      <c r="BK578" t="s">
        <v>101</v>
      </c>
      <c r="BL578" t="s">
        <v>2603</v>
      </c>
      <c r="BM578" t="s">
        <v>11464</v>
      </c>
      <c r="BN578">
        <v>31316332</v>
      </c>
      <c r="BO578" t="s">
        <v>420</v>
      </c>
      <c r="BP578" t="s">
        <v>74</v>
      </c>
      <c r="BQ578" t="s">
        <v>74</v>
      </c>
      <c r="BR578" t="s">
        <v>103</v>
      </c>
      <c r="BS578" t="s">
        <v>11465</v>
      </c>
      <c r="BT578" t="str">
        <f>HYPERLINK("https%3A%2F%2Fwww.webofscience.com%2Fwos%2Fwoscc%2Ffull-record%2FWOS:000473234200001","View Full Record in Web of Science")</f>
        <v>View Full Record in Web of Science</v>
      </c>
    </row>
    <row r="579" spans="1:72" x14ac:dyDescent="0.15">
      <c r="A579" t="s">
        <v>72</v>
      </c>
      <c r="B579" t="s">
        <v>11466</v>
      </c>
      <c r="C579" t="s">
        <v>74</v>
      </c>
      <c r="D579" t="s">
        <v>74</v>
      </c>
      <c r="E579" t="s">
        <v>74</v>
      </c>
      <c r="F579" t="s">
        <v>11467</v>
      </c>
      <c r="G579" t="s">
        <v>74</v>
      </c>
      <c r="H579" t="s">
        <v>74</v>
      </c>
      <c r="I579" t="s">
        <v>11468</v>
      </c>
      <c r="J579" t="s">
        <v>11469</v>
      </c>
      <c r="K579" t="s">
        <v>74</v>
      </c>
      <c r="L579" t="s">
        <v>74</v>
      </c>
      <c r="M579" t="s">
        <v>78</v>
      </c>
      <c r="N579" t="s">
        <v>108</v>
      </c>
      <c r="O579" t="s">
        <v>74</v>
      </c>
      <c r="P579" t="s">
        <v>74</v>
      </c>
      <c r="Q579" t="s">
        <v>74</v>
      </c>
      <c r="R579" t="s">
        <v>74</v>
      </c>
      <c r="S579" t="s">
        <v>74</v>
      </c>
      <c r="T579" t="s">
        <v>74</v>
      </c>
      <c r="U579" t="s">
        <v>11470</v>
      </c>
      <c r="V579" t="s">
        <v>11471</v>
      </c>
      <c r="W579" t="s">
        <v>11472</v>
      </c>
      <c r="X579" t="s">
        <v>11473</v>
      </c>
      <c r="Y579" t="s">
        <v>11474</v>
      </c>
      <c r="Z579" t="s">
        <v>11475</v>
      </c>
      <c r="AA579" t="s">
        <v>74</v>
      </c>
      <c r="AB579" t="s">
        <v>11476</v>
      </c>
      <c r="AC579" t="s">
        <v>11477</v>
      </c>
      <c r="AD579" t="s">
        <v>11478</v>
      </c>
      <c r="AE579" t="s">
        <v>11479</v>
      </c>
      <c r="AF579" t="s">
        <v>74</v>
      </c>
      <c r="AG579">
        <v>73</v>
      </c>
      <c r="AH579">
        <v>11</v>
      </c>
      <c r="AI579">
        <v>11</v>
      </c>
      <c r="AJ579">
        <v>0</v>
      </c>
      <c r="AK579">
        <v>0</v>
      </c>
      <c r="AL579" t="s">
        <v>839</v>
      </c>
      <c r="AM579" t="s">
        <v>840</v>
      </c>
      <c r="AN579" t="s">
        <v>841</v>
      </c>
      <c r="AO579" t="s">
        <v>11480</v>
      </c>
      <c r="AP579" t="s">
        <v>11481</v>
      </c>
      <c r="AQ579" t="s">
        <v>74</v>
      </c>
      <c r="AR579" t="s">
        <v>11469</v>
      </c>
      <c r="AS579" t="s">
        <v>11482</v>
      </c>
      <c r="AT579" t="s">
        <v>11322</v>
      </c>
      <c r="AU579">
        <v>2019</v>
      </c>
      <c r="AV579">
        <v>10</v>
      </c>
      <c r="AW579">
        <v>3</v>
      </c>
      <c r="AX579" t="s">
        <v>74</v>
      </c>
      <c r="AY579" t="s">
        <v>74</v>
      </c>
      <c r="AZ579" t="s">
        <v>74</v>
      </c>
      <c r="BA579" t="s">
        <v>74</v>
      </c>
      <c r="BB579">
        <v>969</v>
      </c>
      <c r="BC579">
        <v>985</v>
      </c>
      <c r="BD579" t="s">
        <v>74</v>
      </c>
      <c r="BE579" t="s">
        <v>11483</v>
      </c>
      <c r="BF579" t="str">
        <f>HYPERLINK("http://dx.doi.org/10.5194/se-10-969-2019","http://dx.doi.org/10.5194/se-10-969-2019")</f>
        <v>http://dx.doi.org/10.5194/se-10-969-2019</v>
      </c>
      <c r="BG579" t="s">
        <v>74</v>
      </c>
      <c r="BH579" t="s">
        <v>74</v>
      </c>
      <c r="BI579">
        <v>17</v>
      </c>
      <c r="BJ579" t="s">
        <v>190</v>
      </c>
      <c r="BK579" t="s">
        <v>101</v>
      </c>
      <c r="BL579" t="s">
        <v>190</v>
      </c>
      <c r="BM579" t="s">
        <v>11484</v>
      </c>
      <c r="BN579" t="s">
        <v>74</v>
      </c>
      <c r="BO579" t="s">
        <v>2565</v>
      </c>
      <c r="BP579" t="s">
        <v>74</v>
      </c>
      <c r="BQ579" t="s">
        <v>74</v>
      </c>
      <c r="BR579" t="s">
        <v>103</v>
      </c>
      <c r="BS579" t="s">
        <v>11485</v>
      </c>
      <c r="BT579" t="str">
        <f>HYPERLINK("https%3A%2F%2Fwww.webofscience.com%2Fwos%2Fwoscc%2Ffull-record%2FWOS:000473229100001","View Full Record in Web of Science")</f>
        <v>View Full Record in Web of Science</v>
      </c>
    </row>
    <row r="580" spans="1:72" x14ac:dyDescent="0.15">
      <c r="A580" t="s">
        <v>72</v>
      </c>
      <c r="B580" t="s">
        <v>11486</v>
      </c>
      <c r="C580" t="s">
        <v>74</v>
      </c>
      <c r="D580" t="s">
        <v>74</v>
      </c>
      <c r="E580" t="s">
        <v>74</v>
      </c>
      <c r="F580" t="s">
        <v>11487</v>
      </c>
      <c r="G580" t="s">
        <v>74</v>
      </c>
      <c r="H580" t="s">
        <v>74</v>
      </c>
      <c r="I580" t="s">
        <v>11488</v>
      </c>
      <c r="J580" t="s">
        <v>11489</v>
      </c>
      <c r="K580" t="s">
        <v>74</v>
      </c>
      <c r="L580" t="s">
        <v>74</v>
      </c>
      <c r="M580" t="s">
        <v>78</v>
      </c>
      <c r="N580" t="s">
        <v>108</v>
      </c>
      <c r="O580" t="s">
        <v>74</v>
      </c>
      <c r="P580" t="s">
        <v>74</v>
      </c>
      <c r="Q580" t="s">
        <v>74</v>
      </c>
      <c r="R580" t="s">
        <v>74</v>
      </c>
      <c r="S580" t="s">
        <v>74</v>
      </c>
      <c r="T580" t="s">
        <v>11490</v>
      </c>
      <c r="U580" t="s">
        <v>11491</v>
      </c>
      <c r="V580" t="s">
        <v>11492</v>
      </c>
      <c r="W580" t="s">
        <v>11493</v>
      </c>
      <c r="X580" t="s">
        <v>11494</v>
      </c>
      <c r="Y580" t="s">
        <v>11495</v>
      </c>
      <c r="Z580" t="s">
        <v>11496</v>
      </c>
      <c r="AA580" t="s">
        <v>11497</v>
      </c>
      <c r="AB580" t="s">
        <v>11498</v>
      </c>
      <c r="AC580" t="s">
        <v>11499</v>
      </c>
      <c r="AD580" t="s">
        <v>11500</v>
      </c>
      <c r="AE580" t="s">
        <v>11501</v>
      </c>
      <c r="AF580" t="s">
        <v>74</v>
      </c>
      <c r="AG580">
        <v>49</v>
      </c>
      <c r="AH580">
        <v>106</v>
      </c>
      <c r="AI580">
        <v>114</v>
      </c>
      <c r="AJ580">
        <v>3</v>
      </c>
      <c r="AK580">
        <v>57</v>
      </c>
      <c r="AL580" t="s">
        <v>868</v>
      </c>
      <c r="AM580" t="s">
        <v>869</v>
      </c>
      <c r="AN580" t="s">
        <v>870</v>
      </c>
      <c r="AO580" t="s">
        <v>74</v>
      </c>
      <c r="AP580" t="s">
        <v>11502</v>
      </c>
      <c r="AQ580" t="s">
        <v>74</v>
      </c>
      <c r="AR580" t="s">
        <v>11503</v>
      </c>
      <c r="AS580" t="s">
        <v>11504</v>
      </c>
      <c r="AT580" t="s">
        <v>11322</v>
      </c>
      <c r="AU580">
        <v>2019</v>
      </c>
      <c r="AV580">
        <v>7</v>
      </c>
      <c r="AW580" t="s">
        <v>74</v>
      </c>
      <c r="AX580" t="s">
        <v>74</v>
      </c>
      <c r="AY580" t="s">
        <v>74</v>
      </c>
      <c r="AZ580" t="s">
        <v>74</v>
      </c>
      <c r="BA580" t="s">
        <v>74</v>
      </c>
      <c r="BB580" t="s">
        <v>74</v>
      </c>
      <c r="BC580" t="s">
        <v>74</v>
      </c>
      <c r="BD580">
        <v>102</v>
      </c>
      <c r="BE580" t="s">
        <v>11505</v>
      </c>
      <c r="BF580" t="str">
        <f>HYPERLINK("http://dx.doi.org/10.3389/fenvs.2019.00102","http://dx.doi.org/10.3389/fenvs.2019.00102")</f>
        <v>http://dx.doi.org/10.3389/fenvs.2019.00102</v>
      </c>
      <c r="BG580" t="s">
        <v>74</v>
      </c>
      <c r="BH580" t="s">
        <v>74</v>
      </c>
      <c r="BI580">
        <v>7</v>
      </c>
      <c r="BJ580" t="s">
        <v>797</v>
      </c>
      <c r="BK580" t="s">
        <v>101</v>
      </c>
      <c r="BL580" t="s">
        <v>799</v>
      </c>
      <c r="BM580" t="s">
        <v>11506</v>
      </c>
      <c r="BN580" t="s">
        <v>74</v>
      </c>
      <c r="BO580" t="s">
        <v>402</v>
      </c>
      <c r="BP580" t="s">
        <v>74</v>
      </c>
      <c r="BQ580" t="s">
        <v>74</v>
      </c>
      <c r="BR580" t="s">
        <v>103</v>
      </c>
      <c r="BS580" t="s">
        <v>11507</v>
      </c>
      <c r="BT580" t="str">
        <f>HYPERLINK("https%3A%2F%2Fwww.webofscience.com%2Fwos%2Fwoscc%2Ffull-record%2FWOS:000473504100001","View Full Record in Web of Science")</f>
        <v>View Full Record in Web of Science</v>
      </c>
    </row>
    <row r="581" spans="1:72" x14ac:dyDescent="0.15">
      <c r="A581" t="s">
        <v>72</v>
      </c>
      <c r="B581" t="s">
        <v>11508</v>
      </c>
      <c r="C581" t="s">
        <v>74</v>
      </c>
      <c r="D581" t="s">
        <v>74</v>
      </c>
      <c r="E581" t="s">
        <v>74</v>
      </c>
      <c r="F581" t="s">
        <v>11509</v>
      </c>
      <c r="G581" t="s">
        <v>74</v>
      </c>
      <c r="H581" t="s">
        <v>74</v>
      </c>
      <c r="I581" t="s">
        <v>11510</v>
      </c>
      <c r="J581" t="s">
        <v>855</v>
      </c>
      <c r="K581" t="s">
        <v>74</v>
      </c>
      <c r="L581" t="s">
        <v>74</v>
      </c>
      <c r="M581" t="s">
        <v>78</v>
      </c>
      <c r="N581" t="s">
        <v>108</v>
      </c>
      <c r="O581" t="s">
        <v>74</v>
      </c>
      <c r="P581" t="s">
        <v>74</v>
      </c>
      <c r="Q581" t="s">
        <v>74</v>
      </c>
      <c r="R581" t="s">
        <v>74</v>
      </c>
      <c r="S581" t="s">
        <v>74</v>
      </c>
      <c r="T581" t="s">
        <v>11511</v>
      </c>
      <c r="U581" t="s">
        <v>11512</v>
      </c>
      <c r="V581" t="s">
        <v>11513</v>
      </c>
      <c r="W581" t="s">
        <v>11514</v>
      </c>
      <c r="X581" t="s">
        <v>11515</v>
      </c>
      <c r="Y581" t="s">
        <v>11516</v>
      </c>
      <c r="Z581" t="s">
        <v>11517</v>
      </c>
      <c r="AA581" t="s">
        <v>11518</v>
      </c>
      <c r="AB581" t="s">
        <v>11519</v>
      </c>
      <c r="AC581" t="s">
        <v>11520</v>
      </c>
      <c r="AD581" t="s">
        <v>11521</v>
      </c>
      <c r="AE581" t="s">
        <v>11522</v>
      </c>
      <c r="AF581" t="s">
        <v>74</v>
      </c>
      <c r="AG581">
        <v>44</v>
      </c>
      <c r="AH581">
        <v>51</v>
      </c>
      <c r="AI581">
        <v>56</v>
      </c>
      <c r="AJ581">
        <v>2</v>
      </c>
      <c r="AK581">
        <v>21</v>
      </c>
      <c r="AL581" t="s">
        <v>868</v>
      </c>
      <c r="AM581" t="s">
        <v>869</v>
      </c>
      <c r="AN581" t="s">
        <v>870</v>
      </c>
      <c r="AO581" t="s">
        <v>74</v>
      </c>
      <c r="AP581" t="s">
        <v>871</v>
      </c>
      <c r="AQ581" t="s">
        <v>74</v>
      </c>
      <c r="AR581" t="s">
        <v>872</v>
      </c>
      <c r="AS581" t="s">
        <v>873</v>
      </c>
      <c r="AT581" t="s">
        <v>11322</v>
      </c>
      <c r="AU581">
        <v>2019</v>
      </c>
      <c r="AV581">
        <v>6</v>
      </c>
      <c r="AW581" t="s">
        <v>74</v>
      </c>
      <c r="AX581" t="s">
        <v>74</v>
      </c>
      <c r="AY581" t="s">
        <v>74</v>
      </c>
      <c r="AZ581" t="s">
        <v>74</v>
      </c>
      <c r="BA581" t="s">
        <v>74</v>
      </c>
      <c r="BB581" t="s">
        <v>74</v>
      </c>
      <c r="BC581" t="s">
        <v>74</v>
      </c>
      <c r="BD581">
        <v>349</v>
      </c>
      <c r="BE581" t="s">
        <v>11523</v>
      </c>
      <c r="BF581" t="str">
        <f>HYPERLINK("http://dx.doi.org/10.3389/fmars.2019.00349","http://dx.doi.org/10.3389/fmars.2019.00349")</f>
        <v>http://dx.doi.org/10.3389/fmars.2019.00349</v>
      </c>
      <c r="BG581" t="s">
        <v>74</v>
      </c>
      <c r="BH581" t="s">
        <v>74</v>
      </c>
      <c r="BI581">
        <v>11</v>
      </c>
      <c r="BJ581" t="s">
        <v>876</v>
      </c>
      <c r="BK581" t="s">
        <v>3718</v>
      </c>
      <c r="BL581" t="s">
        <v>877</v>
      </c>
      <c r="BM581" t="s">
        <v>11524</v>
      </c>
      <c r="BN581" t="s">
        <v>74</v>
      </c>
      <c r="BO581" t="s">
        <v>4818</v>
      </c>
      <c r="BP581" t="s">
        <v>74</v>
      </c>
      <c r="BQ581" t="s">
        <v>74</v>
      </c>
      <c r="BR581" t="s">
        <v>103</v>
      </c>
      <c r="BS581" t="s">
        <v>11525</v>
      </c>
      <c r="BT581" t="str">
        <f>HYPERLINK("https%3A%2F%2Fwww.webofscience.com%2Fwos%2Fwoscc%2Ffull-record%2FWOS:000473484200001","View Full Record in Web of Science")</f>
        <v>View Full Record in Web of Science</v>
      </c>
    </row>
    <row r="582" spans="1:72" x14ac:dyDescent="0.15">
      <c r="A582" t="s">
        <v>72</v>
      </c>
      <c r="B582" t="s">
        <v>11526</v>
      </c>
      <c r="C582" t="s">
        <v>74</v>
      </c>
      <c r="D582" t="s">
        <v>74</v>
      </c>
      <c r="E582" t="s">
        <v>74</v>
      </c>
      <c r="F582" t="s">
        <v>11527</v>
      </c>
      <c r="G582" t="s">
        <v>74</v>
      </c>
      <c r="H582" t="s">
        <v>74</v>
      </c>
      <c r="I582" t="s">
        <v>11528</v>
      </c>
      <c r="J582" t="s">
        <v>1887</v>
      </c>
      <c r="K582" t="s">
        <v>74</v>
      </c>
      <c r="L582" t="s">
        <v>74</v>
      </c>
      <c r="M582" t="s">
        <v>78</v>
      </c>
      <c r="N582" t="s">
        <v>108</v>
      </c>
      <c r="O582" t="s">
        <v>74</v>
      </c>
      <c r="P582" t="s">
        <v>74</v>
      </c>
      <c r="Q582" t="s">
        <v>74</v>
      </c>
      <c r="R582" t="s">
        <v>74</v>
      </c>
      <c r="S582" t="s">
        <v>74</v>
      </c>
      <c r="T582" t="s">
        <v>11529</v>
      </c>
      <c r="U582" t="s">
        <v>11530</v>
      </c>
      <c r="V582" t="s">
        <v>11531</v>
      </c>
      <c r="W582" t="s">
        <v>11532</v>
      </c>
      <c r="X582" t="s">
        <v>11533</v>
      </c>
      <c r="Y582" t="s">
        <v>11534</v>
      </c>
      <c r="Z582" t="s">
        <v>11535</v>
      </c>
      <c r="AA582" t="s">
        <v>11536</v>
      </c>
      <c r="AB582" t="s">
        <v>11537</v>
      </c>
      <c r="AC582" t="s">
        <v>11538</v>
      </c>
      <c r="AD582" t="s">
        <v>11539</v>
      </c>
      <c r="AE582" t="s">
        <v>11540</v>
      </c>
      <c r="AF582" t="s">
        <v>74</v>
      </c>
      <c r="AG582">
        <v>87</v>
      </c>
      <c r="AH582">
        <v>8</v>
      </c>
      <c r="AI582">
        <v>8</v>
      </c>
      <c r="AJ582">
        <v>1</v>
      </c>
      <c r="AK582">
        <v>17</v>
      </c>
      <c r="AL582" t="s">
        <v>182</v>
      </c>
      <c r="AM582" t="s">
        <v>183</v>
      </c>
      <c r="AN582" t="s">
        <v>184</v>
      </c>
      <c r="AO582" t="s">
        <v>6300</v>
      </c>
      <c r="AP582" t="s">
        <v>1899</v>
      </c>
      <c r="AQ582" t="s">
        <v>74</v>
      </c>
      <c r="AR582" t="s">
        <v>1900</v>
      </c>
      <c r="AS582" t="s">
        <v>1901</v>
      </c>
      <c r="AT582" t="s">
        <v>11541</v>
      </c>
      <c r="AU582">
        <v>2019</v>
      </c>
      <c r="AV582">
        <v>124</v>
      </c>
      <c r="AW582">
        <v>12</v>
      </c>
      <c r="AX582" t="s">
        <v>74</v>
      </c>
      <c r="AY582" t="s">
        <v>74</v>
      </c>
      <c r="AZ582" t="s">
        <v>74</v>
      </c>
      <c r="BA582" t="s">
        <v>74</v>
      </c>
      <c r="BB582">
        <v>5981</v>
      </c>
      <c r="BC582">
        <v>6008</v>
      </c>
      <c r="BD582" t="s">
        <v>74</v>
      </c>
      <c r="BE582" t="s">
        <v>11542</v>
      </c>
      <c r="BF582" t="str">
        <f>HYPERLINK("http://dx.doi.org/10.1029/2018JD029728","http://dx.doi.org/10.1029/2018JD029728")</f>
        <v>http://dx.doi.org/10.1029/2018JD029728</v>
      </c>
      <c r="BG582" t="s">
        <v>74</v>
      </c>
      <c r="BH582" t="s">
        <v>74</v>
      </c>
      <c r="BI582">
        <v>28</v>
      </c>
      <c r="BJ582" t="s">
        <v>259</v>
      </c>
      <c r="BK582" t="s">
        <v>101</v>
      </c>
      <c r="BL582" t="s">
        <v>259</v>
      </c>
      <c r="BM582" t="s">
        <v>11543</v>
      </c>
      <c r="BN582" t="s">
        <v>74</v>
      </c>
      <c r="BO582" t="s">
        <v>984</v>
      </c>
      <c r="BP582" t="s">
        <v>74</v>
      </c>
      <c r="BQ582" t="s">
        <v>74</v>
      </c>
      <c r="BR582" t="s">
        <v>103</v>
      </c>
      <c r="BS582" t="s">
        <v>11544</v>
      </c>
      <c r="BT582" t="str">
        <f>HYPERLINK("https%3A%2F%2Fwww.webofscience.com%2Fwos%2Fwoscc%2Ffull-record%2FWOS:000477800000005","View Full Record in Web of Science")</f>
        <v>View Full Record in Web of Science</v>
      </c>
    </row>
    <row r="583" spans="1:72" x14ac:dyDescent="0.15">
      <c r="A583" t="s">
        <v>72</v>
      </c>
      <c r="B583" t="s">
        <v>11545</v>
      </c>
      <c r="C583" t="s">
        <v>74</v>
      </c>
      <c r="D583" t="s">
        <v>74</v>
      </c>
      <c r="E583" t="s">
        <v>74</v>
      </c>
      <c r="F583" t="s">
        <v>11546</v>
      </c>
      <c r="G583" t="s">
        <v>74</v>
      </c>
      <c r="H583" t="s">
        <v>74</v>
      </c>
      <c r="I583" t="s">
        <v>11547</v>
      </c>
      <c r="J583" t="s">
        <v>1887</v>
      </c>
      <c r="K583" t="s">
        <v>74</v>
      </c>
      <c r="L583" t="s">
        <v>74</v>
      </c>
      <c r="M583" t="s">
        <v>78</v>
      </c>
      <c r="N583" t="s">
        <v>108</v>
      </c>
      <c r="O583" t="s">
        <v>74</v>
      </c>
      <c r="P583" t="s">
        <v>74</v>
      </c>
      <c r="Q583" t="s">
        <v>74</v>
      </c>
      <c r="R583" t="s">
        <v>74</v>
      </c>
      <c r="S583" t="s">
        <v>74</v>
      </c>
      <c r="T583" t="s">
        <v>11548</v>
      </c>
      <c r="U583" t="s">
        <v>11549</v>
      </c>
      <c r="V583" t="s">
        <v>11550</v>
      </c>
      <c r="W583" t="s">
        <v>11551</v>
      </c>
      <c r="X583" t="s">
        <v>11552</v>
      </c>
      <c r="Y583" t="s">
        <v>11553</v>
      </c>
      <c r="Z583" t="s">
        <v>11554</v>
      </c>
      <c r="AA583" t="s">
        <v>74</v>
      </c>
      <c r="AB583" t="s">
        <v>11555</v>
      </c>
      <c r="AC583" t="s">
        <v>11556</v>
      </c>
      <c r="AD583" t="s">
        <v>11557</v>
      </c>
      <c r="AE583" t="s">
        <v>11558</v>
      </c>
      <c r="AF583" t="s">
        <v>74</v>
      </c>
      <c r="AG583">
        <v>41</v>
      </c>
      <c r="AH583">
        <v>2</v>
      </c>
      <c r="AI583">
        <v>2</v>
      </c>
      <c r="AJ583">
        <v>5</v>
      </c>
      <c r="AK583">
        <v>10</v>
      </c>
      <c r="AL583" t="s">
        <v>182</v>
      </c>
      <c r="AM583" t="s">
        <v>183</v>
      </c>
      <c r="AN583" t="s">
        <v>184</v>
      </c>
      <c r="AO583" t="s">
        <v>6300</v>
      </c>
      <c r="AP583" t="s">
        <v>1899</v>
      </c>
      <c r="AQ583" t="s">
        <v>74</v>
      </c>
      <c r="AR583" t="s">
        <v>1900</v>
      </c>
      <c r="AS583" t="s">
        <v>1901</v>
      </c>
      <c r="AT583" t="s">
        <v>11541</v>
      </c>
      <c r="AU583">
        <v>2019</v>
      </c>
      <c r="AV583">
        <v>124</v>
      </c>
      <c r="AW583">
        <v>12</v>
      </c>
      <c r="AX583" t="s">
        <v>74</v>
      </c>
      <c r="AY583" t="s">
        <v>74</v>
      </c>
      <c r="AZ583" t="s">
        <v>74</v>
      </c>
      <c r="BA583" t="s">
        <v>74</v>
      </c>
      <c r="BB583">
        <v>6294</v>
      </c>
      <c r="BC583">
        <v>6306</v>
      </c>
      <c r="BD583" t="s">
        <v>74</v>
      </c>
      <c r="BE583" t="s">
        <v>11559</v>
      </c>
      <c r="BF583" t="str">
        <f>HYPERLINK("http://dx.doi.org/10.1029/2018JD029556","http://dx.doi.org/10.1029/2018JD029556")</f>
        <v>http://dx.doi.org/10.1029/2018JD029556</v>
      </c>
      <c r="BG583" t="s">
        <v>74</v>
      </c>
      <c r="BH583" t="s">
        <v>74</v>
      </c>
      <c r="BI583">
        <v>13</v>
      </c>
      <c r="BJ583" t="s">
        <v>259</v>
      </c>
      <c r="BK583" t="s">
        <v>101</v>
      </c>
      <c r="BL583" t="s">
        <v>259</v>
      </c>
      <c r="BM583" t="s">
        <v>11543</v>
      </c>
      <c r="BN583" t="s">
        <v>74</v>
      </c>
      <c r="BO583" t="s">
        <v>1308</v>
      </c>
      <c r="BP583" t="s">
        <v>74</v>
      </c>
      <c r="BQ583" t="s">
        <v>74</v>
      </c>
      <c r="BR583" t="s">
        <v>103</v>
      </c>
      <c r="BS583" t="s">
        <v>11560</v>
      </c>
      <c r="BT583" t="str">
        <f>HYPERLINK("https%3A%2F%2Fwww.webofscience.com%2Fwos%2Fwoscc%2Ffull-record%2FWOS:000477800000024","View Full Record in Web of Science")</f>
        <v>View Full Record in Web of Science</v>
      </c>
    </row>
    <row r="584" spans="1:72" x14ac:dyDescent="0.15">
      <c r="A584" t="s">
        <v>72</v>
      </c>
      <c r="B584" t="s">
        <v>11561</v>
      </c>
      <c r="C584" t="s">
        <v>74</v>
      </c>
      <c r="D584" t="s">
        <v>74</v>
      </c>
      <c r="E584" t="s">
        <v>74</v>
      </c>
      <c r="F584" t="s">
        <v>11562</v>
      </c>
      <c r="G584" t="s">
        <v>74</v>
      </c>
      <c r="H584" t="s">
        <v>74</v>
      </c>
      <c r="I584" t="s">
        <v>11563</v>
      </c>
      <c r="J584" t="s">
        <v>2455</v>
      </c>
      <c r="K584" t="s">
        <v>74</v>
      </c>
      <c r="L584" t="s">
        <v>74</v>
      </c>
      <c r="M584" t="s">
        <v>78</v>
      </c>
      <c r="N584" t="s">
        <v>108</v>
      </c>
      <c r="O584" t="s">
        <v>74</v>
      </c>
      <c r="P584" t="s">
        <v>74</v>
      </c>
      <c r="Q584" t="s">
        <v>74</v>
      </c>
      <c r="R584" t="s">
        <v>74</v>
      </c>
      <c r="S584" t="s">
        <v>74</v>
      </c>
      <c r="T584" t="s">
        <v>74</v>
      </c>
      <c r="U584" t="s">
        <v>11564</v>
      </c>
      <c r="V584" t="s">
        <v>11565</v>
      </c>
      <c r="W584" t="s">
        <v>11566</v>
      </c>
      <c r="X584" t="s">
        <v>11567</v>
      </c>
      <c r="Y584" t="s">
        <v>11568</v>
      </c>
      <c r="Z584" t="s">
        <v>11569</v>
      </c>
      <c r="AA584" t="s">
        <v>11570</v>
      </c>
      <c r="AB584" t="s">
        <v>11571</v>
      </c>
      <c r="AC584" t="s">
        <v>11572</v>
      </c>
      <c r="AD584" t="s">
        <v>11573</v>
      </c>
      <c r="AE584" t="s">
        <v>11574</v>
      </c>
      <c r="AF584" t="s">
        <v>74</v>
      </c>
      <c r="AG584">
        <v>119</v>
      </c>
      <c r="AH584">
        <v>18</v>
      </c>
      <c r="AI584">
        <v>19</v>
      </c>
      <c r="AJ584">
        <v>1</v>
      </c>
      <c r="AK584">
        <v>13</v>
      </c>
      <c r="AL584" t="s">
        <v>839</v>
      </c>
      <c r="AM584" t="s">
        <v>840</v>
      </c>
      <c r="AN584" t="s">
        <v>841</v>
      </c>
      <c r="AO584" t="s">
        <v>2467</v>
      </c>
      <c r="AP584" t="s">
        <v>2468</v>
      </c>
      <c r="AQ584" t="s">
        <v>74</v>
      </c>
      <c r="AR584" t="s">
        <v>2469</v>
      </c>
      <c r="AS584" t="s">
        <v>2470</v>
      </c>
      <c r="AT584" t="s">
        <v>11541</v>
      </c>
      <c r="AU584">
        <v>2019</v>
      </c>
      <c r="AV584">
        <v>15</v>
      </c>
      <c r="AW584">
        <v>3</v>
      </c>
      <c r="AX584" t="s">
        <v>74</v>
      </c>
      <c r="AY584" t="s">
        <v>74</v>
      </c>
      <c r="AZ584" t="s">
        <v>74</v>
      </c>
      <c r="BA584" t="s">
        <v>74</v>
      </c>
      <c r="BB584">
        <v>1153</v>
      </c>
      <c r="BC584">
        <v>1170</v>
      </c>
      <c r="BD584" t="s">
        <v>74</v>
      </c>
      <c r="BE584" t="s">
        <v>11575</v>
      </c>
      <c r="BF584" t="str">
        <f>HYPERLINK("http://dx.doi.org/10.5194/cp-15-1153-2019","http://dx.doi.org/10.5194/cp-15-1153-2019")</f>
        <v>http://dx.doi.org/10.5194/cp-15-1153-2019</v>
      </c>
      <c r="BG584" t="s">
        <v>74</v>
      </c>
      <c r="BH584" t="s">
        <v>74</v>
      </c>
      <c r="BI584">
        <v>18</v>
      </c>
      <c r="BJ584" t="s">
        <v>2473</v>
      </c>
      <c r="BK584" t="s">
        <v>101</v>
      </c>
      <c r="BL584" t="s">
        <v>2474</v>
      </c>
      <c r="BM584" t="s">
        <v>11576</v>
      </c>
      <c r="BN584" t="s">
        <v>74</v>
      </c>
      <c r="BO584" t="s">
        <v>2270</v>
      </c>
      <c r="BP584" t="s">
        <v>74</v>
      </c>
      <c r="BQ584" t="s">
        <v>74</v>
      </c>
      <c r="BR584" t="s">
        <v>103</v>
      </c>
      <c r="BS584" t="s">
        <v>11577</v>
      </c>
      <c r="BT584" t="str">
        <f>HYPERLINK("https%3A%2F%2Fwww.webofscience.com%2Fwos%2Fwoscc%2Ffull-record%2FWOS:000473069500001","View Full Record in Web of Science")</f>
        <v>View Full Record in Web of Science</v>
      </c>
    </row>
    <row r="585" spans="1:72" x14ac:dyDescent="0.15">
      <c r="A585" t="s">
        <v>72</v>
      </c>
      <c r="B585" t="s">
        <v>11578</v>
      </c>
      <c r="C585" t="s">
        <v>74</v>
      </c>
      <c r="D585" t="s">
        <v>74</v>
      </c>
      <c r="E585" t="s">
        <v>74</v>
      </c>
      <c r="F585" t="s">
        <v>11579</v>
      </c>
      <c r="G585" t="s">
        <v>74</v>
      </c>
      <c r="H585" t="s">
        <v>74</v>
      </c>
      <c r="I585" t="s">
        <v>11580</v>
      </c>
      <c r="J585" t="s">
        <v>1887</v>
      </c>
      <c r="K585" t="s">
        <v>74</v>
      </c>
      <c r="L585" t="s">
        <v>74</v>
      </c>
      <c r="M585" t="s">
        <v>78</v>
      </c>
      <c r="N585" t="s">
        <v>108</v>
      </c>
      <c r="O585" t="s">
        <v>74</v>
      </c>
      <c r="P585" t="s">
        <v>74</v>
      </c>
      <c r="Q585" t="s">
        <v>74</v>
      </c>
      <c r="R585" t="s">
        <v>74</v>
      </c>
      <c r="S585" t="s">
        <v>74</v>
      </c>
      <c r="T585" t="s">
        <v>74</v>
      </c>
      <c r="U585" t="s">
        <v>11581</v>
      </c>
      <c r="V585" t="s">
        <v>11582</v>
      </c>
      <c r="W585" t="s">
        <v>11583</v>
      </c>
      <c r="X585" t="s">
        <v>11584</v>
      </c>
      <c r="Y585" t="s">
        <v>11585</v>
      </c>
      <c r="Z585" t="s">
        <v>11586</v>
      </c>
      <c r="AA585" t="s">
        <v>11587</v>
      </c>
      <c r="AB585" t="s">
        <v>11588</v>
      </c>
      <c r="AC585" t="s">
        <v>11589</v>
      </c>
      <c r="AD585" t="s">
        <v>11590</v>
      </c>
      <c r="AE585" t="s">
        <v>11591</v>
      </c>
      <c r="AF585" t="s">
        <v>74</v>
      </c>
      <c r="AG585">
        <v>50</v>
      </c>
      <c r="AH585">
        <v>446</v>
      </c>
      <c r="AI585">
        <v>474</v>
      </c>
      <c r="AJ585">
        <v>7</v>
      </c>
      <c r="AK585">
        <v>60</v>
      </c>
      <c r="AL585" t="s">
        <v>182</v>
      </c>
      <c r="AM585" t="s">
        <v>183</v>
      </c>
      <c r="AN585" t="s">
        <v>184</v>
      </c>
      <c r="AO585" t="s">
        <v>6300</v>
      </c>
      <c r="AP585" t="s">
        <v>1899</v>
      </c>
      <c r="AQ585" t="s">
        <v>74</v>
      </c>
      <c r="AR585" t="s">
        <v>1900</v>
      </c>
      <c r="AS585" t="s">
        <v>1901</v>
      </c>
      <c r="AT585" t="s">
        <v>11541</v>
      </c>
      <c r="AU585">
        <v>2019</v>
      </c>
      <c r="AV585">
        <v>124</v>
      </c>
      <c r="AW585">
        <v>12</v>
      </c>
      <c r="AX585" t="s">
        <v>74</v>
      </c>
      <c r="AY585" t="s">
        <v>74</v>
      </c>
      <c r="AZ585" t="s">
        <v>74</v>
      </c>
      <c r="BA585" t="s">
        <v>74</v>
      </c>
      <c r="BB585">
        <v>6307</v>
      </c>
      <c r="BC585">
        <v>6326</v>
      </c>
      <c r="BD585" t="s">
        <v>74</v>
      </c>
      <c r="BE585" t="s">
        <v>11592</v>
      </c>
      <c r="BF585" t="str">
        <f>HYPERLINK("http://dx.doi.org/10.1029/2018JD029522","http://dx.doi.org/10.1029/2018JD029522")</f>
        <v>http://dx.doi.org/10.1029/2018JD029522</v>
      </c>
      <c r="BG585" t="s">
        <v>74</v>
      </c>
      <c r="BH585" t="s">
        <v>74</v>
      </c>
      <c r="BI585">
        <v>20</v>
      </c>
      <c r="BJ585" t="s">
        <v>259</v>
      </c>
      <c r="BK585" t="s">
        <v>101</v>
      </c>
      <c r="BL585" t="s">
        <v>259</v>
      </c>
      <c r="BM585" t="s">
        <v>11543</v>
      </c>
      <c r="BN585" t="s">
        <v>74</v>
      </c>
      <c r="BO585" t="s">
        <v>1465</v>
      </c>
      <c r="BP585" t="s">
        <v>1784</v>
      </c>
      <c r="BQ585" t="s">
        <v>1785</v>
      </c>
      <c r="BR585" t="s">
        <v>103</v>
      </c>
      <c r="BS585" t="s">
        <v>11593</v>
      </c>
      <c r="BT585" t="str">
        <f>HYPERLINK("https%3A%2F%2Fwww.webofscience.com%2Fwos%2Fwoscc%2Ffull-record%2FWOS:000477800000025","View Full Record in Web of Science")</f>
        <v>View Full Record in Web of Science</v>
      </c>
    </row>
    <row r="586" spans="1:72" x14ac:dyDescent="0.15">
      <c r="A586" t="s">
        <v>72</v>
      </c>
      <c r="B586" t="s">
        <v>11594</v>
      </c>
      <c r="C586" t="s">
        <v>74</v>
      </c>
      <c r="D586" t="s">
        <v>74</v>
      </c>
      <c r="E586" t="s">
        <v>74</v>
      </c>
      <c r="F586" t="s">
        <v>11595</v>
      </c>
      <c r="G586" t="s">
        <v>74</v>
      </c>
      <c r="H586" t="s">
        <v>74</v>
      </c>
      <c r="I586" t="s">
        <v>11596</v>
      </c>
      <c r="J586" t="s">
        <v>855</v>
      </c>
      <c r="K586" t="s">
        <v>74</v>
      </c>
      <c r="L586" t="s">
        <v>74</v>
      </c>
      <c r="M586" t="s">
        <v>78</v>
      </c>
      <c r="N586" t="s">
        <v>79</v>
      </c>
      <c r="O586" t="s">
        <v>74</v>
      </c>
      <c r="P586" t="s">
        <v>74</v>
      </c>
      <c r="Q586" t="s">
        <v>74</v>
      </c>
      <c r="R586" t="s">
        <v>74</v>
      </c>
      <c r="S586" t="s">
        <v>74</v>
      </c>
      <c r="T586" t="s">
        <v>11597</v>
      </c>
      <c r="U586" t="s">
        <v>11598</v>
      </c>
      <c r="V586" t="s">
        <v>11599</v>
      </c>
      <c r="W586" t="s">
        <v>11600</v>
      </c>
      <c r="X586" t="s">
        <v>11601</v>
      </c>
      <c r="Y586" t="s">
        <v>11602</v>
      </c>
      <c r="Z586" t="s">
        <v>11603</v>
      </c>
      <c r="AA586" t="s">
        <v>11604</v>
      </c>
      <c r="AB586" t="s">
        <v>11605</v>
      </c>
      <c r="AC586" t="s">
        <v>74</v>
      </c>
      <c r="AD586" t="s">
        <v>74</v>
      </c>
      <c r="AE586" t="s">
        <v>74</v>
      </c>
      <c r="AF586" t="s">
        <v>74</v>
      </c>
      <c r="AG586">
        <v>179</v>
      </c>
      <c r="AH586">
        <v>118</v>
      </c>
      <c r="AI586">
        <v>122</v>
      </c>
      <c r="AJ586">
        <v>13</v>
      </c>
      <c r="AK586">
        <v>77</v>
      </c>
      <c r="AL586" t="s">
        <v>868</v>
      </c>
      <c r="AM586" t="s">
        <v>869</v>
      </c>
      <c r="AN586" t="s">
        <v>870</v>
      </c>
      <c r="AO586" t="s">
        <v>74</v>
      </c>
      <c r="AP586" t="s">
        <v>871</v>
      </c>
      <c r="AQ586" t="s">
        <v>74</v>
      </c>
      <c r="AR586" t="s">
        <v>872</v>
      </c>
      <c r="AS586" t="s">
        <v>873</v>
      </c>
      <c r="AT586" t="s">
        <v>11606</v>
      </c>
      <c r="AU586">
        <v>2019</v>
      </c>
      <c r="AV586">
        <v>6</v>
      </c>
      <c r="AW586" t="s">
        <v>74</v>
      </c>
      <c r="AX586" t="s">
        <v>74</v>
      </c>
      <c r="AY586" t="s">
        <v>74</v>
      </c>
      <c r="AZ586" t="s">
        <v>74</v>
      </c>
      <c r="BA586" t="s">
        <v>74</v>
      </c>
      <c r="BB586" t="s">
        <v>74</v>
      </c>
      <c r="BC586" t="s">
        <v>74</v>
      </c>
      <c r="BD586">
        <v>326</v>
      </c>
      <c r="BE586" t="s">
        <v>11607</v>
      </c>
      <c r="BF586" t="str">
        <f>HYPERLINK("http://dx.doi.org/10.3389/fmars.2019.00326","http://dx.doi.org/10.3389/fmars.2019.00326")</f>
        <v>http://dx.doi.org/10.3389/fmars.2019.00326</v>
      </c>
      <c r="BG586" t="s">
        <v>74</v>
      </c>
      <c r="BH586" t="s">
        <v>74</v>
      </c>
      <c r="BI586">
        <v>21</v>
      </c>
      <c r="BJ586" t="s">
        <v>876</v>
      </c>
      <c r="BK586" t="s">
        <v>101</v>
      </c>
      <c r="BL586" t="s">
        <v>877</v>
      </c>
      <c r="BM586" t="s">
        <v>11608</v>
      </c>
      <c r="BN586" t="s">
        <v>74</v>
      </c>
      <c r="BO586" t="s">
        <v>2313</v>
      </c>
      <c r="BP586" t="s">
        <v>1784</v>
      </c>
      <c r="BQ586" t="s">
        <v>1785</v>
      </c>
      <c r="BR586" t="s">
        <v>103</v>
      </c>
      <c r="BS586" t="s">
        <v>11609</v>
      </c>
      <c r="BT586" t="str">
        <f>HYPERLINK("https%3A%2F%2Fwww.webofscience.com%2Fwos%2Fwoscc%2Ffull-record%2FWOS:000473481000001","View Full Record in Web of Science")</f>
        <v>View Full Record in Web of Science</v>
      </c>
    </row>
    <row r="587" spans="1:72" x14ac:dyDescent="0.15">
      <c r="A587" t="s">
        <v>72</v>
      </c>
      <c r="B587" t="s">
        <v>11610</v>
      </c>
      <c r="C587" t="s">
        <v>74</v>
      </c>
      <c r="D587" t="s">
        <v>74</v>
      </c>
      <c r="E587" t="s">
        <v>74</v>
      </c>
      <c r="F587" t="s">
        <v>11611</v>
      </c>
      <c r="G587" t="s">
        <v>74</v>
      </c>
      <c r="H587" t="s">
        <v>74</v>
      </c>
      <c r="I587" t="s">
        <v>11612</v>
      </c>
      <c r="J587" t="s">
        <v>989</v>
      </c>
      <c r="K587" t="s">
        <v>74</v>
      </c>
      <c r="L587" t="s">
        <v>74</v>
      </c>
      <c r="M587" t="s">
        <v>78</v>
      </c>
      <c r="N587" t="s">
        <v>108</v>
      </c>
      <c r="O587" t="s">
        <v>74</v>
      </c>
      <c r="P587" t="s">
        <v>74</v>
      </c>
      <c r="Q587" t="s">
        <v>74</v>
      </c>
      <c r="R587" t="s">
        <v>74</v>
      </c>
      <c r="S587" t="s">
        <v>74</v>
      </c>
      <c r="T587" t="s">
        <v>74</v>
      </c>
      <c r="U587" t="s">
        <v>11613</v>
      </c>
      <c r="V587" t="s">
        <v>11614</v>
      </c>
      <c r="W587" t="s">
        <v>11615</v>
      </c>
      <c r="X587" t="s">
        <v>11616</v>
      </c>
      <c r="Y587" t="s">
        <v>11617</v>
      </c>
      <c r="Z587" t="s">
        <v>11618</v>
      </c>
      <c r="AA587" t="s">
        <v>74</v>
      </c>
      <c r="AB587" t="s">
        <v>11619</v>
      </c>
      <c r="AC587" t="s">
        <v>74</v>
      </c>
      <c r="AD587" t="s">
        <v>74</v>
      </c>
      <c r="AE587" t="s">
        <v>74</v>
      </c>
      <c r="AF587" t="s">
        <v>74</v>
      </c>
      <c r="AG587">
        <v>48</v>
      </c>
      <c r="AH587">
        <v>16</v>
      </c>
      <c r="AI587">
        <v>17</v>
      </c>
      <c r="AJ587">
        <v>0</v>
      </c>
      <c r="AK587">
        <v>3</v>
      </c>
      <c r="AL587" t="s">
        <v>1019</v>
      </c>
      <c r="AM587" t="s">
        <v>1020</v>
      </c>
      <c r="AN587" t="s">
        <v>1021</v>
      </c>
      <c r="AO587" t="s">
        <v>1000</v>
      </c>
      <c r="AP587" t="s">
        <v>74</v>
      </c>
      <c r="AQ587" t="s">
        <v>74</v>
      </c>
      <c r="AR587" t="s">
        <v>1001</v>
      </c>
      <c r="AS587" t="s">
        <v>1002</v>
      </c>
      <c r="AT587" t="s">
        <v>11606</v>
      </c>
      <c r="AU587">
        <v>2019</v>
      </c>
      <c r="AV587">
        <v>9</v>
      </c>
      <c r="AW587" t="s">
        <v>74</v>
      </c>
      <c r="AX587" t="s">
        <v>74</v>
      </c>
      <c r="AY587" t="s">
        <v>74</v>
      </c>
      <c r="AZ587" t="s">
        <v>74</v>
      </c>
      <c r="BA587" t="s">
        <v>74</v>
      </c>
      <c r="BB587" t="s">
        <v>74</v>
      </c>
      <c r="BC587" t="s">
        <v>74</v>
      </c>
      <c r="BD587">
        <v>9296</v>
      </c>
      <c r="BE587" t="s">
        <v>11620</v>
      </c>
      <c r="BF587" t="str">
        <f>HYPERLINK("http://dx.doi.org/10.1038/s41598-019-45815-7","http://dx.doi.org/10.1038/s41598-019-45815-7")</f>
        <v>http://dx.doi.org/10.1038/s41598-019-45815-7</v>
      </c>
      <c r="BG587" t="s">
        <v>74</v>
      </c>
      <c r="BH587" t="s">
        <v>74</v>
      </c>
      <c r="BI587">
        <v>9</v>
      </c>
      <c r="BJ587" t="s">
        <v>1004</v>
      </c>
      <c r="BK587" t="s">
        <v>101</v>
      </c>
      <c r="BL587" t="s">
        <v>1005</v>
      </c>
      <c r="BM587" t="s">
        <v>11621</v>
      </c>
      <c r="BN587">
        <v>31243328</v>
      </c>
      <c r="BO587" t="s">
        <v>313</v>
      </c>
      <c r="BP587" t="s">
        <v>74</v>
      </c>
      <c r="BQ587" t="s">
        <v>74</v>
      </c>
      <c r="BR587" t="s">
        <v>103</v>
      </c>
      <c r="BS587" t="s">
        <v>11622</v>
      </c>
      <c r="BT587" t="str">
        <f>HYPERLINK("https%3A%2F%2Fwww.webofscience.com%2Fwos%2Fwoscc%2Ffull-record%2FWOS:000472837000020","View Full Record in Web of Science")</f>
        <v>View Full Record in Web of Science</v>
      </c>
    </row>
    <row r="588" spans="1:72" x14ac:dyDescent="0.15">
      <c r="A588" t="s">
        <v>72</v>
      </c>
      <c r="B588" t="s">
        <v>11623</v>
      </c>
      <c r="C588" t="s">
        <v>74</v>
      </c>
      <c r="D588" t="s">
        <v>74</v>
      </c>
      <c r="E588" t="s">
        <v>74</v>
      </c>
      <c r="F588" t="s">
        <v>11624</v>
      </c>
      <c r="G588" t="s">
        <v>74</v>
      </c>
      <c r="H588" t="s">
        <v>74</v>
      </c>
      <c r="I588" t="s">
        <v>11625</v>
      </c>
      <c r="J588" t="s">
        <v>2455</v>
      </c>
      <c r="K588" t="s">
        <v>74</v>
      </c>
      <c r="L588" t="s">
        <v>74</v>
      </c>
      <c r="M588" t="s">
        <v>78</v>
      </c>
      <c r="N588" t="s">
        <v>108</v>
      </c>
      <c r="O588" t="s">
        <v>74</v>
      </c>
      <c r="P588" t="s">
        <v>74</v>
      </c>
      <c r="Q588" t="s">
        <v>74</v>
      </c>
      <c r="R588" t="s">
        <v>74</v>
      </c>
      <c r="S588" t="s">
        <v>74</v>
      </c>
      <c r="T588" t="s">
        <v>74</v>
      </c>
      <c r="U588" t="s">
        <v>11626</v>
      </c>
      <c r="V588" t="s">
        <v>11627</v>
      </c>
      <c r="W588" t="s">
        <v>11628</v>
      </c>
      <c r="X588" t="s">
        <v>11629</v>
      </c>
      <c r="Y588" t="s">
        <v>11630</v>
      </c>
      <c r="Z588" t="s">
        <v>11631</v>
      </c>
      <c r="AA588" t="s">
        <v>11632</v>
      </c>
      <c r="AB588" t="s">
        <v>11633</v>
      </c>
      <c r="AC588" t="s">
        <v>11634</v>
      </c>
      <c r="AD588" t="s">
        <v>11635</v>
      </c>
      <c r="AE588" t="s">
        <v>11636</v>
      </c>
      <c r="AF588" t="s">
        <v>74</v>
      </c>
      <c r="AG588">
        <v>81</v>
      </c>
      <c r="AH588">
        <v>18</v>
      </c>
      <c r="AI588">
        <v>19</v>
      </c>
      <c r="AJ588">
        <v>0</v>
      </c>
      <c r="AK588">
        <v>8</v>
      </c>
      <c r="AL588" t="s">
        <v>839</v>
      </c>
      <c r="AM588" t="s">
        <v>840</v>
      </c>
      <c r="AN588" t="s">
        <v>841</v>
      </c>
      <c r="AO588" t="s">
        <v>2467</v>
      </c>
      <c r="AP588" t="s">
        <v>2468</v>
      </c>
      <c r="AQ588" t="s">
        <v>74</v>
      </c>
      <c r="AR588" t="s">
        <v>2469</v>
      </c>
      <c r="AS588" t="s">
        <v>2470</v>
      </c>
      <c r="AT588" t="s">
        <v>11606</v>
      </c>
      <c r="AU588">
        <v>2019</v>
      </c>
      <c r="AV588">
        <v>15</v>
      </c>
      <c r="AW588">
        <v>3</v>
      </c>
      <c r="AX588" t="s">
        <v>74</v>
      </c>
      <c r="AY588" t="s">
        <v>74</v>
      </c>
      <c r="AZ588" t="s">
        <v>74</v>
      </c>
      <c r="BA588" t="s">
        <v>74</v>
      </c>
      <c r="BB588">
        <v>1133</v>
      </c>
      <c r="BC588">
        <v>1151</v>
      </c>
      <c r="BD588" t="s">
        <v>74</v>
      </c>
      <c r="BE588" t="s">
        <v>11637</v>
      </c>
      <c r="BF588" t="str">
        <f>HYPERLINK("http://dx.doi.org/10.5194/cp-15-1133-2019","http://dx.doi.org/10.5194/cp-15-1133-2019")</f>
        <v>http://dx.doi.org/10.5194/cp-15-1133-2019</v>
      </c>
      <c r="BG588" t="s">
        <v>74</v>
      </c>
      <c r="BH588" t="s">
        <v>74</v>
      </c>
      <c r="BI588">
        <v>19</v>
      </c>
      <c r="BJ588" t="s">
        <v>2473</v>
      </c>
      <c r="BK588" t="s">
        <v>101</v>
      </c>
      <c r="BL588" t="s">
        <v>2474</v>
      </c>
      <c r="BM588" t="s">
        <v>11638</v>
      </c>
      <c r="BN588" t="s">
        <v>74</v>
      </c>
      <c r="BO588" t="s">
        <v>11639</v>
      </c>
      <c r="BP588" t="s">
        <v>74</v>
      </c>
      <c r="BQ588" t="s">
        <v>74</v>
      </c>
      <c r="BR588" t="s">
        <v>103</v>
      </c>
      <c r="BS588" t="s">
        <v>11640</v>
      </c>
      <c r="BT588" t="str">
        <f>HYPERLINK("https%3A%2F%2Fwww.webofscience.com%2Fwos%2Fwoscc%2Ffull-record%2FWOS:000472933300001","View Full Record in Web of Science")</f>
        <v>View Full Record in Web of Science</v>
      </c>
    </row>
    <row r="589" spans="1:72" x14ac:dyDescent="0.15">
      <c r="A589" t="s">
        <v>72</v>
      </c>
      <c r="B589" t="s">
        <v>11641</v>
      </c>
      <c r="C589" t="s">
        <v>74</v>
      </c>
      <c r="D589" t="s">
        <v>74</v>
      </c>
      <c r="E589" t="s">
        <v>74</v>
      </c>
      <c r="F589" t="s">
        <v>11642</v>
      </c>
      <c r="G589" t="s">
        <v>74</v>
      </c>
      <c r="H589" t="s">
        <v>74</v>
      </c>
      <c r="I589" t="s">
        <v>11643</v>
      </c>
      <c r="J589" t="s">
        <v>11644</v>
      </c>
      <c r="K589" t="s">
        <v>74</v>
      </c>
      <c r="L589" t="s">
        <v>74</v>
      </c>
      <c r="M589" t="s">
        <v>78</v>
      </c>
      <c r="N589" t="s">
        <v>108</v>
      </c>
      <c r="O589" t="s">
        <v>74</v>
      </c>
      <c r="P589" t="s">
        <v>74</v>
      </c>
      <c r="Q589" t="s">
        <v>74</v>
      </c>
      <c r="R589" t="s">
        <v>74</v>
      </c>
      <c r="S589" t="s">
        <v>74</v>
      </c>
      <c r="T589" t="s">
        <v>11645</v>
      </c>
      <c r="U589" t="s">
        <v>74</v>
      </c>
      <c r="V589" t="s">
        <v>11646</v>
      </c>
      <c r="W589" t="s">
        <v>11647</v>
      </c>
      <c r="X589" t="s">
        <v>11648</v>
      </c>
      <c r="Y589" t="s">
        <v>11649</v>
      </c>
      <c r="Z589" t="s">
        <v>11650</v>
      </c>
      <c r="AA589" t="s">
        <v>11651</v>
      </c>
      <c r="AB589" t="s">
        <v>11652</v>
      </c>
      <c r="AC589" t="s">
        <v>11653</v>
      </c>
      <c r="AD589" t="s">
        <v>11654</v>
      </c>
      <c r="AE589" t="s">
        <v>11655</v>
      </c>
      <c r="AF589" t="s">
        <v>74</v>
      </c>
      <c r="AG589">
        <v>39</v>
      </c>
      <c r="AH589">
        <v>4</v>
      </c>
      <c r="AI589">
        <v>4</v>
      </c>
      <c r="AJ589">
        <v>4</v>
      </c>
      <c r="AK589">
        <v>36</v>
      </c>
      <c r="AL589" t="s">
        <v>1481</v>
      </c>
      <c r="AM589" t="s">
        <v>1275</v>
      </c>
      <c r="AN589" t="s">
        <v>1482</v>
      </c>
      <c r="AO589" t="s">
        <v>11656</v>
      </c>
      <c r="AP589" t="s">
        <v>11657</v>
      </c>
      <c r="AQ589" t="s">
        <v>74</v>
      </c>
      <c r="AR589" t="s">
        <v>11658</v>
      </c>
      <c r="AS589" t="s">
        <v>11659</v>
      </c>
      <c r="AT589" t="s">
        <v>6117</v>
      </c>
      <c r="AU589">
        <v>2019</v>
      </c>
      <c r="AV589">
        <v>44</v>
      </c>
      <c r="AW589" t="s">
        <v>5011</v>
      </c>
      <c r="AX589" t="s">
        <v>74</v>
      </c>
      <c r="AY589" t="s">
        <v>74</v>
      </c>
      <c r="AZ589" t="s">
        <v>730</v>
      </c>
      <c r="BA589" t="s">
        <v>74</v>
      </c>
      <c r="BB589">
        <v>387</v>
      </c>
      <c r="BC589">
        <v>401</v>
      </c>
      <c r="BD589" t="s">
        <v>74</v>
      </c>
      <c r="BE589" t="s">
        <v>11660</v>
      </c>
      <c r="BF589" t="str">
        <f>HYPERLINK("http://dx.doi.org/10.1080/03080188.2019.1627639","http://dx.doi.org/10.1080/03080188.2019.1627639")</f>
        <v>http://dx.doi.org/10.1080/03080188.2019.1627639</v>
      </c>
      <c r="BG589" t="s">
        <v>74</v>
      </c>
      <c r="BH589" t="s">
        <v>11304</v>
      </c>
      <c r="BI589">
        <v>15</v>
      </c>
      <c r="BJ589" t="s">
        <v>11661</v>
      </c>
      <c r="BK589" t="s">
        <v>3718</v>
      </c>
      <c r="BL589" t="s">
        <v>11662</v>
      </c>
      <c r="BM589" t="s">
        <v>11663</v>
      </c>
      <c r="BN589" t="s">
        <v>74</v>
      </c>
      <c r="BO589" t="s">
        <v>74</v>
      </c>
      <c r="BP589" t="s">
        <v>74</v>
      </c>
      <c r="BQ589" t="s">
        <v>74</v>
      </c>
      <c r="BR589" t="s">
        <v>103</v>
      </c>
      <c r="BS589" t="s">
        <v>11664</v>
      </c>
      <c r="BT589" t="str">
        <f>HYPERLINK("https%3A%2F%2Fwww.webofscience.com%2Fwos%2Fwoscc%2Ffull-record%2FWOS:000475246500001","View Full Record in Web of Science")</f>
        <v>View Full Record in Web of Science</v>
      </c>
    </row>
    <row r="590" spans="1:72" x14ac:dyDescent="0.15">
      <c r="A590" t="s">
        <v>72</v>
      </c>
      <c r="B590" t="s">
        <v>11665</v>
      </c>
      <c r="C590" t="s">
        <v>74</v>
      </c>
      <c r="D590" t="s">
        <v>74</v>
      </c>
      <c r="E590" t="s">
        <v>74</v>
      </c>
      <c r="F590" t="s">
        <v>11666</v>
      </c>
      <c r="G590" t="s">
        <v>74</v>
      </c>
      <c r="H590" t="s">
        <v>74</v>
      </c>
      <c r="I590" t="s">
        <v>11667</v>
      </c>
      <c r="J590" t="s">
        <v>989</v>
      </c>
      <c r="K590" t="s">
        <v>74</v>
      </c>
      <c r="L590" t="s">
        <v>74</v>
      </c>
      <c r="M590" t="s">
        <v>78</v>
      </c>
      <c r="N590" t="s">
        <v>108</v>
      </c>
      <c r="O590" t="s">
        <v>74</v>
      </c>
      <c r="P590" t="s">
        <v>74</v>
      </c>
      <c r="Q590" t="s">
        <v>74</v>
      </c>
      <c r="R590" t="s">
        <v>74</v>
      </c>
      <c r="S590" t="s">
        <v>74</v>
      </c>
      <c r="T590" t="s">
        <v>74</v>
      </c>
      <c r="U590" t="s">
        <v>11668</v>
      </c>
      <c r="V590" t="s">
        <v>11669</v>
      </c>
      <c r="W590" t="s">
        <v>11670</v>
      </c>
      <c r="X590" t="s">
        <v>11671</v>
      </c>
      <c r="Y590" t="s">
        <v>11672</v>
      </c>
      <c r="Z590" t="s">
        <v>11673</v>
      </c>
      <c r="AA590" t="s">
        <v>11674</v>
      </c>
      <c r="AB590" t="s">
        <v>11675</v>
      </c>
      <c r="AC590" t="s">
        <v>11676</v>
      </c>
      <c r="AD590" t="s">
        <v>11677</v>
      </c>
      <c r="AE590" t="s">
        <v>11678</v>
      </c>
      <c r="AF590" t="s">
        <v>74</v>
      </c>
      <c r="AG590">
        <v>38</v>
      </c>
      <c r="AH590">
        <v>36</v>
      </c>
      <c r="AI590">
        <v>36</v>
      </c>
      <c r="AJ590">
        <v>0</v>
      </c>
      <c r="AK590">
        <v>8</v>
      </c>
      <c r="AL590" t="s">
        <v>7841</v>
      </c>
      <c r="AM590" t="s">
        <v>1020</v>
      </c>
      <c r="AN590" t="s">
        <v>1021</v>
      </c>
      <c r="AO590" t="s">
        <v>1000</v>
      </c>
      <c r="AP590" t="s">
        <v>74</v>
      </c>
      <c r="AQ590" t="s">
        <v>74</v>
      </c>
      <c r="AR590" t="s">
        <v>1001</v>
      </c>
      <c r="AS590" t="s">
        <v>1002</v>
      </c>
      <c r="AT590" t="s">
        <v>11679</v>
      </c>
      <c r="AU590">
        <v>2019</v>
      </c>
      <c r="AV590">
        <v>9</v>
      </c>
      <c r="AW590" t="s">
        <v>74</v>
      </c>
      <c r="AX590" t="s">
        <v>74</v>
      </c>
      <c r="AY590" t="s">
        <v>74</v>
      </c>
      <c r="AZ590" t="s">
        <v>74</v>
      </c>
      <c r="BA590" t="s">
        <v>74</v>
      </c>
      <c r="BB590" t="s">
        <v>74</v>
      </c>
      <c r="BC590" t="s">
        <v>74</v>
      </c>
      <c r="BD590">
        <v>9232</v>
      </c>
      <c r="BE590" t="s">
        <v>11680</v>
      </c>
      <c r="BF590" t="str">
        <f>HYPERLINK("http://dx.doi.org/10.1038/s41598-019-44829-5","http://dx.doi.org/10.1038/s41598-019-44829-5")</f>
        <v>http://dx.doi.org/10.1038/s41598-019-44829-5</v>
      </c>
      <c r="BG590" t="s">
        <v>74</v>
      </c>
      <c r="BH590" t="s">
        <v>74</v>
      </c>
      <c r="BI590">
        <v>14</v>
      </c>
      <c r="BJ590" t="s">
        <v>1004</v>
      </c>
      <c r="BK590" t="s">
        <v>101</v>
      </c>
      <c r="BL590" t="s">
        <v>1005</v>
      </c>
      <c r="BM590" t="s">
        <v>11681</v>
      </c>
      <c r="BN590">
        <v>31239449</v>
      </c>
      <c r="BO590" t="s">
        <v>313</v>
      </c>
      <c r="BP590" t="s">
        <v>74</v>
      </c>
      <c r="BQ590" t="s">
        <v>74</v>
      </c>
      <c r="BR590" t="s">
        <v>103</v>
      </c>
      <c r="BS590" t="s">
        <v>11682</v>
      </c>
      <c r="BT590" t="str">
        <f>HYPERLINK("https%3A%2F%2Fwww.webofscience.com%2Fwos%2Fwoscc%2Ffull-record%2FWOS:000472709300026","View Full Record in Web of Science")</f>
        <v>View Full Record in Web of Science</v>
      </c>
    </row>
    <row r="591" spans="1:72" x14ac:dyDescent="0.15">
      <c r="A591" t="s">
        <v>72</v>
      </c>
      <c r="B591" t="s">
        <v>11683</v>
      </c>
      <c r="C591" t="s">
        <v>74</v>
      </c>
      <c r="D591" t="s">
        <v>74</v>
      </c>
      <c r="E591" t="s">
        <v>74</v>
      </c>
      <c r="F591" t="s">
        <v>11684</v>
      </c>
      <c r="G591" t="s">
        <v>74</v>
      </c>
      <c r="H591" t="s">
        <v>74</v>
      </c>
      <c r="I591" t="s">
        <v>11685</v>
      </c>
      <c r="J591" t="s">
        <v>1373</v>
      </c>
      <c r="K591" t="s">
        <v>74</v>
      </c>
      <c r="L591" t="s">
        <v>74</v>
      </c>
      <c r="M591" t="s">
        <v>78</v>
      </c>
      <c r="N591" t="s">
        <v>108</v>
      </c>
      <c r="O591" t="s">
        <v>74</v>
      </c>
      <c r="P591" t="s">
        <v>74</v>
      </c>
      <c r="Q591" t="s">
        <v>74</v>
      </c>
      <c r="R591" t="s">
        <v>74</v>
      </c>
      <c r="S591" t="s">
        <v>74</v>
      </c>
      <c r="T591" t="s">
        <v>74</v>
      </c>
      <c r="U591" t="s">
        <v>11686</v>
      </c>
      <c r="V591" t="s">
        <v>11687</v>
      </c>
      <c r="W591" t="s">
        <v>11688</v>
      </c>
      <c r="X591" t="s">
        <v>11689</v>
      </c>
      <c r="Y591" t="s">
        <v>11690</v>
      </c>
      <c r="Z591" t="s">
        <v>11691</v>
      </c>
      <c r="AA591" t="s">
        <v>11692</v>
      </c>
      <c r="AB591" t="s">
        <v>11693</v>
      </c>
      <c r="AC591" t="s">
        <v>11694</v>
      </c>
      <c r="AD591" t="s">
        <v>11695</v>
      </c>
      <c r="AE591" t="s">
        <v>11696</v>
      </c>
      <c r="AF591" t="s">
        <v>74</v>
      </c>
      <c r="AG591">
        <v>52</v>
      </c>
      <c r="AH591">
        <v>23</v>
      </c>
      <c r="AI591">
        <v>24</v>
      </c>
      <c r="AJ591">
        <v>3</v>
      </c>
      <c r="AK591">
        <v>21</v>
      </c>
      <c r="AL591" t="s">
        <v>998</v>
      </c>
      <c r="AM591" t="s">
        <v>657</v>
      </c>
      <c r="AN591" t="s">
        <v>999</v>
      </c>
      <c r="AO591" t="s">
        <v>1385</v>
      </c>
      <c r="AP591" t="s">
        <v>74</v>
      </c>
      <c r="AQ591" t="s">
        <v>74</v>
      </c>
      <c r="AR591" t="s">
        <v>1386</v>
      </c>
      <c r="AS591" t="s">
        <v>1387</v>
      </c>
      <c r="AT591" t="s">
        <v>11679</v>
      </c>
      <c r="AU591">
        <v>2019</v>
      </c>
      <c r="AV591">
        <v>10</v>
      </c>
      <c r="AW591" t="s">
        <v>74</v>
      </c>
      <c r="AX591" t="s">
        <v>74</v>
      </c>
      <c r="AY591" t="s">
        <v>74</v>
      </c>
      <c r="AZ591" t="s">
        <v>74</v>
      </c>
      <c r="BA591" t="s">
        <v>74</v>
      </c>
      <c r="BB591" t="s">
        <v>74</v>
      </c>
      <c r="BC591" t="s">
        <v>74</v>
      </c>
      <c r="BD591">
        <v>2777</v>
      </c>
      <c r="BE591" t="s">
        <v>11697</v>
      </c>
      <c r="BF591" t="str">
        <f>HYPERLINK("http://dx.doi.org/10.1038/s41467-019-10866-x","http://dx.doi.org/10.1038/s41467-019-10866-x")</f>
        <v>http://dx.doi.org/10.1038/s41467-019-10866-x</v>
      </c>
      <c r="BG591" t="s">
        <v>74</v>
      </c>
      <c r="BH591" t="s">
        <v>74</v>
      </c>
      <c r="BI591">
        <v>7</v>
      </c>
      <c r="BJ591" t="s">
        <v>1004</v>
      </c>
      <c r="BK591" t="s">
        <v>101</v>
      </c>
      <c r="BL591" t="s">
        <v>1005</v>
      </c>
      <c r="BM591" t="s">
        <v>11698</v>
      </c>
      <c r="BN591">
        <v>31239434</v>
      </c>
      <c r="BO591" t="s">
        <v>331</v>
      </c>
      <c r="BP591" t="s">
        <v>74</v>
      </c>
      <c r="BQ591" t="s">
        <v>74</v>
      </c>
      <c r="BR591" t="s">
        <v>103</v>
      </c>
      <c r="BS591" t="s">
        <v>11699</v>
      </c>
      <c r="BT591" t="str">
        <f>HYPERLINK("https%3A%2F%2Fwww.webofscience.com%2Fwos%2Fwoscc%2Ffull-record%2FWOS:000472710800001","View Full Record in Web of Science")</f>
        <v>View Full Record in Web of Science</v>
      </c>
    </row>
    <row r="592" spans="1:72" x14ac:dyDescent="0.15">
      <c r="A592" t="s">
        <v>72</v>
      </c>
      <c r="B592" t="s">
        <v>11700</v>
      </c>
      <c r="C592" t="s">
        <v>74</v>
      </c>
      <c r="D592" t="s">
        <v>74</v>
      </c>
      <c r="E592" t="s">
        <v>74</v>
      </c>
      <c r="F592" t="s">
        <v>11701</v>
      </c>
      <c r="G592" t="s">
        <v>74</v>
      </c>
      <c r="H592" t="s">
        <v>74</v>
      </c>
      <c r="I592" t="s">
        <v>11702</v>
      </c>
      <c r="J592" t="s">
        <v>989</v>
      </c>
      <c r="K592" t="s">
        <v>74</v>
      </c>
      <c r="L592" t="s">
        <v>74</v>
      </c>
      <c r="M592" t="s">
        <v>78</v>
      </c>
      <c r="N592" t="s">
        <v>108</v>
      </c>
      <c r="O592" t="s">
        <v>74</v>
      </c>
      <c r="P592" t="s">
        <v>74</v>
      </c>
      <c r="Q592" t="s">
        <v>74</v>
      </c>
      <c r="R592" t="s">
        <v>74</v>
      </c>
      <c r="S592" t="s">
        <v>74</v>
      </c>
      <c r="T592" t="s">
        <v>74</v>
      </c>
      <c r="U592" t="s">
        <v>11703</v>
      </c>
      <c r="V592" t="s">
        <v>11704</v>
      </c>
      <c r="W592" t="s">
        <v>11705</v>
      </c>
      <c r="X592" t="s">
        <v>11706</v>
      </c>
      <c r="Y592" t="s">
        <v>11707</v>
      </c>
      <c r="Z592" t="s">
        <v>11708</v>
      </c>
      <c r="AA592" t="s">
        <v>74</v>
      </c>
      <c r="AB592" t="s">
        <v>11709</v>
      </c>
      <c r="AC592" t="s">
        <v>11710</v>
      </c>
      <c r="AD592" t="s">
        <v>11711</v>
      </c>
      <c r="AE592" t="s">
        <v>11712</v>
      </c>
      <c r="AF592" t="s">
        <v>74</v>
      </c>
      <c r="AG592">
        <v>70</v>
      </c>
      <c r="AH592">
        <v>12</v>
      </c>
      <c r="AI592">
        <v>13</v>
      </c>
      <c r="AJ592">
        <v>0</v>
      </c>
      <c r="AK592">
        <v>4</v>
      </c>
      <c r="AL592" t="s">
        <v>1019</v>
      </c>
      <c r="AM592" t="s">
        <v>1020</v>
      </c>
      <c r="AN592" t="s">
        <v>1021</v>
      </c>
      <c r="AO592" t="s">
        <v>1000</v>
      </c>
      <c r="AP592" t="s">
        <v>74</v>
      </c>
      <c r="AQ592" t="s">
        <v>74</v>
      </c>
      <c r="AR592" t="s">
        <v>1001</v>
      </c>
      <c r="AS592" t="s">
        <v>1002</v>
      </c>
      <c r="AT592" t="s">
        <v>11679</v>
      </c>
      <c r="AU592">
        <v>2019</v>
      </c>
      <c r="AV592">
        <v>9</v>
      </c>
      <c r="AW592" t="s">
        <v>74</v>
      </c>
      <c r="AX592" t="s">
        <v>74</v>
      </c>
      <c r="AY592" t="s">
        <v>74</v>
      </c>
      <c r="AZ592" t="s">
        <v>74</v>
      </c>
      <c r="BA592" t="s">
        <v>74</v>
      </c>
      <c r="BB592" t="s">
        <v>74</v>
      </c>
      <c r="BC592" t="s">
        <v>74</v>
      </c>
      <c r="BD592">
        <v>9260</v>
      </c>
      <c r="BE592" t="s">
        <v>11713</v>
      </c>
      <c r="BF592" t="str">
        <f>HYPERLINK("http://dx.doi.org/10.1038/s41598-019-45807-7","http://dx.doi.org/10.1038/s41598-019-45807-7")</f>
        <v>http://dx.doi.org/10.1038/s41598-019-45807-7</v>
      </c>
      <c r="BG592" t="s">
        <v>74</v>
      </c>
      <c r="BH592" t="s">
        <v>74</v>
      </c>
      <c r="BI592">
        <v>12</v>
      </c>
      <c r="BJ592" t="s">
        <v>1004</v>
      </c>
      <c r="BK592" t="s">
        <v>101</v>
      </c>
      <c r="BL592" t="s">
        <v>1005</v>
      </c>
      <c r="BM592" t="s">
        <v>11714</v>
      </c>
      <c r="BN592">
        <v>31239511</v>
      </c>
      <c r="BO592" t="s">
        <v>313</v>
      </c>
      <c r="BP592" t="s">
        <v>74</v>
      </c>
      <c r="BQ592" t="s">
        <v>74</v>
      </c>
      <c r="BR592" t="s">
        <v>103</v>
      </c>
      <c r="BS592" t="s">
        <v>11715</v>
      </c>
      <c r="BT592" t="str">
        <f>HYPERLINK("https%3A%2F%2Fwww.webofscience.com%2Fwos%2Fwoscc%2Ffull-record%2FWOS:000472709600023","View Full Record in Web of Science")</f>
        <v>View Full Record in Web of Science</v>
      </c>
    </row>
    <row r="593" spans="1:72" x14ac:dyDescent="0.15">
      <c r="A593" t="s">
        <v>72</v>
      </c>
      <c r="B593" t="s">
        <v>11716</v>
      </c>
      <c r="C593" t="s">
        <v>74</v>
      </c>
      <c r="D593" t="s">
        <v>74</v>
      </c>
      <c r="E593" t="s">
        <v>74</v>
      </c>
      <c r="F593" t="s">
        <v>11717</v>
      </c>
      <c r="G593" t="s">
        <v>74</v>
      </c>
      <c r="H593" t="s">
        <v>74</v>
      </c>
      <c r="I593" t="s">
        <v>11718</v>
      </c>
      <c r="J593" t="s">
        <v>6605</v>
      </c>
      <c r="K593" t="s">
        <v>74</v>
      </c>
      <c r="L593" t="s">
        <v>74</v>
      </c>
      <c r="M593" t="s">
        <v>78</v>
      </c>
      <c r="N593" t="s">
        <v>108</v>
      </c>
      <c r="O593" t="s">
        <v>74</v>
      </c>
      <c r="P593" t="s">
        <v>74</v>
      </c>
      <c r="Q593" t="s">
        <v>74</v>
      </c>
      <c r="R593" t="s">
        <v>74</v>
      </c>
      <c r="S593" t="s">
        <v>74</v>
      </c>
      <c r="T593" t="s">
        <v>11719</v>
      </c>
      <c r="U593" t="s">
        <v>11720</v>
      </c>
      <c r="V593" t="s">
        <v>11721</v>
      </c>
      <c r="W593" t="s">
        <v>11722</v>
      </c>
      <c r="X593" t="s">
        <v>11723</v>
      </c>
      <c r="Y593" t="s">
        <v>11724</v>
      </c>
      <c r="Z593" t="s">
        <v>11725</v>
      </c>
      <c r="AA593" t="s">
        <v>11726</v>
      </c>
      <c r="AB593" t="s">
        <v>11727</v>
      </c>
      <c r="AC593" t="s">
        <v>11728</v>
      </c>
      <c r="AD593" t="s">
        <v>11729</v>
      </c>
      <c r="AE593" t="s">
        <v>11730</v>
      </c>
      <c r="AF593" t="s">
        <v>74</v>
      </c>
      <c r="AG593">
        <v>44</v>
      </c>
      <c r="AH593">
        <v>309</v>
      </c>
      <c r="AI593">
        <v>323</v>
      </c>
      <c r="AJ593">
        <v>11</v>
      </c>
      <c r="AK593">
        <v>147</v>
      </c>
      <c r="AL593" t="s">
        <v>6618</v>
      </c>
      <c r="AM593" t="s">
        <v>183</v>
      </c>
      <c r="AN593" t="s">
        <v>6619</v>
      </c>
      <c r="AO593" t="s">
        <v>6620</v>
      </c>
      <c r="AP593" t="s">
        <v>6621</v>
      </c>
      <c r="AQ593" t="s">
        <v>74</v>
      </c>
      <c r="AR593" t="s">
        <v>6622</v>
      </c>
      <c r="AS593" t="s">
        <v>6623</v>
      </c>
      <c r="AT593" t="s">
        <v>11679</v>
      </c>
      <c r="AU593">
        <v>2019</v>
      </c>
      <c r="AV593">
        <v>116</v>
      </c>
      <c r="AW593">
        <v>26</v>
      </c>
      <c r="AX593" t="s">
        <v>74</v>
      </c>
      <c r="AY593" t="s">
        <v>74</v>
      </c>
      <c r="AZ593" t="s">
        <v>74</v>
      </c>
      <c r="BA593" t="s">
        <v>74</v>
      </c>
      <c r="BB593">
        <v>12907</v>
      </c>
      <c r="BC593">
        <v>12912</v>
      </c>
      <c r="BD593" t="s">
        <v>74</v>
      </c>
      <c r="BE593" t="s">
        <v>11731</v>
      </c>
      <c r="BF593" t="str">
        <f>HYPERLINK("http://dx.doi.org/10.1073/pnas.1900194116","http://dx.doi.org/10.1073/pnas.1900194116")</f>
        <v>http://dx.doi.org/10.1073/pnas.1900194116</v>
      </c>
      <c r="BG593" t="s">
        <v>74</v>
      </c>
      <c r="BH593" t="s">
        <v>74</v>
      </c>
      <c r="BI593">
        <v>6</v>
      </c>
      <c r="BJ593" t="s">
        <v>1004</v>
      </c>
      <c r="BK593" t="s">
        <v>101</v>
      </c>
      <c r="BL593" t="s">
        <v>1005</v>
      </c>
      <c r="BM593" t="s">
        <v>11732</v>
      </c>
      <c r="BN593">
        <v>31186360</v>
      </c>
      <c r="BO593" t="s">
        <v>11733</v>
      </c>
      <c r="BP593" t="s">
        <v>1784</v>
      </c>
      <c r="BQ593" t="s">
        <v>1785</v>
      </c>
      <c r="BR593" t="s">
        <v>103</v>
      </c>
      <c r="BS593" t="s">
        <v>11734</v>
      </c>
      <c r="BT593" t="str">
        <f>HYPERLINK("https%3A%2F%2Fwww.webofscience.com%2Fwos%2Fwoscc%2Ffull-record%2FWOS:000472719100059","View Full Record in Web of Science")</f>
        <v>View Full Record in Web of Science</v>
      </c>
    </row>
    <row r="594" spans="1:72" x14ac:dyDescent="0.15">
      <c r="A594" t="s">
        <v>72</v>
      </c>
      <c r="B594" t="s">
        <v>11735</v>
      </c>
      <c r="C594" t="s">
        <v>74</v>
      </c>
      <c r="D594" t="s">
        <v>74</v>
      </c>
      <c r="E594" t="s">
        <v>74</v>
      </c>
      <c r="F594" t="s">
        <v>11736</v>
      </c>
      <c r="G594" t="s">
        <v>74</v>
      </c>
      <c r="H594" t="s">
        <v>74</v>
      </c>
      <c r="I594" t="s">
        <v>11737</v>
      </c>
      <c r="J594" t="s">
        <v>11738</v>
      </c>
      <c r="K594" t="s">
        <v>74</v>
      </c>
      <c r="L594" t="s">
        <v>74</v>
      </c>
      <c r="M594" t="s">
        <v>78</v>
      </c>
      <c r="N594" t="s">
        <v>108</v>
      </c>
      <c r="O594" t="s">
        <v>74</v>
      </c>
      <c r="P594" t="s">
        <v>74</v>
      </c>
      <c r="Q594" t="s">
        <v>74</v>
      </c>
      <c r="R594" t="s">
        <v>74</v>
      </c>
      <c r="S594" t="s">
        <v>74</v>
      </c>
      <c r="T594" t="s">
        <v>74</v>
      </c>
      <c r="U594" t="s">
        <v>11739</v>
      </c>
      <c r="V594" t="s">
        <v>11740</v>
      </c>
      <c r="W594" t="s">
        <v>11741</v>
      </c>
      <c r="X594" t="s">
        <v>11742</v>
      </c>
      <c r="Y594" t="s">
        <v>11743</v>
      </c>
      <c r="Z594" t="s">
        <v>11744</v>
      </c>
      <c r="AA594" t="s">
        <v>11745</v>
      </c>
      <c r="AB594" t="s">
        <v>11746</v>
      </c>
      <c r="AC594" t="s">
        <v>11747</v>
      </c>
      <c r="AD594" t="s">
        <v>11748</v>
      </c>
      <c r="AE594" t="s">
        <v>11749</v>
      </c>
      <c r="AF594" t="s">
        <v>74</v>
      </c>
      <c r="AG594">
        <v>27</v>
      </c>
      <c r="AH594">
        <v>19</v>
      </c>
      <c r="AI594">
        <v>21</v>
      </c>
      <c r="AJ594">
        <v>4</v>
      </c>
      <c r="AK594">
        <v>38</v>
      </c>
      <c r="AL594" t="s">
        <v>1577</v>
      </c>
      <c r="AM594" t="s">
        <v>183</v>
      </c>
      <c r="AN594" t="s">
        <v>1578</v>
      </c>
      <c r="AO594" t="s">
        <v>11750</v>
      </c>
      <c r="AP594" t="s">
        <v>11751</v>
      </c>
      <c r="AQ594" t="s">
        <v>74</v>
      </c>
      <c r="AR594" t="s">
        <v>11752</v>
      </c>
      <c r="AS594" t="s">
        <v>11753</v>
      </c>
      <c r="AT594" t="s">
        <v>11754</v>
      </c>
      <c r="AU594">
        <v>2019</v>
      </c>
      <c r="AV594">
        <v>21</v>
      </c>
      <c r="AW594">
        <v>12</v>
      </c>
      <c r="AX594" t="s">
        <v>74</v>
      </c>
      <c r="AY594" t="s">
        <v>74</v>
      </c>
      <c r="AZ594" t="s">
        <v>74</v>
      </c>
      <c r="BA594" t="s">
        <v>74</v>
      </c>
      <c r="BB594">
        <v>4816</v>
      </c>
      <c r="BC594">
        <v>4820</v>
      </c>
      <c r="BD594" t="s">
        <v>74</v>
      </c>
      <c r="BE594" t="s">
        <v>11755</v>
      </c>
      <c r="BF594" t="str">
        <f>HYPERLINK("http://dx.doi.org/10.1021/acs.orglett.9b01710","http://dx.doi.org/10.1021/acs.orglett.9b01710")</f>
        <v>http://dx.doi.org/10.1021/acs.orglett.9b01710</v>
      </c>
      <c r="BG594" t="s">
        <v>74</v>
      </c>
      <c r="BH594" t="s">
        <v>74</v>
      </c>
      <c r="BI594">
        <v>5</v>
      </c>
      <c r="BJ594" t="s">
        <v>11756</v>
      </c>
      <c r="BK594" t="s">
        <v>3850</v>
      </c>
      <c r="BL594" t="s">
        <v>771</v>
      </c>
      <c r="BM594" t="s">
        <v>11757</v>
      </c>
      <c r="BN594">
        <v>31188618</v>
      </c>
      <c r="BO594" t="s">
        <v>74</v>
      </c>
      <c r="BP594" t="s">
        <v>74</v>
      </c>
      <c r="BQ594" t="s">
        <v>74</v>
      </c>
      <c r="BR594" t="s">
        <v>103</v>
      </c>
      <c r="BS594" t="s">
        <v>11758</v>
      </c>
      <c r="BT594" t="str">
        <f>HYPERLINK("https%3A%2F%2Fwww.webofscience.com%2Fwos%2Fwoscc%2Ffull-record%2FWOS:000473116000089","View Full Record in Web of Science")</f>
        <v>View Full Record in Web of Science</v>
      </c>
    </row>
    <row r="595" spans="1:72" x14ac:dyDescent="0.15">
      <c r="A595" t="s">
        <v>72</v>
      </c>
      <c r="B595" t="s">
        <v>11759</v>
      </c>
      <c r="C595" t="s">
        <v>74</v>
      </c>
      <c r="D595" t="s">
        <v>74</v>
      </c>
      <c r="E595" t="s">
        <v>74</v>
      </c>
      <c r="F595" t="s">
        <v>11760</v>
      </c>
      <c r="G595" t="s">
        <v>74</v>
      </c>
      <c r="H595" t="s">
        <v>74</v>
      </c>
      <c r="I595" t="s">
        <v>11761</v>
      </c>
      <c r="J595" t="s">
        <v>828</v>
      </c>
      <c r="K595" t="s">
        <v>74</v>
      </c>
      <c r="L595" t="s">
        <v>74</v>
      </c>
      <c r="M595" t="s">
        <v>78</v>
      </c>
      <c r="N595" t="s">
        <v>108</v>
      </c>
      <c r="O595" t="s">
        <v>74</v>
      </c>
      <c r="P595" t="s">
        <v>74</v>
      </c>
      <c r="Q595" t="s">
        <v>74</v>
      </c>
      <c r="R595" t="s">
        <v>74</v>
      </c>
      <c r="S595" t="s">
        <v>74</v>
      </c>
      <c r="T595" t="s">
        <v>74</v>
      </c>
      <c r="U595" t="s">
        <v>11762</v>
      </c>
      <c r="V595" t="s">
        <v>11763</v>
      </c>
      <c r="W595" t="s">
        <v>11764</v>
      </c>
      <c r="X595" t="s">
        <v>11765</v>
      </c>
      <c r="Y595" t="s">
        <v>11766</v>
      </c>
      <c r="Z595" t="s">
        <v>11767</v>
      </c>
      <c r="AA595" t="s">
        <v>11768</v>
      </c>
      <c r="AB595" t="s">
        <v>11769</v>
      </c>
      <c r="AC595" t="s">
        <v>11770</v>
      </c>
      <c r="AD595" t="s">
        <v>11771</v>
      </c>
      <c r="AE595" t="s">
        <v>11772</v>
      </c>
      <c r="AF595" t="s">
        <v>74</v>
      </c>
      <c r="AG595">
        <v>112</v>
      </c>
      <c r="AH595">
        <v>17</v>
      </c>
      <c r="AI595">
        <v>18</v>
      </c>
      <c r="AJ595">
        <v>1</v>
      </c>
      <c r="AK595">
        <v>23</v>
      </c>
      <c r="AL595" t="s">
        <v>839</v>
      </c>
      <c r="AM595" t="s">
        <v>840</v>
      </c>
      <c r="AN595" t="s">
        <v>841</v>
      </c>
      <c r="AO595" t="s">
        <v>842</v>
      </c>
      <c r="AP595" t="s">
        <v>843</v>
      </c>
      <c r="AQ595" t="s">
        <v>74</v>
      </c>
      <c r="AR595" t="s">
        <v>828</v>
      </c>
      <c r="AS595" t="s">
        <v>844</v>
      </c>
      <c r="AT595" t="s">
        <v>11754</v>
      </c>
      <c r="AU595">
        <v>2019</v>
      </c>
      <c r="AV595">
        <v>16</v>
      </c>
      <c r="AW595">
        <v>12</v>
      </c>
      <c r="AX595" t="s">
        <v>74</v>
      </c>
      <c r="AY595" t="s">
        <v>74</v>
      </c>
      <c r="AZ595" t="s">
        <v>74</v>
      </c>
      <c r="BA595" t="s">
        <v>74</v>
      </c>
      <c r="BB595">
        <v>2481</v>
      </c>
      <c r="BC595">
        <v>2499</v>
      </c>
      <c r="BD595" t="s">
        <v>74</v>
      </c>
      <c r="BE595" t="s">
        <v>11773</v>
      </c>
      <c r="BF595" t="str">
        <f>HYPERLINK("http://dx.doi.org/10.5194/bg-16-2481-2019","http://dx.doi.org/10.5194/bg-16-2481-2019")</f>
        <v>http://dx.doi.org/10.5194/bg-16-2481-2019</v>
      </c>
      <c r="BG595" t="s">
        <v>74</v>
      </c>
      <c r="BH595" t="s">
        <v>74</v>
      </c>
      <c r="BI595">
        <v>19</v>
      </c>
      <c r="BJ595" t="s">
        <v>847</v>
      </c>
      <c r="BK595" t="s">
        <v>101</v>
      </c>
      <c r="BL595" t="s">
        <v>848</v>
      </c>
      <c r="BM595" t="s">
        <v>11774</v>
      </c>
      <c r="BN595" t="s">
        <v>74</v>
      </c>
      <c r="BO595" t="s">
        <v>2270</v>
      </c>
      <c r="BP595" t="s">
        <v>74</v>
      </c>
      <c r="BQ595" t="s">
        <v>74</v>
      </c>
      <c r="BR595" t="s">
        <v>103</v>
      </c>
      <c r="BS595" t="s">
        <v>11775</v>
      </c>
      <c r="BT595" t="str">
        <f>HYPERLINK("https%3A%2F%2Fwww.webofscience.com%2Fwos%2Fwoscc%2Ffull-record%2FWOS:000472535200001","View Full Record in Web of Science")</f>
        <v>View Full Record in Web of Science</v>
      </c>
    </row>
    <row r="596" spans="1:72" x14ac:dyDescent="0.15">
      <c r="A596" t="s">
        <v>72</v>
      </c>
      <c r="B596" t="s">
        <v>11776</v>
      </c>
      <c r="C596" t="s">
        <v>74</v>
      </c>
      <c r="D596" t="s">
        <v>74</v>
      </c>
      <c r="E596" t="s">
        <v>74</v>
      </c>
      <c r="F596" t="s">
        <v>11777</v>
      </c>
      <c r="G596" t="s">
        <v>74</v>
      </c>
      <c r="H596" t="s">
        <v>74</v>
      </c>
      <c r="I596" t="s">
        <v>11778</v>
      </c>
      <c r="J596" t="s">
        <v>1496</v>
      </c>
      <c r="K596" t="s">
        <v>74</v>
      </c>
      <c r="L596" t="s">
        <v>74</v>
      </c>
      <c r="M596" t="s">
        <v>78</v>
      </c>
      <c r="N596" t="s">
        <v>108</v>
      </c>
      <c r="O596" t="s">
        <v>74</v>
      </c>
      <c r="P596" t="s">
        <v>74</v>
      </c>
      <c r="Q596" t="s">
        <v>74</v>
      </c>
      <c r="R596" t="s">
        <v>74</v>
      </c>
      <c r="S596" t="s">
        <v>74</v>
      </c>
      <c r="T596" t="s">
        <v>11779</v>
      </c>
      <c r="U596" t="s">
        <v>11780</v>
      </c>
      <c r="V596" t="s">
        <v>11781</v>
      </c>
      <c r="W596" t="s">
        <v>11782</v>
      </c>
      <c r="X596" t="s">
        <v>11783</v>
      </c>
      <c r="Y596" t="s">
        <v>11784</v>
      </c>
      <c r="Z596" t="s">
        <v>11785</v>
      </c>
      <c r="AA596" t="s">
        <v>11786</v>
      </c>
      <c r="AB596" t="s">
        <v>11787</v>
      </c>
      <c r="AC596" t="s">
        <v>11788</v>
      </c>
      <c r="AD596" t="s">
        <v>11789</v>
      </c>
      <c r="AE596" t="s">
        <v>11790</v>
      </c>
      <c r="AF596" t="s">
        <v>74</v>
      </c>
      <c r="AG596">
        <v>87</v>
      </c>
      <c r="AH596">
        <v>13</v>
      </c>
      <c r="AI596">
        <v>14</v>
      </c>
      <c r="AJ596">
        <v>5</v>
      </c>
      <c r="AK596">
        <v>24</v>
      </c>
      <c r="AL596" t="s">
        <v>868</v>
      </c>
      <c r="AM596" t="s">
        <v>869</v>
      </c>
      <c r="AN596" t="s">
        <v>870</v>
      </c>
      <c r="AO596" t="s">
        <v>1509</v>
      </c>
      <c r="AP596" t="s">
        <v>74</v>
      </c>
      <c r="AQ596" t="s">
        <v>74</v>
      </c>
      <c r="AR596" t="s">
        <v>1510</v>
      </c>
      <c r="AS596" t="s">
        <v>1511</v>
      </c>
      <c r="AT596" t="s">
        <v>11754</v>
      </c>
      <c r="AU596">
        <v>2019</v>
      </c>
      <c r="AV596">
        <v>10</v>
      </c>
      <c r="AW596" t="s">
        <v>74</v>
      </c>
      <c r="AX596" t="s">
        <v>74</v>
      </c>
      <c r="AY596" t="s">
        <v>74</v>
      </c>
      <c r="AZ596" t="s">
        <v>74</v>
      </c>
      <c r="BA596" t="s">
        <v>74</v>
      </c>
      <c r="BB596" t="s">
        <v>74</v>
      </c>
      <c r="BC596" t="s">
        <v>74</v>
      </c>
      <c r="BD596">
        <v>1395</v>
      </c>
      <c r="BE596" t="s">
        <v>11791</v>
      </c>
      <c r="BF596" t="str">
        <f>HYPERLINK("http://dx.doi.org/10.3389/fmicb.2019.01395","http://dx.doi.org/10.3389/fmicb.2019.01395")</f>
        <v>http://dx.doi.org/10.3389/fmicb.2019.01395</v>
      </c>
      <c r="BG596" t="s">
        <v>74</v>
      </c>
      <c r="BH596" t="s">
        <v>74</v>
      </c>
      <c r="BI596">
        <v>12</v>
      </c>
      <c r="BJ596" t="s">
        <v>1514</v>
      </c>
      <c r="BK596" t="s">
        <v>101</v>
      </c>
      <c r="BL596" t="s">
        <v>1514</v>
      </c>
      <c r="BM596" t="s">
        <v>11792</v>
      </c>
      <c r="BN596">
        <v>31293543</v>
      </c>
      <c r="BO596" t="s">
        <v>331</v>
      </c>
      <c r="BP596" t="s">
        <v>74</v>
      </c>
      <c r="BQ596" t="s">
        <v>74</v>
      </c>
      <c r="BR596" t="s">
        <v>103</v>
      </c>
      <c r="BS596" t="s">
        <v>11793</v>
      </c>
      <c r="BT596" t="str">
        <f>HYPERLINK("https%3A%2F%2Fwww.webofscience.com%2Fwos%2Fwoscc%2Ffull-record%2FWOS:000472466700001","View Full Record in Web of Science")</f>
        <v>View Full Record in Web of Science</v>
      </c>
    </row>
    <row r="597" spans="1:72" x14ac:dyDescent="0.15">
      <c r="A597" t="s">
        <v>72</v>
      </c>
      <c r="B597" t="s">
        <v>11794</v>
      </c>
      <c r="C597" t="s">
        <v>74</v>
      </c>
      <c r="D597" t="s">
        <v>74</v>
      </c>
      <c r="E597" t="s">
        <v>74</v>
      </c>
      <c r="F597" t="s">
        <v>11795</v>
      </c>
      <c r="G597" t="s">
        <v>74</v>
      </c>
      <c r="H597" t="s">
        <v>74</v>
      </c>
      <c r="I597" t="s">
        <v>11796</v>
      </c>
      <c r="J597" t="s">
        <v>11797</v>
      </c>
      <c r="K597" t="s">
        <v>74</v>
      </c>
      <c r="L597" t="s">
        <v>74</v>
      </c>
      <c r="M597" t="s">
        <v>78</v>
      </c>
      <c r="N597" t="s">
        <v>108</v>
      </c>
      <c r="O597" t="s">
        <v>74</v>
      </c>
      <c r="P597" t="s">
        <v>74</v>
      </c>
      <c r="Q597" t="s">
        <v>74</v>
      </c>
      <c r="R597" t="s">
        <v>74</v>
      </c>
      <c r="S597" t="s">
        <v>74</v>
      </c>
      <c r="T597" t="s">
        <v>11798</v>
      </c>
      <c r="U597" t="s">
        <v>11799</v>
      </c>
      <c r="V597" t="s">
        <v>11800</v>
      </c>
      <c r="W597" t="s">
        <v>11801</v>
      </c>
      <c r="X597" t="s">
        <v>11802</v>
      </c>
      <c r="Y597" t="s">
        <v>11803</v>
      </c>
      <c r="Z597" t="s">
        <v>11804</v>
      </c>
      <c r="AA597" t="s">
        <v>11805</v>
      </c>
      <c r="AB597" t="s">
        <v>11806</v>
      </c>
      <c r="AC597" t="s">
        <v>74</v>
      </c>
      <c r="AD597" t="s">
        <v>74</v>
      </c>
      <c r="AE597" t="s">
        <v>74</v>
      </c>
      <c r="AF597" t="s">
        <v>74</v>
      </c>
      <c r="AG597">
        <v>62</v>
      </c>
      <c r="AH597">
        <v>9</v>
      </c>
      <c r="AI597">
        <v>9</v>
      </c>
      <c r="AJ597">
        <v>1</v>
      </c>
      <c r="AK597">
        <v>15</v>
      </c>
      <c r="AL597" t="s">
        <v>1274</v>
      </c>
      <c r="AM597" t="s">
        <v>1275</v>
      </c>
      <c r="AN597" t="s">
        <v>1276</v>
      </c>
      <c r="AO597" t="s">
        <v>11807</v>
      </c>
      <c r="AP597" t="s">
        <v>11808</v>
      </c>
      <c r="AQ597" t="s">
        <v>74</v>
      </c>
      <c r="AR597" t="s">
        <v>11809</v>
      </c>
      <c r="AS597" t="s">
        <v>11810</v>
      </c>
      <c r="AT597" t="s">
        <v>1487</v>
      </c>
      <c r="AU597">
        <v>2019</v>
      </c>
      <c r="AV597">
        <v>31</v>
      </c>
      <c r="AW597">
        <v>5</v>
      </c>
      <c r="AX597" t="s">
        <v>74</v>
      </c>
      <c r="AY597" t="s">
        <v>74</v>
      </c>
      <c r="AZ597" t="s">
        <v>74</v>
      </c>
      <c r="BA597" t="s">
        <v>74</v>
      </c>
      <c r="BB597">
        <v>399</v>
      </c>
      <c r="BC597">
        <v>420</v>
      </c>
      <c r="BD597" t="s">
        <v>74</v>
      </c>
      <c r="BE597" t="s">
        <v>11811</v>
      </c>
      <c r="BF597" t="str">
        <f>HYPERLINK("http://dx.doi.org/10.1080/03949370.2019.1621391","http://dx.doi.org/10.1080/03949370.2019.1621391")</f>
        <v>http://dx.doi.org/10.1080/03949370.2019.1621391</v>
      </c>
      <c r="BG597" t="s">
        <v>74</v>
      </c>
      <c r="BH597" t="s">
        <v>11304</v>
      </c>
      <c r="BI597">
        <v>22</v>
      </c>
      <c r="BJ597" t="s">
        <v>11812</v>
      </c>
      <c r="BK597" t="s">
        <v>101</v>
      </c>
      <c r="BL597" t="s">
        <v>11812</v>
      </c>
      <c r="BM597" t="s">
        <v>11813</v>
      </c>
      <c r="BN597" t="s">
        <v>74</v>
      </c>
      <c r="BO597" t="s">
        <v>74</v>
      </c>
      <c r="BP597" t="s">
        <v>74</v>
      </c>
      <c r="BQ597" t="s">
        <v>74</v>
      </c>
      <c r="BR597" t="s">
        <v>103</v>
      </c>
      <c r="BS597" t="s">
        <v>11814</v>
      </c>
      <c r="BT597" t="str">
        <f>HYPERLINK("https%3A%2F%2Fwww.webofscience.com%2Fwos%2Fwoscc%2Ffull-record%2FWOS:000472423000001","View Full Record in Web of Science")</f>
        <v>View Full Record in Web of Science</v>
      </c>
    </row>
    <row r="598" spans="1:72" x14ac:dyDescent="0.15">
      <c r="A598" t="s">
        <v>72</v>
      </c>
      <c r="B598" t="s">
        <v>11815</v>
      </c>
      <c r="C598" t="s">
        <v>74</v>
      </c>
      <c r="D598" t="s">
        <v>74</v>
      </c>
      <c r="E598" t="s">
        <v>74</v>
      </c>
      <c r="F598" t="s">
        <v>11816</v>
      </c>
      <c r="G598" t="s">
        <v>74</v>
      </c>
      <c r="H598" t="s">
        <v>74</v>
      </c>
      <c r="I598" t="s">
        <v>11817</v>
      </c>
      <c r="J598" t="s">
        <v>11818</v>
      </c>
      <c r="K598" t="s">
        <v>74</v>
      </c>
      <c r="L598" t="s">
        <v>74</v>
      </c>
      <c r="M598" t="s">
        <v>78</v>
      </c>
      <c r="N598" t="s">
        <v>108</v>
      </c>
      <c r="O598" t="s">
        <v>74</v>
      </c>
      <c r="P598" t="s">
        <v>74</v>
      </c>
      <c r="Q598" t="s">
        <v>74</v>
      </c>
      <c r="R598" t="s">
        <v>74</v>
      </c>
      <c r="S598" t="s">
        <v>74</v>
      </c>
      <c r="T598" t="s">
        <v>11819</v>
      </c>
      <c r="U598" t="s">
        <v>11820</v>
      </c>
      <c r="V598" t="s">
        <v>11821</v>
      </c>
      <c r="W598" t="s">
        <v>11822</v>
      </c>
      <c r="X598" t="s">
        <v>11823</v>
      </c>
      <c r="Y598" t="s">
        <v>11824</v>
      </c>
      <c r="Z598" t="s">
        <v>11825</v>
      </c>
      <c r="AA598" t="s">
        <v>11826</v>
      </c>
      <c r="AB598" t="s">
        <v>11827</v>
      </c>
      <c r="AC598" t="s">
        <v>11828</v>
      </c>
      <c r="AD598" t="s">
        <v>11829</v>
      </c>
      <c r="AE598" t="s">
        <v>11830</v>
      </c>
      <c r="AF598" t="s">
        <v>74</v>
      </c>
      <c r="AG598">
        <v>41</v>
      </c>
      <c r="AH598">
        <v>36</v>
      </c>
      <c r="AI598">
        <v>38</v>
      </c>
      <c r="AJ598">
        <v>0</v>
      </c>
      <c r="AK598">
        <v>7</v>
      </c>
      <c r="AL598" t="s">
        <v>438</v>
      </c>
      <c r="AM598" t="s">
        <v>439</v>
      </c>
      <c r="AN598" t="s">
        <v>440</v>
      </c>
      <c r="AO598" t="s">
        <v>11831</v>
      </c>
      <c r="AP598" t="s">
        <v>11832</v>
      </c>
      <c r="AQ598" t="s">
        <v>74</v>
      </c>
      <c r="AR598" t="s">
        <v>11833</v>
      </c>
      <c r="AS598" t="s">
        <v>11834</v>
      </c>
      <c r="AT598" t="s">
        <v>11754</v>
      </c>
      <c r="AU598">
        <v>2019</v>
      </c>
      <c r="AV598">
        <v>930</v>
      </c>
      <c r="AW598" t="s">
        <v>74</v>
      </c>
      <c r="AX598" t="s">
        <v>74</v>
      </c>
      <c r="AY598" t="s">
        <v>74</v>
      </c>
      <c r="AZ598" t="s">
        <v>74</v>
      </c>
      <c r="BA598" t="s">
        <v>74</v>
      </c>
      <c r="BB598">
        <v>112</v>
      </c>
      <c r="BC598">
        <v>125</v>
      </c>
      <c r="BD598" t="s">
        <v>74</v>
      </c>
      <c r="BE598" t="s">
        <v>11835</v>
      </c>
      <c r="BF598" t="str">
        <f>HYPERLINK("http://dx.doi.org/10.1016/j.nima.2019.01.067","http://dx.doi.org/10.1016/j.nima.2019.01.067")</f>
        <v>http://dx.doi.org/10.1016/j.nima.2019.01.067</v>
      </c>
      <c r="BG598" t="s">
        <v>74</v>
      </c>
      <c r="BH598" t="s">
        <v>74</v>
      </c>
      <c r="BI598">
        <v>14</v>
      </c>
      <c r="BJ598" t="s">
        <v>11836</v>
      </c>
      <c r="BK598" t="s">
        <v>101</v>
      </c>
      <c r="BL598" t="s">
        <v>11837</v>
      </c>
      <c r="BM598" t="s">
        <v>11838</v>
      </c>
      <c r="BN598" t="s">
        <v>74</v>
      </c>
      <c r="BO598" t="s">
        <v>1648</v>
      </c>
      <c r="BP598" t="s">
        <v>74</v>
      </c>
      <c r="BQ598" t="s">
        <v>74</v>
      </c>
      <c r="BR598" t="s">
        <v>103</v>
      </c>
      <c r="BS598" t="s">
        <v>11839</v>
      </c>
      <c r="BT598" t="str">
        <f>HYPERLINK("https%3A%2F%2Fwww.webofscience.com%2Fwos%2Fwoscc%2Ffull-record%2FWOS:000464991900015","View Full Record in Web of Science")</f>
        <v>View Full Record in Web of Science</v>
      </c>
    </row>
    <row r="599" spans="1:72" x14ac:dyDescent="0.15">
      <c r="A599" t="s">
        <v>72</v>
      </c>
      <c r="B599" t="s">
        <v>11840</v>
      </c>
      <c r="C599" t="s">
        <v>74</v>
      </c>
      <c r="D599" t="s">
        <v>74</v>
      </c>
      <c r="E599" t="s">
        <v>74</v>
      </c>
      <c r="F599" t="s">
        <v>11841</v>
      </c>
      <c r="G599" t="s">
        <v>74</v>
      </c>
      <c r="H599" t="s">
        <v>74</v>
      </c>
      <c r="I599" t="s">
        <v>11842</v>
      </c>
      <c r="J599" t="s">
        <v>11843</v>
      </c>
      <c r="K599" t="s">
        <v>74</v>
      </c>
      <c r="L599" t="s">
        <v>74</v>
      </c>
      <c r="M599" t="s">
        <v>78</v>
      </c>
      <c r="N599" t="s">
        <v>2711</v>
      </c>
      <c r="O599" t="s">
        <v>74</v>
      </c>
      <c r="P599" t="s">
        <v>74</v>
      </c>
      <c r="Q599" t="s">
        <v>74</v>
      </c>
      <c r="R599" t="s">
        <v>74</v>
      </c>
      <c r="S599" t="s">
        <v>74</v>
      </c>
      <c r="T599" t="s">
        <v>74</v>
      </c>
      <c r="U599" t="s">
        <v>11844</v>
      </c>
      <c r="V599" t="s">
        <v>74</v>
      </c>
      <c r="W599" t="s">
        <v>11845</v>
      </c>
      <c r="X599" t="s">
        <v>11846</v>
      </c>
      <c r="Y599" t="s">
        <v>11847</v>
      </c>
      <c r="Z599" t="s">
        <v>11848</v>
      </c>
      <c r="AA599" t="s">
        <v>11849</v>
      </c>
      <c r="AB599" t="s">
        <v>11850</v>
      </c>
      <c r="AC599" t="s">
        <v>74</v>
      </c>
      <c r="AD599" t="s">
        <v>74</v>
      </c>
      <c r="AE599" t="s">
        <v>74</v>
      </c>
      <c r="AF599" t="s">
        <v>74</v>
      </c>
      <c r="AG599">
        <v>9</v>
      </c>
      <c r="AH599">
        <v>3</v>
      </c>
      <c r="AI599">
        <v>3</v>
      </c>
      <c r="AJ599">
        <v>1</v>
      </c>
      <c r="AK599">
        <v>6</v>
      </c>
      <c r="AL599" t="s">
        <v>3287</v>
      </c>
      <c r="AM599" t="s">
        <v>183</v>
      </c>
      <c r="AN599" t="s">
        <v>3288</v>
      </c>
      <c r="AO599" t="s">
        <v>11851</v>
      </c>
      <c r="AP599" t="s">
        <v>11852</v>
      </c>
      <c r="AQ599" t="s">
        <v>74</v>
      </c>
      <c r="AR599" t="s">
        <v>11843</v>
      </c>
      <c r="AS599" t="s">
        <v>11853</v>
      </c>
      <c r="AT599" t="s">
        <v>11754</v>
      </c>
      <c r="AU599">
        <v>2019</v>
      </c>
      <c r="AV599">
        <v>364</v>
      </c>
      <c r="AW599">
        <v>6446</v>
      </c>
      <c r="AX599" t="s">
        <v>74</v>
      </c>
      <c r="AY599" t="s">
        <v>74</v>
      </c>
      <c r="AZ599" t="s">
        <v>730</v>
      </c>
      <c r="BA599" t="s">
        <v>74</v>
      </c>
      <c r="BB599">
        <v>1128</v>
      </c>
      <c r="BC599">
        <v>1130</v>
      </c>
      <c r="BD599" t="s">
        <v>74</v>
      </c>
      <c r="BE599" t="s">
        <v>11854</v>
      </c>
      <c r="BF599" t="str">
        <f>HYPERLINK("http://dx.doi.org/10.1126/science.aax8961","http://dx.doi.org/10.1126/science.aax8961")</f>
        <v>http://dx.doi.org/10.1126/science.aax8961</v>
      </c>
      <c r="BG599" t="s">
        <v>74</v>
      </c>
      <c r="BH599" t="s">
        <v>74</v>
      </c>
      <c r="BI599">
        <v>3</v>
      </c>
      <c r="BJ599" t="s">
        <v>1004</v>
      </c>
      <c r="BK599" t="s">
        <v>3718</v>
      </c>
      <c r="BL599" t="s">
        <v>1005</v>
      </c>
      <c r="BM599" t="s">
        <v>11855</v>
      </c>
      <c r="BN599">
        <v>31221842</v>
      </c>
      <c r="BO599" t="s">
        <v>74</v>
      </c>
      <c r="BP599" t="s">
        <v>74</v>
      </c>
      <c r="BQ599" t="s">
        <v>74</v>
      </c>
      <c r="BR599" t="s">
        <v>103</v>
      </c>
      <c r="BS599" t="s">
        <v>11856</v>
      </c>
      <c r="BT599" t="str">
        <f>HYPERLINK("https%3A%2F%2Fwww.webofscience.com%2Fwos%2Fwoscc%2Ffull-record%2FWOS:000472175100019","View Full Record in Web of Science")</f>
        <v>View Full Record in Web of Science</v>
      </c>
    </row>
    <row r="600" spans="1:72" x14ac:dyDescent="0.15">
      <c r="A600" t="s">
        <v>72</v>
      </c>
      <c r="B600" t="s">
        <v>11857</v>
      </c>
      <c r="C600" t="s">
        <v>74</v>
      </c>
      <c r="D600" t="s">
        <v>74</v>
      </c>
      <c r="E600" t="s">
        <v>74</v>
      </c>
      <c r="F600" t="s">
        <v>11858</v>
      </c>
      <c r="G600" t="s">
        <v>74</v>
      </c>
      <c r="H600" t="s">
        <v>74</v>
      </c>
      <c r="I600" t="s">
        <v>11859</v>
      </c>
      <c r="J600" t="s">
        <v>8187</v>
      </c>
      <c r="K600" t="s">
        <v>74</v>
      </c>
      <c r="L600" t="s">
        <v>74</v>
      </c>
      <c r="M600" t="s">
        <v>78</v>
      </c>
      <c r="N600" t="s">
        <v>108</v>
      </c>
      <c r="O600" t="s">
        <v>74</v>
      </c>
      <c r="P600" t="s">
        <v>74</v>
      </c>
      <c r="Q600" t="s">
        <v>74</v>
      </c>
      <c r="R600" t="s">
        <v>74</v>
      </c>
      <c r="S600" t="s">
        <v>74</v>
      </c>
      <c r="T600" t="s">
        <v>74</v>
      </c>
      <c r="U600" t="s">
        <v>11860</v>
      </c>
      <c r="V600" t="s">
        <v>11861</v>
      </c>
      <c r="W600" t="s">
        <v>11862</v>
      </c>
      <c r="X600" t="s">
        <v>11863</v>
      </c>
      <c r="Y600" t="s">
        <v>11864</v>
      </c>
      <c r="Z600" t="s">
        <v>11865</v>
      </c>
      <c r="AA600" t="s">
        <v>11866</v>
      </c>
      <c r="AB600" t="s">
        <v>11867</v>
      </c>
      <c r="AC600" t="s">
        <v>11868</v>
      </c>
      <c r="AD600" t="s">
        <v>11869</v>
      </c>
      <c r="AE600" t="s">
        <v>11870</v>
      </c>
      <c r="AF600" t="s">
        <v>74</v>
      </c>
      <c r="AG600">
        <v>110</v>
      </c>
      <c r="AH600">
        <v>69</v>
      </c>
      <c r="AI600">
        <v>76</v>
      </c>
      <c r="AJ600">
        <v>5</v>
      </c>
      <c r="AK600">
        <v>55</v>
      </c>
      <c r="AL600" t="s">
        <v>998</v>
      </c>
      <c r="AM600" t="s">
        <v>657</v>
      </c>
      <c r="AN600" t="s">
        <v>999</v>
      </c>
      <c r="AO600" t="s">
        <v>8198</v>
      </c>
      <c r="AP600" t="s">
        <v>8199</v>
      </c>
      <c r="AQ600" t="s">
        <v>74</v>
      </c>
      <c r="AR600" t="s">
        <v>8187</v>
      </c>
      <c r="AS600" t="s">
        <v>8200</v>
      </c>
      <c r="AT600" t="s">
        <v>11871</v>
      </c>
      <c r="AU600">
        <v>2019</v>
      </c>
      <c r="AV600">
        <v>570</v>
      </c>
      <c r="AW600">
        <v>7761</v>
      </c>
      <c r="AX600" t="s">
        <v>74</v>
      </c>
      <c r="AY600" t="s">
        <v>74</v>
      </c>
      <c r="AZ600" t="s">
        <v>74</v>
      </c>
      <c r="BA600" t="s">
        <v>74</v>
      </c>
      <c r="BB600">
        <v>319</v>
      </c>
      <c r="BC600" t="s">
        <v>3569</v>
      </c>
      <c r="BD600" t="s">
        <v>74</v>
      </c>
      <c r="BE600" t="s">
        <v>11872</v>
      </c>
      <c r="BF600" t="str">
        <f>HYPERLINK("http://dx.doi.org/10.1038/s41586-019-1294-0","http://dx.doi.org/10.1038/s41586-019-1294-0")</f>
        <v>http://dx.doi.org/10.1038/s41586-019-1294-0</v>
      </c>
      <c r="BG600" t="s">
        <v>74</v>
      </c>
      <c r="BH600" t="s">
        <v>74</v>
      </c>
      <c r="BI600">
        <v>22</v>
      </c>
      <c r="BJ600" t="s">
        <v>1004</v>
      </c>
      <c r="BK600" t="s">
        <v>101</v>
      </c>
      <c r="BL600" t="s">
        <v>1005</v>
      </c>
      <c r="BM600" t="s">
        <v>11873</v>
      </c>
      <c r="BN600">
        <v>31182856</v>
      </c>
      <c r="BO600" t="s">
        <v>74</v>
      </c>
      <c r="BP600" t="s">
        <v>74</v>
      </c>
      <c r="BQ600" t="s">
        <v>74</v>
      </c>
      <c r="BR600" t="s">
        <v>103</v>
      </c>
      <c r="BS600" t="s">
        <v>11874</v>
      </c>
      <c r="BT600" t="str">
        <f>HYPERLINK("https%3A%2F%2Fwww.webofscience.com%2Fwos%2Fwoscc%2Ffull-record%2FWOS:000472145700055","View Full Record in Web of Science")</f>
        <v>View Full Record in Web of Science</v>
      </c>
    </row>
    <row r="601" spans="1:72" x14ac:dyDescent="0.15">
      <c r="A601" t="s">
        <v>72</v>
      </c>
      <c r="B601" t="s">
        <v>11875</v>
      </c>
      <c r="C601" t="s">
        <v>74</v>
      </c>
      <c r="D601" t="s">
        <v>74</v>
      </c>
      <c r="E601" t="s">
        <v>74</v>
      </c>
      <c r="F601" t="s">
        <v>11876</v>
      </c>
      <c r="G601" t="s">
        <v>74</v>
      </c>
      <c r="H601" t="s">
        <v>74</v>
      </c>
      <c r="I601" t="s">
        <v>11877</v>
      </c>
      <c r="J601" t="s">
        <v>989</v>
      </c>
      <c r="K601" t="s">
        <v>74</v>
      </c>
      <c r="L601" t="s">
        <v>74</v>
      </c>
      <c r="M601" t="s">
        <v>78</v>
      </c>
      <c r="N601" t="s">
        <v>108</v>
      </c>
      <c r="O601" t="s">
        <v>74</v>
      </c>
      <c r="P601" t="s">
        <v>74</v>
      </c>
      <c r="Q601" t="s">
        <v>74</v>
      </c>
      <c r="R601" t="s">
        <v>74</v>
      </c>
      <c r="S601" t="s">
        <v>74</v>
      </c>
      <c r="T601" t="s">
        <v>74</v>
      </c>
      <c r="U601" t="s">
        <v>11878</v>
      </c>
      <c r="V601" t="s">
        <v>11879</v>
      </c>
      <c r="W601" t="s">
        <v>11880</v>
      </c>
      <c r="X601" t="s">
        <v>11881</v>
      </c>
      <c r="Y601" t="s">
        <v>11882</v>
      </c>
      <c r="Z601" t="s">
        <v>11883</v>
      </c>
      <c r="AA601" t="s">
        <v>11884</v>
      </c>
      <c r="AB601" t="s">
        <v>11885</v>
      </c>
      <c r="AC601" t="s">
        <v>11886</v>
      </c>
      <c r="AD601" t="s">
        <v>11887</v>
      </c>
      <c r="AE601" t="s">
        <v>11888</v>
      </c>
      <c r="AF601" t="s">
        <v>74</v>
      </c>
      <c r="AG601">
        <v>84</v>
      </c>
      <c r="AH601">
        <v>7</v>
      </c>
      <c r="AI601">
        <v>7</v>
      </c>
      <c r="AJ601">
        <v>7</v>
      </c>
      <c r="AK601">
        <v>25</v>
      </c>
      <c r="AL601" t="s">
        <v>998</v>
      </c>
      <c r="AM601" t="s">
        <v>657</v>
      </c>
      <c r="AN601" t="s">
        <v>999</v>
      </c>
      <c r="AO601" t="s">
        <v>1000</v>
      </c>
      <c r="AP601" t="s">
        <v>74</v>
      </c>
      <c r="AQ601" t="s">
        <v>74</v>
      </c>
      <c r="AR601" t="s">
        <v>1001</v>
      </c>
      <c r="AS601" t="s">
        <v>1002</v>
      </c>
      <c r="AT601" t="s">
        <v>11871</v>
      </c>
      <c r="AU601">
        <v>2019</v>
      </c>
      <c r="AV601">
        <v>9</v>
      </c>
      <c r="AW601" t="s">
        <v>74</v>
      </c>
      <c r="AX601" t="s">
        <v>74</v>
      </c>
      <c r="AY601" t="s">
        <v>74</v>
      </c>
      <c r="AZ601" t="s">
        <v>74</v>
      </c>
      <c r="BA601" t="s">
        <v>74</v>
      </c>
      <c r="BB601" t="s">
        <v>74</v>
      </c>
      <c r="BC601" t="s">
        <v>74</v>
      </c>
      <c r="BD601">
        <v>8878</v>
      </c>
      <c r="BE601" t="s">
        <v>11889</v>
      </c>
      <c r="BF601" t="str">
        <f>HYPERLINK("http://dx.doi.org/10.1038/s41598-019-45061-x","http://dx.doi.org/10.1038/s41598-019-45061-x")</f>
        <v>http://dx.doi.org/10.1038/s41598-019-45061-x</v>
      </c>
      <c r="BG601" t="s">
        <v>74</v>
      </c>
      <c r="BH601" t="s">
        <v>74</v>
      </c>
      <c r="BI601">
        <v>14</v>
      </c>
      <c r="BJ601" t="s">
        <v>1004</v>
      </c>
      <c r="BK601" t="s">
        <v>101</v>
      </c>
      <c r="BL601" t="s">
        <v>1005</v>
      </c>
      <c r="BM601" t="s">
        <v>11890</v>
      </c>
      <c r="BN601">
        <v>31222034</v>
      </c>
      <c r="BO601" t="s">
        <v>313</v>
      </c>
      <c r="BP601" t="s">
        <v>74</v>
      </c>
      <c r="BQ601" t="s">
        <v>74</v>
      </c>
      <c r="BR601" t="s">
        <v>103</v>
      </c>
      <c r="BS601" t="s">
        <v>11891</v>
      </c>
      <c r="BT601" t="str">
        <f>HYPERLINK("https%3A%2F%2Fwww.webofscience.com%2Fwos%2Fwoscc%2Ffull-record%2FWOS:000472136900052","View Full Record in Web of Science")</f>
        <v>View Full Record in Web of Science</v>
      </c>
    </row>
    <row r="602" spans="1:72" x14ac:dyDescent="0.15">
      <c r="A602" t="s">
        <v>72</v>
      </c>
      <c r="B602" t="s">
        <v>11892</v>
      </c>
      <c r="C602" t="s">
        <v>74</v>
      </c>
      <c r="D602" t="s">
        <v>74</v>
      </c>
      <c r="E602" t="s">
        <v>74</v>
      </c>
      <c r="F602" t="s">
        <v>11893</v>
      </c>
      <c r="G602" t="s">
        <v>74</v>
      </c>
      <c r="H602" t="s">
        <v>74</v>
      </c>
      <c r="I602" t="s">
        <v>11894</v>
      </c>
      <c r="J602" t="s">
        <v>989</v>
      </c>
      <c r="K602" t="s">
        <v>74</v>
      </c>
      <c r="L602" t="s">
        <v>74</v>
      </c>
      <c r="M602" t="s">
        <v>78</v>
      </c>
      <c r="N602" t="s">
        <v>108</v>
      </c>
      <c r="O602" t="s">
        <v>74</v>
      </c>
      <c r="P602" t="s">
        <v>74</v>
      </c>
      <c r="Q602" t="s">
        <v>74</v>
      </c>
      <c r="R602" t="s">
        <v>74</v>
      </c>
      <c r="S602" t="s">
        <v>74</v>
      </c>
      <c r="T602" t="s">
        <v>74</v>
      </c>
      <c r="U602" t="s">
        <v>11895</v>
      </c>
      <c r="V602" t="s">
        <v>11896</v>
      </c>
      <c r="W602" t="s">
        <v>11897</v>
      </c>
      <c r="X602" t="s">
        <v>11898</v>
      </c>
      <c r="Y602" t="s">
        <v>11899</v>
      </c>
      <c r="Z602" t="s">
        <v>11900</v>
      </c>
      <c r="AA602" t="s">
        <v>11901</v>
      </c>
      <c r="AB602" t="s">
        <v>11902</v>
      </c>
      <c r="AC602" t="s">
        <v>11903</v>
      </c>
      <c r="AD602" t="s">
        <v>11904</v>
      </c>
      <c r="AE602" t="s">
        <v>11905</v>
      </c>
      <c r="AF602" t="s">
        <v>74</v>
      </c>
      <c r="AG602">
        <v>74</v>
      </c>
      <c r="AH602">
        <v>8</v>
      </c>
      <c r="AI602">
        <v>8</v>
      </c>
      <c r="AJ602">
        <v>0</v>
      </c>
      <c r="AK602">
        <v>10</v>
      </c>
      <c r="AL602" t="s">
        <v>998</v>
      </c>
      <c r="AM602" t="s">
        <v>657</v>
      </c>
      <c r="AN602" t="s">
        <v>999</v>
      </c>
      <c r="AO602" t="s">
        <v>1000</v>
      </c>
      <c r="AP602" t="s">
        <v>74</v>
      </c>
      <c r="AQ602" t="s">
        <v>74</v>
      </c>
      <c r="AR602" t="s">
        <v>1001</v>
      </c>
      <c r="AS602" t="s">
        <v>1002</v>
      </c>
      <c r="AT602" t="s">
        <v>11871</v>
      </c>
      <c r="AU602">
        <v>2019</v>
      </c>
      <c r="AV602">
        <v>9</v>
      </c>
      <c r="AW602" t="s">
        <v>74</v>
      </c>
      <c r="AX602" t="s">
        <v>74</v>
      </c>
      <c r="AY602" t="s">
        <v>74</v>
      </c>
      <c r="AZ602" t="s">
        <v>74</v>
      </c>
      <c r="BA602" t="s">
        <v>74</v>
      </c>
      <c r="BB602" t="s">
        <v>74</v>
      </c>
      <c r="BC602" t="s">
        <v>74</v>
      </c>
      <c r="BD602">
        <v>8936</v>
      </c>
      <c r="BE602" t="s">
        <v>11906</v>
      </c>
      <c r="BF602" t="str">
        <f>HYPERLINK("http://dx.doi.org/10.1038/s41598-019-44970-1","http://dx.doi.org/10.1038/s41598-019-44970-1")</f>
        <v>http://dx.doi.org/10.1038/s41598-019-44970-1</v>
      </c>
      <c r="BG602" t="s">
        <v>74</v>
      </c>
      <c r="BH602" t="s">
        <v>74</v>
      </c>
      <c r="BI602">
        <v>13</v>
      </c>
      <c r="BJ602" t="s">
        <v>1004</v>
      </c>
      <c r="BK602" t="s">
        <v>101</v>
      </c>
      <c r="BL602" t="s">
        <v>1005</v>
      </c>
      <c r="BM602" t="s">
        <v>11907</v>
      </c>
      <c r="BN602">
        <v>31222003</v>
      </c>
      <c r="BO602" t="s">
        <v>313</v>
      </c>
      <c r="BP602" t="s">
        <v>74</v>
      </c>
      <c r="BQ602" t="s">
        <v>74</v>
      </c>
      <c r="BR602" t="s">
        <v>103</v>
      </c>
      <c r="BS602" t="s">
        <v>11908</v>
      </c>
      <c r="BT602" t="str">
        <f>HYPERLINK("https%3A%2F%2Fwww.webofscience.com%2Fwos%2Fwoscc%2Ffull-record%2FWOS:000472137700032","View Full Record in Web of Science")</f>
        <v>View Full Record in Web of Science</v>
      </c>
    </row>
    <row r="603" spans="1:72" x14ac:dyDescent="0.15">
      <c r="A603" t="s">
        <v>72</v>
      </c>
      <c r="B603" t="s">
        <v>11909</v>
      </c>
      <c r="C603" t="s">
        <v>74</v>
      </c>
      <c r="D603" t="s">
        <v>74</v>
      </c>
      <c r="E603" t="s">
        <v>74</v>
      </c>
      <c r="F603" t="s">
        <v>11910</v>
      </c>
      <c r="G603" t="s">
        <v>74</v>
      </c>
      <c r="H603" t="s">
        <v>74</v>
      </c>
      <c r="I603" t="s">
        <v>11911</v>
      </c>
      <c r="J603" t="s">
        <v>855</v>
      </c>
      <c r="K603" t="s">
        <v>74</v>
      </c>
      <c r="L603" t="s">
        <v>74</v>
      </c>
      <c r="M603" t="s">
        <v>78</v>
      </c>
      <c r="N603" t="s">
        <v>79</v>
      </c>
      <c r="O603" t="s">
        <v>74</v>
      </c>
      <c r="P603" t="s">
        <v>74</v>
      </c>
      <c r="Q603" t="s">
        <v>74</v>
      </c>
      <c r="R603" t="s">
        <v>74</v>
      </c>
      <c r="S603" t="s">
        <v>74</v>
      </c>
      <c r="T603" t="s">
        <v>11912</v>
      </c>
      <c r="U603" t="s">
        <v>11913</v>
      </c>
      <c r="V603" t="s">
        <v>11914</v>
      </c>
      <c r="W603" t="s">
        <v>11915</v>
      </c>
      <c r="X603" t="s">
        <v>11916</v>
      </c>
      <c r="Y603" t="s">
        <v>11917</v>
      </c>
      <c r="Z603" t="s">
        <v>11918</v>
      </c>
      <c r="AA603" t="s">
        <v>11919</v>
      </c>
      <c r="AB603" t="s">
        <v>11920</v>
      </c>
      <c r="AC603" t="s">
        <v>11921</v>
      </c>
      <c r="AD603" t="s">
        <v>11922</v>
      </c>
      <c r="AE603" t="s">
        <v>11923</v>
      </c>
      <c r="AF603" t="s">
        <v>74</v>
      </c>
      <c r="AG603">
        <v>90</v>
      </c>
      <c r="AH603">
        <v>44</v>
      </c>
      <c r="AI603">
        <v>47</v>
      </c>
      <c r="AJ603">
        <v>7</v>
      </c>
      <c r="AK603">
        <v>40</v>
      </c>
      <c r="AL603" t="s">
        <v>868</v>
      </c>
      <c r="AM603" t="s">
        <v>869</v>
      </c>
      <c r="AN603" t="s">
        <v>870</v>
      </c>
      <c r="AO603" t="s">
        <v>74</v>
      </c>
      <c r="AP603" t="s">
        <v>871</v>
      </c>
      <c r="AQ603" t="s">
        <v>74</v>
      </c>
      <c r="AR603" t="s">
        <v>872</v>
      </c>
      <c r="AS603" t="s">
        <v>873</v>
      </c>
      <c r="AT603" t="s">
        <v>11924</v>
      </c>
      <c r="AU603">
        <v>2019</v>
      </c>
      <c r="AV603">
        <v>6</v>
      </c>
      <c r="AW603" t="s">
        <v>74</v>
      </c>
      <c r="AX603" t="s">
        <v>74</v>
      </c>
      <c r="AY603" t="s">
        <v>74</v>
      </c>
      <c r="AZ603" t="s">
        <v>74</v>
      </c>
      <c r="BA603" t="s">
        <v>74</v>
      </c>
      <c r="BB603" t="s">
        <v>74</v>
      </c>
      <c r="BC603" t="s">
        <v>74</v>
      </c>
      <c r="BD603">
        <v>337</v>
      </c>
      <c r="BE603" t="s">
        <v>11925</v>
      </c>
      <c r="BF603" t="str">
        <f>HYPERLINK("http://dx.doi.org/10.3389/fmars.2019.00337","http://dx.doi.org/10.3389/fmars.2019.00337")</f>
        <v>http://dx.doi.org/10.3389/fmars.2019.00337</v>
      </c>
      <c r="BG603" t="s">
        <v>74</v>
      </c>
      <c r="BH603" t="s">
        <v>74</v>
      </c>
      <c r="BI603">
        <v>21</v>
      </c>
      <c r="BJ603" t="s">
        <v>876</v>
      </c>
      <c r="BK603" t="s">
        <v>101</v>
      </c>
      <c r="BL603" t="s">
        <v>877</v>
      </c>
      <c r="BM603" t="s">
        <v>11926</v>
      </c>
      <c r="BN603" t="s">
        <v>74</v>
      </c>
      <c r="BO603" t="s">
        <v>313</v>
      </c>
      <c r="BP603" t="s">
        <v>74</v>
      </c>
      <c r="BQ603" t="s">
        <v>74</v>
      </c>
      <c r="BR603" t="s">
        <v>103</v>
      </c>
      <c r="BS603" t="s">
        <v>11927</v>
      </c>
      <c r="BT603" t="str">
        <f>HYPERLINK("https%3A%2F%2Fwww.webofscience.com%2Fwos%2Fwoscc%2Ffull-record%2FWOS:000472102400001","View Full Record in Web of Science")</f>
        <v>View Full Record in Web of Science</v>
      </c>
    </row>
    <row r="604" spans="1:72" x14ac:dyDescent="0.15">
      <c r="A604" t="s">
        <v>72</v>
      </c>
      <c r="B604" t="s">
        <v>11928</v>
      </c>
      <c r="C604" t="s">
        <v>74</v>
      </c>
      <c r="D604" t="s">
        <v>74</v>
      </c>
      <c r="E604" t="s">
        <v>74</v>
      </c>
      <c r="F604" t="s">
        <v>11929</v>
      </c>
      <c r="G604" t="s">
        <v>74</v>
      </c>
      <c r="H604" t="s">
        <v>74</v>
      </c>
      <c r="I604" t="s">
        <v>11930</v>
      </c>
      <c r="J604" t="s">
        <v>1960</v>
      </c>
      <c r="K604" t="s">
        <v>74</v>
      </c>
      <c r="L604" t="s">
        <v>74</v>
      </c>
      <c r="M604" t="s">
        <v>78</v>
      </c>
      <c r="N604" t="s">
        <v>108</v>
      </c>
      <c r="O604" t="s">
        <v>74</v>
      </c>
      <c r="P604" t="s">
        <v>74</v>
      </c>
      <c r="Q604" t="s">
        <v>74</v>
      </c>
      <c r="R604" t="s">
        <v>74</v>
      </c>
      <c r="S604" t="s">
        <v>74</v>
      </c>
      <c r="T604" t="s">
        <v>11931</v>
      </c>
      <c r="U604" t="s">
        <v>11932</v>
      </c>
      <c r="V604" t="s">
        <v>11933</v>
      </c>
      <c r="W604" t="s">
        <v>11934</v>
      </c>
      <c r="X604" t="s">
        <v>11935</v>
      </c>
      <c r="Y604" t="s">
        <v>11936</v>
      </c>
      <c r="Z604" t="s">
        <v>11937</v>
      </c>
      <c r="AA604" t="s">
        <v>74</v>
      </c>
      <c r="AB604" t="s">
        <v>11938</v>
      </c>
      <c r="AC604" t="s">
        <v>74</v>
      </c>
      <c r="AD604" t="s">
        <v>74</v>
      </c>
      <c r="AE604" t="s">
        <v>74</v>
      </c>
      <c r="AF604" t="s">
        <v>74</v>
      </c>
      <c r="AG604">
        <v>91</v>
      </c>
      <c r="AH604">
        <v>20</v>
      </c>
      <c r="AI604">
        <v>21</v>
      </c>
      <c r="AJ604">
        <v>2</v>
      </c>
      <c r="AK604">
        <v>17</v>
      </c>
      <c r="AL604" t="s">
        <v>1973</v>
      </c>
      <c r="AM604" t="s">
        <v>1974</v>
      </c>
      <c r="AN604" t="s">
        <v>1975</v>
      </c>
      <c r="AO604" t="s">
        <v>1976</v>
      </c>
      <c r="AP604" t="s">
        <v>1977</v>
      </c>
      <c r="AQ604" t="s">
        <v>74</v>
      </c>
      <c r="AR604" t="s">
        <v>1978</v>
      </c>
      <c r="AS604" t="s">
        <v>1979</v>
      </c>
      <c r="AT604" t="s">
        <v>11939</v>
      </c>
      <c r="AU604">
        <v>2019</v>
      </c>
      <c r="AV604">
        <v>620</v>
      </c>
      <c r="AW604" t="s">
        <v>74</v>
      </c>
      <c r="AX604" t="s">
        <v>74</v>
      </c>
      <c r="AY604" t="s">
        <v>74</v>
      </c>
      <c r="AZ604" t="s">
        <v>74</v>
      </c>
      <c r="BA604" t="s">
        <v>74</v>
      </c>
      <c r="BB604">
        <v>201</v>
      </c>
      <c r="BC604">
        <v>214</v>
      </c>
      <c r="BD604" t="s">
        <v>74</v>
      </c>
      <c r="BE604" t="s">
        <v>11940</v>
      </c>
      <c r="BF604" t="str">
        <f>HYPERLINK("http://dx.doi.org/10.3354/meps12952","http://dx.doi.org/10.3354/meps12952")</f>
        <v>http://dx.doi.org/10.3354/meps12952</v>
      </c>
      <c r="BG604" t="s">
        <v>74</v>
      </c>
      <c r="BH604" t="s">
        <v>74</v>
      </c>
      <c r="BI604">
        <v>14</v>
      </c>
      <c r="BJ604" t="s">
        <v>1982</v>
      </c>
      <c r="BK604" t="s">
        <v>101</v>
      </c>
      <c r="BL604" t="s">
        <v>1983</v>
      </c>
      <c r="BM604" t="s">
        <v>11941</v>
      </c>
      <c r="BN604" t="s">
        <v>74</v>
      </c>
      <c r="BO604" t="s">
        <v>74</v>
      </c>
      <c r="BP604" t="s">
        <v>74</v>
      </c>
      <c r="BQ604" t="s">
        <v>74</v>
      </c>
      <c r="BR604" t="s">
        <v>103</v>
      </c>
      <c r="BS604" t="s">
        <v>11942</v>
      </c>
      <c r="BT604" t="str">
        <f>HYPERLINK("https%3A%2F%2Fwww.webofscience.com%2Fwos%2Fwoscc%2Ffull-record%2FWOS:000485733300013","View Full Record in Web of Science")</f>
        <v>View Full Record in Web of Science</v>
      </c>
    </row>
    <row r="605" spans="1:72" x14ac:dyDescent="0.15">
      <c r="A605" t="s">
        <v>72</v>
      </c>
      <c r="B605" t="s">
        <v>11943</v>
      </c>
      <c r="C605" t="s">
        <v>74</v>
      </c>
      <c r="D605" t="s">
        <v>74</v>
      </c>
      <c r="E605" t="s">
        <v>74</v>
      </c>
      <c r="F605" t="s">
        <v>11944</v>
      </c>
      <c r="G605" t="s">
        <v>74</v>
      </c>
      <c r="H605" t="s">
        <v>74</v>
      </c>
      <c r="I605" t="s">
        <v>11945</v>
      </c>
      <c r="J605" t="s">
        <v>1565</v>
      </c>
      <c r="K605" t="s">
        <v>74</v>
      </c>
      <c r="L605" t="s">
        <v>74</v>
      </c>
      <c r="M605" t="s">
        <v>78</v>
      </c>
      <c r="N605" t="s">
        <v>108</v>
      </c>
      <c r="O605" t="s">
        <v>74</v>
      </c>
      <c r="P605" t="s">
        <v>74</v>
      </c>
      <c r="Q605" t="s">
        <v>74</v>
      </c>
      <c r="R605" t="s">
        <v>74</v>
      </c>
      <c r="S605" t="s">
        <v>74</v>
      </c>
      <c r="T605" t="s">
        <v>74</v>
      </c>
      <c r="U605" t="s">
        <v>11946</v>
      </c>
      <c r="V605" t="s">
        <v>11947</v>
      </c>
      <c r="W605" t="s">
        <v>11948</v>
      </c>
      <c r="X605" t="s">
        <v>11949</v>
      </c>
      <c r="Y605" t="s">
        <v>11950</v>
      </c>
      <c r="Z605" t="s">
        <v>11951</v>
      </c>
      <c r="AA605" t="s">
        <v>11952</v>
      </c>
      <c r="AB605" t="s">
        <v>11953</v>
      </c>
      <c r="AC605" t="s">
        <v>11954</v>
      </c>
      <c r="AD605" t="s">
        <v>11955</v>
      </c>
      <c r="AE605" t="s">
        <v>11956</v>
      </c>
      <c r="AF605" t="s">
        <v>74</v>
      </c>
      <c r="AG605">
        <v>35</v>
      </c>
      <c r="AH605">
        <v>13</v>
      </c>
      <c r="AI605">
        <v>13</v>
      </c>
      <c r="AJ605">
        <v>2</v>
      </c>
      <c r="AK605">
        <v>38</v>
      </c>
      <c r="AL605" t="s">
        <v>1577</v>
      </c>
      <c r="AM605" t="s">
        <v>183</v>
      </c>
      <c r="AN605" t="s">
        <v>1578</v>
      </c>
      <c r="AO605" t="s">
        <v>1579</v>
      </c>
      <c r="AP605" t="s">
        <v>1580</v>
      </c>
      <c r="AQ605" t="s">
        <v>74</v>
      </c>
      <c r="AR605" t="s">
        <v>1581</v>
      </c>
      <c r="AS605" t="s">
        <v>1582</v>
      </c>
      <c r="AT605" t="s">
        <v>11939</v>
      </c>
      <c r="AU605">
        <v>2019</v>
      </c>
      <c r="AV605">
        <v>53</v>
      </c>
      <c r="AW605">
        <v>12</v>
      </c>
      <c r="AX605" t="s">
        <v>74</v>
      </c>
      <c r="AY605" t="s">
        <v>74</v>
      </c>
      <c r="AZ605" t="s">
        <v>74</v>
      </c>
      <c r="BA605" t="s">
        <v>74</v>
      </c>
      <c r="BB605">
        <v>6757</v>
      </c>
      <c r="BC605">
        <v>6764</v>
      </c>
      <c r="BD605" t="s">
        <v>74</v>
      </c>
      <c r="BE605" t="s">
        <v>11957</v>
      </c>
      <c r="BF605" t="str">
        <f>HYPERLINK("http://dx.doi.org/10.1021/acs.est.9b00967","http://dx.doi.org/10.1021/acs.est.9b00967")</f>
        <v>http://dx.doi.org/10.1021/acs.est.9b00967</v>
      </c>
      <c r="BG605" t="s">
        <v>74</v>
      </c>
      <c r="BH605" t="s">
        <v>74</v>
      </c>
      <c r="BI605">
        <v>8</v>
      </c>
      <c r="BJ605" t="s">
        <v>1585</v>
      </c>
      <c r="BK605" t="s">
        <v>101</v>
      </c>
      <c r="BL605" t="s">
        <v>1586</v>
      </c>
      <c r="BM605" t="s">
        <v>11958</v>
      </c>
      <c r="BN605">
        <v>31120243</v>
      </c>
      <c r="BO605" t="s">
        <v>952</v>
      </c>
      <c r="BP605" t="s">
        <v>74</v>
      </c>
      <c r="BQ605" t="s">
        <v>74</v>
      </c>
      <c r="BR605" t="s">
        <v>103</v>
      </c>
      <c r="BS605" t="s">
        <v>11959</v>
      </c>
      <c r="BT605" t="str">
        <f>HYPERLINK("https%3A%2F%2Fwww.webofscience.com%2Fwos%2Fwoscc%2Ffull-record%2FWOS:000472682900018","View Full Record in Web of Science")</f>
        <v>View Full Record in Web of Science</v>
      </c>
    </row>
    <row r="606" spans="1:72" x14ac:dyDescent="0.15">
      <c r="A606" t="s">
        <v>72</v>
      </c>
      <c r="B606" t="s">
        <v>11960</v>
      </c>
      <c r="C606" t="s">
        <v>74</v>
      </c>
      <c r="D606" t="s">
        <v>74</v>
      </c>
      <c r="E606" t="s">
        <v>74</v>
      </c>
      <c r="F606" t="s">
        <v>11961</v>
      </c>
      <c r="G606" t="s">
        <v>74</v>
      </c>
      <c r="H606" t="s">
        <v>74</v>
      </c>
      <c r="I606" t="s">
        <v>11962</v>
      </c>
      <c r="J606" t="s">
        <v>2455</v>
      </c>
      <c r="K606" t="s">
        <v>74</v>
      </c>
      <c r="L606" t="s">
        <v>74</v>
      </c>
      <c r="M606" t="s">
        <v>78</v>
      </c>
      <c r="N606" t="s">
        <v>108</v>
      </c>
      <c r="O606" t="s">
        <v>74</v>
      </c>
      <c r="P606" t="s">
        <v>74</v>
      </c>
      <c r="Q606" t="s">
        <v>74</v>
      </c>
      <c r="R606" t="s">
        <v>74</v>
      </c>
      <c r="S606" t="s">
        <v>74</v>
      </c>
      <c r="T606" t="s">
        <v>74</v>
      </c>
      <c r="U606" t="s">
        <v>11963</v>
      </c>
      <c r="V606" t="s">
        <v>11964</v>
      </c>
      <c r="W606" t="s">
        <v>11965</v>
      </c>
      <c r="X606" t="s">
        <v>11966</v>
      </c>
      <c r="Y606" t="s">
        <v>11967</v>
      </c>
      <c r="Z606" t="s">
        <v>11968</v>
      </c>
      <c r="AA606" t="s">
        <v>11969</v>
      </c>
      <c r="AB606" t="s">
        <v>11970</v>
      </c>
      <c r="AC606" t="s">
        <v>11971</v>
      </c>
      <c r="AD606" t="s">
        <v>8661</v>
      </c>
      <c r="AE606" t="s">
        <v>11972</v>
      </c>
      <c r="AF606" t="s">
        <v>74</v>
      </c>
      <c r="AG606">
        <v>130</v>
      </c>
      <c r="AH606">
        <v>2</v>
      </c>
      <c r="AI606">
        <v>3</v>
      </c>
      <c r="AJ606">
        <v>0</v>
      </c>
      <c r="AK606">
        <v>4</v>
      </c>
      <c r="AL606" t="s">
        <v>839</v>
      </c>
      <c r="AM606" t="s">
        <v>840</v>
      </c>
      <c r="AN606" t="s">
        <v>841</v>
      </c>
      <c r="AO606" t="s">
        <v>2467</v>
      </c>
      <c r="AP606" t="s">
        <v>2468</v>
      </c>
      <c r="AQ606" t="s">
        <v>74</v>
      </c>
      <c r="AR606" t="s">
        <v>2469</v>
      </c>
      <c r="AS606" t="s">
        <v>2470</v>
      </c>
      <c r="AT606" t="s">
        <v>11939</v>
      </c>
      <c r="AU606">
        <v>2019</v>
      </c>
      <c r="AV606">
        <v>15</v>
      </c>
      <c r="AW606">
        <v>3</v>
      </c>
      <c r="AX606" t="s">
        <v>74</v>
      </c>
      <c r="AY606" t="s">
        <v>74</v>
      </c>
      <c r="AZ606" t="s">
        <v>74</v>
      </c>
      <c r="BA606" t="s">
        <v>74</v>
      </c>
      <c r="BB606">
        <v>1039</v>
      </c>
      <c r="BC606">
        <v>1062</v>
      </c>
      <c r="BD606" t="s">
        <v>74</v>
      </c>
      <c r="BE606" t="s">
        <v>11973</v>
      </c>
      <c r="BF606" t="str">
        <f>HYPERLINK("http://dx.doi.org/10.5194/cp-15-1039-2019","http://dx.doi.org/10.5194/cp-15-1039-2019")</f>
        <v>http://dx.doi.org/10.5194/cp-15-1039-2019</v>
      </c>
      <c r="BG606" t="s">
        <v>74</v>
      </c>
      <c r="BH606" t="s">
        <v>74</v>
      </c>
      <c r="BI606">
        <v>24</v>
      </c>
      <c r="BJ606" t="s">
        <v>2473</v>
      </c>
      <c r="BK606" t="s">
        <v>101</v>
      </c>
      <c r="BL606" t="s">
        <v>2474</v>
      </c>
      <c r="BM606" t="s">
        <v>11974</v>
      </c>
      <c r="BN606" t="s">
        <v>74</v>
      </c>
      <c r="BO606" t="s">
        <v>11975</v>
      </c>
      <c r="BP606" t="s">
        <v>74</v>
      </c>
      <c r="BQ606" t="s">
        <v>74</v>
      </c>
      <c r="BR606" t="s">
        <v>103</v>
      </c>
      <c r="BS606" t="s">
        <v>11976</v>
      </c>
      <c r="BT606" t="str">
        <f>HYPERLINK("https%3A%2F%2Fwww.webofscience.com%2Fwos%2Fwoscc%2Ffull-record%2FWOS:000472079400001","View Full Record in Web of Science")</f>
        <v>View Full Record in Web of Science</v>
      </c>
    </row>
    <row r="607" spans="1:72" x14ac:dyDescent="0.15">
      <c r="A607" t="s">
        <v>72</v>
      </c>
      <c r="B607" t="s">
        <v>11977</v>
      </c>
      <c r="C607" t="s">
        <v>74</v>
      </c>
      <c r="D607" t="s">
        <v>74</v>
      </c>
      <c r="E607" t="s">
        <v>74</v>
      </c>
      <c r="F607" t="s">
        <v>11978</v>
      </c>
      <c r="G607" t="s">
        <v>74</v>
      </c>
      <c r="H607" t="s">
        <v>74</v>
      </c>
      <c r="I607" t="s">
        <v>11979</v>
      </c>
      <c r="J607" t="s">
        <v>6605</v>
      </c>
      <c r="K607" t="s">
        <v>74</v>
      </c>
      <c r="L607" t="s">
        <v>74</v>
      </c>
      <c r="M607" t="s">
        <v>78</v>
      </c>
      <c r="N607" t="s">
        <v>108</v>
      </c>
      <c r="O607" t="s">
        <v>74</v>
      </c>
      <c r="P607" t="s">
        <v>74</v>
      </c>
      <c r="Q607" t="s">
        <v>74</v>
      </c>
      <c r="R607" t="s">
        <v>74</v>
      </c>
      <c r="S607" t="s">
        <v>74</v>
      </c>
      <c r="T607" t="s">
        <v>11980</v>
      </c>
      <c r="U607" t="s">
        <v>11981</v>
      </c>
      <c r="V607" t="s">
        <v>11982</v>
      </c>
      <c r="W607" t="s">
        <v>11983</v>
      </c>
      <c r="X607" t="s">
        <v>1965</v>
      </c>
      <c r="Y607" t="s">
        <v>11984</v>
      </c>
      <c r="Z607" t="s">
        <v>11985</v>
      </c>
      <c r="AA607" t="s">
        <v>11986</v>
      </c>
      <c r="AB607" t="s">
        <v>11987</v>
      </c>
      <c r="AC607" t="s">
        <v>74</v>
      </c>
      <c r="AD607" t="s">
        <v>74</v>
      </c>
      <c r="AE607" t="s">
        <v>74</v>
      </c>
      <c r="AF607" t="s">
        <v>74</v>
      </c>
      <c r="AG607">
        <v>28</v>
      </c>
      <c r="AH607">
        <v>100</v>
      </c>
      <c r="AI607">
        <v>104</v>
      </c>
      <c r="AJ607">
        <v>5</v>
      </c>
      <c r="AK607">
        <v>27</v>
      </c>
      <c r="AL607" t="s">
        <v>6618</v>
      </c>
      <c r="AM607" t="s">
        <v>183</v>
      </c>
      <c r="AN607" t="s">
        <v>6619</v>
      </c>
      <c r="AO607" t="s">
        <v>6620</v>
      </c>
      <c r="AP607" t="s">
        <v>74</v>
      </c>
      <c r="AQ607" t="s">
        <v>74</v>
      </c>
      <c r="AR607" t="s">
        <v>6622</v>
      </c>
      <c r="AS607" t="s">
        <v>6623</v>
      </c>
      <c r="AT607" t="s">
        <v>11939</v>
      </c>
      <c r="AU607">
        <v>2019</v>
      </c>
      <c r="AV607">
        <v>116</v>
      </c>
      <c r="AW607">
        <v>25</v>
      </c>
      <c r="AX607" t="s">
        <v>74</v>
      </c>
      <c r="AY607" t="s">
        <v>74</v>
      </c>
      <c r="AZ607" t="s">
        <v>74</v>
      </c>
      <c r="BA607" t="s">
        <v>74</v>
      </c>
      <c r="BB607">
        <v>12238</v>
      </c>
      <c r="BC607">
        <v>12243</v>
      </c>
      <c r="BD607" t="s">
        <v>74</v>
      </c>
      <c r="BE607" t="s">
        <v>11988</v>
      </c>
      <c r="BF607" t="str">
        <f>HYPERLINK("http://dx.doi.org/10.1073/pnas.1820344116","http://dx.doi.org/10.1073/pnas.1820344116")</f>
        <v>http://dx.doi.org/10.1073/pnas.1820344116</v>
      </c>
      <c r="BG607" t="s">
        <v>74</v>
      </c>
      <c r="BH607" t="s">
        <v>74</v>
      </c>
      <c r="BI607">
        <v>6</v>
      </c>
      <c r="BJ607" t="s">
        <v>1004</v>
      </c>
      <c r="BK607" t="s">
        <v>101</v>
      </c>
      <c r="BL607" t="s">
        <v>1005</v>
      </c>
      <c r="BM607" t="s">
        <v>11989</v>
      </c>
      <c r="BN607">
        <v>31138680</v>
      </c>
      <c r="BO607" t="s">
        <v>1125</v>
      </c>
      <c r="BP607" t="s">
        <v>1784</v>
      </c>
      <c r="BQ607" t="s">
        <v>1785</v>
      </c>
      <c r="BR607" t="s">
        <v>103</v>
      </c>
      <c r="BS607" t="s">
        <v>11990</v>
      </c>
      <c r="BT607" t="str">
        <f>HYPERLINK("https%3A%2F%2Fwww.webofscience.com%2Fwos%2Fwoscc%2Ffull-record%2FWOS:000471887900027","View Full Record in Web of Science")</f>
        <v>View Full Record in Web of Science</v>
      </c>
    </row>
    <row r="608" spans="1:72" x14ac:dyDescent="0.15">
      <c r="A608" t="s">
        <v>72</v>
      </c>
      <c r="B608" t="s">
        <v>11991</v>
      </c>
      <c r="C608" t="s">
        <v>74</v>
      </c>
      <c r="D608" t="s">
        <v>74</v>
      </c>
      <c r="E608" t="s">
        <v>74</v>
      </c>
      <c r="F608" t="s">
        <v>11992</v>
      </c>
      <c r="G608" t="s">
        <v>74</v>
      </c>
      <c r="H608" t="s">
        <v>74</v>
      </c>
      <c r="I608" t="s">
        <v>11993</v>
      </c>
      <c r="J608" t="s">
        <v>884</v>
      </c>
      <c r="K608" t="s">
        <v>74</v>
      </c>
      <c r="L608" t="s">
        <v>74</v>
      </c>
      <c r="M608" t="s">
        <v>78</v>
      </c>
      <c r="N608" t="s">
        <v>108</v>
      </c>
      <c r="O608" t="s">
        <v>74</v>
      </c>
      <c r="P608" t="s">
        <v>74</v>
      </c>
      <c r="Q608" t="s">
        <v>74</v>
      </c>
      <c r="R608" t="s">
        <v>74</v>
      </c>
      <c r="S608" t="s">
        <v>74</v>
      </c>
      <c r="T608" t="s">
        <v>11994</v>
      </c>
      <c r="U608" t="s">
        <v>11995</v>
      </c>
      <c r="V608" t="s">
        <v>11996</v>
      </c>
      <c r="W608" t="s">
        <v>11997</v>
      </c>
      <c r="X608" t="s">
        <v>11998</v>
      </c>
      <c r="Y608" t="s">
        <v>11999</v>
      </c>
      <c r="Z608" t="s">
        <v>12000</v>
      </c>
      <c r="AA608" t="s">
        <v>12001</v>
      </c>
      <c r="AB608" t="s">
        <v>12002</v>
      </c>
      <c r="AC608" t="s">
        <v>12003</v>
      </c>
      <c r="AD608" t="s">
        <v>12004</v>
      </c>
      <c r="AE608" t="s">
        <v>12005</v>
      </c>
      <c r="AF608" t="s">
        <v>74</v>
      </c>
      <c r="AG608">
        <v>44</v>
      </c>
      <c r="AH608">
        <v>30</v>
      </c>
      <c r="AI608">
        <v>30</v>
      </c>
      <c r="AJ608">
        <v>2</v>
      </c>
      <c r="AK608">
        <v>6</v>
      </c>
      <c r="AL608" t="s">
        <v>182</v>
      </c>
      <c r="AM608" t="s">
        <v>183</v>
      </c>
      <c r="AN608" t="s">
        <v>184</v>
      </c>
      <c r="AO608" t="s">
        <v>896</v>
      </c>
      <c r="AP608" t="s">
        <v>897</v>
      </c>
      <c r="AQ608" t="s">
        <v>74</v>
      </c>
      <c r="AR608" t="s">
        <v>898</v>
      </c>
      <c r="AS608" t="s">
        <v>899</v>
      </c>
      <c r="AT608" t="s">
        <v>12006</v>
      </c>
      <c r="AU608">
        <v>2019</v>
      </c>
      <c r="AV608">
        <v>46</v>
      </c>
      <c r="AW608">
        <v>11</v>
      </c>
      <c r="AX608" t="s">
        <v>74</v>
      </c>
      <c r="AY608" t="s">
        <v>74</v>
      </c>
      <c r="AZ608" t="s">
        <v>74</v>
      </c>
      <c r="BA608" t="s">
        <v>74</v>
      </c>
      <c r="BB608">
        <v>5662</v>
      </c>
      <c r="BC608">
        <v>5669</v>
      </c>
      <c r="BD608" t="s">
        <v>74</v>
      </c>
      <c r="BE608" t="s">
        <v>12007</v>
      </c>
      <c r="BF608" t="str">
        <f>HYPERLINK("http://dx.doi.org/10.1029/2019GL083024","http://dx.doi.org/10.1029/2019GL083024")</f>
        <v>http://dx.doi.org/10.1029/2019GL083024</v>
      </c>
      <c r="BG608" t="s">
        <v>74</v>
      </c>
      <c r="BH608" t="s">
        <v>74</v>
      </c>
      <c r="BI608">
        <v>8</v>
      </c>
      <c r="BJ608" t="s">
        <v>471</v>
      </c>
      <c r="BK608" t="s">
        <v>101</v>
      </c>
      <c r="BL608" t="s">
        <v>472</v>
      </c>
      <c r="BM608" t="s">
        <v>12008</v>
      </c>
      <c r="BN608" t="s">
        <v>74</v>
      </c>
      <c r="BO608" t="s">
        <v>6249</v>
      </c>
      <c r="BP608" t="s">
        <v>74</v>
      </c>
      <c r="BQ608" t="s">
        <v>74</v>
      </c>
      <c r="BR608" t="s">
        <v>103</v>
      </c>
      <c r="BS608" t="s">
        <v>12009</v>
      </c>
      <c r="BT608" t="str">
        <f>HYPERLINK("https%3A%2F%2Fwww.webofscience.com%2Fwos%2Fwoscc%2Ffull-record%2FWOS:000477616200004","View Full Record in Web of Science")</f>
        <v>View Full Record in Web of Science</v>
      </c>
    </row>
    <row r="609" spans="1:72" x14ac:dyDescent="0.15">
      <c r="A609" t="s">
        <v>72</v>
      </c>
      <c r="B609" t="s">
        <v>12010</v>
      </c>
      <c r="C609" t="s">
        <v>74</v>
      </c>
      <c r="D609" t="s">
        <v>74</v>
      </c>
      <c r="E609" t="s">
        <v>74</v>
      </c>
      <c r="F609" t="s">
        <v>12011</v>
      </c>
      <c r="G609" t="s">
        <v>74</v>
      </c>
      <c r="H609" t="s">
        <v>74</v>
      </c>
      <c r="I609" t="s">
        <v>12012</v>
      </c>
      <c r="J609" t="s">
        <v>884</v>
      </c>
      <c r="K609" t="s">
        <v>74</v>
      </c>
      <c r="L609" t="s">
        <v>74</v>
      </c>
      <c r="M609" t="s">
        <v>78</v>
      </c>
      <c r="N609" t="s">
        <v>108</v>
      </c>
      <c r="O609" t="s">
        <v>74</v>
      </c>
      <c r="P609" t="s">
        <v>74</v>
      </c>
      <c r="Q609" t="s">
        <v>74</v>
      </c>
      <c r="R609" t="s">
        <v>74</v>
      </c>
      <c r="S609" t="s">
        <v>74</v>
      </c>
      <c r="T609" t="s">
        <v>12013</v>
      </c>
      <c r="U609" t="s">
        <v>12014</v>
      </c>
      <c r="V609" t="s">
        <v>12015</v>
      </c>
      <c r="W609" t="s">
        <v>12016</v>
      </c>
      <c r="X609" t="s">
        <v>12017</v>
      </c>
      <c r="Y609" t="s">
        <v>12018</v>
      </c>
      <c r="Z609" t="s">
        <v>12019</v>
      </c>
      <c r="AA609" t="s">
        <v>12020</v>
      </c>
      <c r="AB609" t="s">
        <v>12021</v>
      </c>
      <c r="AC609" t="s">
        <v>12022</v>
      </c>
      <c r="AD609" t="s">
        <v>12023</v>
      </c>
      <c r="AE609" t="s">
        <v>12024</v>
      </c>
      <c r="AF609" t="s">
        <v>74</v>
      </c>
      <c r="AG609">
        <v>41</v>
      </c>
      <c r="AH609">
        <v>14</v>
      </c>
      <c r="AI609">
        <v>16</v>
      </c>
      <c r="AJ609">
        <v>1</v>
      </c>
      <c r="AK609">
        <v>10</v>
      </c>
      <c r="AL609" t="s">
        <v>182</v>
      </c>
      <c r="AM609" t="s">
        <v>183</v>
      </c>
      <c r="AN609" t="s">
        <v>184</v>
      </c>
      <c r="AO609" t="s">
        <v>896</v>
      </c>
      <c r="AP609" t="s">
        <v>897</v>
      </c>
      <c r="AQ609" t="s">
        <v>74</v>
      </c>
      <c r="AR609" t="s">
        <v>898</v>
      </c>
      <c r="AS609" t="s">
        <v>899</v>
      </c>
      <c r="AT609" t="s">
        <v>12006</v>
      </c>
      <c r="AU609">
        <v>2019</v>
      </c>
      <c r="AV609">
        <v>46</v>
      </c>
      <c r="AW609">
        <v>11</v>
      </c>
      <c r="AX609" t="s">
        <v>74</v>
      </c>
      <c r="AY609" t="s">
        <v>74</v>
      </c>
      <c r="AZ609" t="s">
        <v>74</v>
      </c>
      <c r="BA609" t="s">
        <v>74</v>
      </c>
      <c r="BB609">
        <v>5928</v>
      </c>
      <c r="BC609">
        <v>5936</v>
      </c>
      <c r="BD609" t="s">
        <v>74</v>
      </c>
      <c r="BE609" t="s">
        <v>12025</v>
      </c>
      <c r="BF609" t="str">
        <f>HYPERLINK("http://dx.doi.org/10.1029/2019GL082971","http://dx.doi.org/10.1029/2019GL082971")</f>
        <v>http://dx.doi.org/10.1029/2019GL082971</v>
      </c>
      <c r="BG609" t="s">
        <v>74</v>
      </c>
      <c r="BH609" t="s">
        <v>74</v>
      </c>
      <c r="BI609">
        <v>9</v>
      </c>
      <c r="BJ609" t="s">
        <v>471</v>
      </c>
      <c r="BK609" t="s">
        <v>101</v>
      </c>
      <c r="BL609" t="s">
        <v>472</v>
      </c>
      <c r="BM609" t="s">
        <v>12008</v>
      </c>
      <c r="BN609" t="s">
        <v>74</v>
      </c>
      <c r="BO609" t="s">
        <v>3246</v>
      </c>
      <c r="BP609" t="s">
        <v>74</v>
      </c>
      <c r="BQ609" t="s">
        <v>74</v>
      </c>
      <c r="BR609" t="s">
        <v>103</v>
      </c>
      <c r="BS609" t="s">
        <v>12026</v>
      </c>
      <c r="BT609" t="str">
        <f>HYPERLINK("https%3A%2F%2Fwww.webofscience.com%2Fwos%2Fwoscc%2Ffull-record%2FWOS:000477616200033","View Full Record in Web of Science")</f>
        <v>View Full Record in Web of Science</v>
      </c>
    </row>
    <row r="610" spans="1:72" x14ac:dyDescent="0.15">
      <c r="A610" t="s">
        <v>72</v>
      </c>
      <c r="B610" t="s">
        <v>12027</v>
      </c>
      <c r="C610" t="s">
        <v>74</v>
      </c>
      <c r="D610" t="s">
        <v>74</v>
      </c>
      <c r="E610" t="s">
        <v>74</v>
      </c>
      <c r="F610" t="s">
        <v>12028</v>
      </c>
      <c r="G610" t="s">
        <v>74</v>
      </c>
      <c r="H610" t="s">
        <v>74</v>
      </c>
      <c r="I610" t="s">
        <v>12029</v>
      </c>
      <c r="J610" t="s">
        <v>884</v>
      </c>
      <c r="K610" t="s">
        <v>74</v>
      </c>
      <c r="L610" t="s">
        <v>74</v>
      </c>
      <c r="M610" t="s">
        <v>78</v>
      </c>
      <c r="N610" t="s">
        <v>108</v>
      </c>
      <c r="O610" t="s">
        <v>74</v>
      </c>
      <c r="P610" t="s">
        <v>74</v>
      </c>
      <c r="Q610" t="s">
        <v>74</v>
      </c>
      <c r="R610" t="s">
        <v>74</v>
      </c>
      <c r="S610" t="s">
        <v>74</v>
      </c>
      <c r="T610" t="s">
        <v>74</v>
      </c>
      <c r="U610" t="s">
        <v>12030</v>
      </c>
      <c r="V610" t="s">
        <v>12031</v>
      </c>
      <c r="W610" t="s">
        <v>12032</v>
      </c>
      <c r="X610" t="s">
        <v>12033</v>
      </c>
      <c r="Y610" t="s">
        <v>12034</v>
      </c>
      <c r="Z610" t="s">
        <v>12035</v>
      </c>
      <c r="AA610" t="s">
        <v>12036</v>
      </c>
      <c r="AB610" t="s">
        <v>12037</v>
      </c>
      <c r="AC610" t="s">
        <v>12038</v>
      </c>
      <c r="AD610" t="s">
        <v>12039</v>
      </c>
      <c r="AE610" t="s">
        <v>12040</v>
      </c>
      <c r="AF610" t="s">
        <v>74</v>
      </c>
      <c r="AG610">
        <v>67</v>
      </c>
      <c r="AH610">
        <v>57</v>
      </c>
      <c r="AI610">
        <v>59</v>
      </c>
      <c r="AJ610">
        <v>3</v>
      </c>
      <c r="AK610">
        <v>19</v>
      </c>
      <c r="AL610" t="s">
        <v>182</v>
      </c>
      <c r="AM610" t="s">
        <v>183</v>
      </c>
      <c r="AN610" t="s">
        <v>184</v>
      </c>
      <c r="AO610" t="s">
        <v>896</v>
      </c>
      <c r="AP610" t="s">
        <v>897</v>
      </c>
      <c r="AQ610" t="s">
        <v>74</v>
      </c>
      <c r="AR610" t="s">
        <v>898</v>
      </c>
      <c r="AS610" t="s">
        <v>899</v>
      </c>
      <c r="AT610" t="s">
        <v>12006</v>
      </c>
      <c r="AU610">
        <v>2019</v>
      </c>
      <c r="AV610">
        <v>46</v>
      </c>
      <c r="AW610">
        <v>11</v>
      </c>
      <c r="AX610" t="s">
        <v>74</v>
      </c>
      <c r="AY610" t="s">
        <v>74</v>
      </c>
      <c r="AZ610" t="s">
        <v>74</v>
      </c>
      <c r="BA610" t="s">
        <v>74</v>
      </c>
      <c r="BB610">
        <v>5948</v>
      </c>
      <c r="BC610">
        <v>5958</v>
      </c>
      <c r="BD610" t="s">
        <v>74</v>
      </c>
      <c r="BE610" t="s">
        <v>12041</v>
      </c>
      <c r="BF610" t="str">
        <f>HYPERLINK("http://dx.doi.org/10.1029/2019GL082457","http://dx.doi.org/10.1029/2019GL082457")</f>
        <v>http://dx.doi.org/10.1029/2019GL082457</v>
      </c>
      <c r="BG610" t="s">
        <v>74</v>
      </c>
      <c r="BH610" t="s">
        <v>74</v>
      </c>
      <c r="BI610">
        <v>11</v>
      </c>
      <c r="BJ610" t="s">
        <v>471</v>
      </c>
      <c r="BK610" t="s">
        <v>101</v>
      </c>
      <c r="BL610" t="s">
        <v>472</v>
      </c>
      <c r="BM610" t="s">
        <v>12008</v>
      </c>
      <c r="BN610" t="s">
        <v>74</v>
      </c>
      <c r="BO610" t="s">
        <v>6648</v>
      </c>
      <c r="BP610" t="s">
        <v>74</v>
      </c>
      <c r="BQ610" t="s">
        <v>74</v>
      </c>
      <c r="BR610" t="s">
        <v>103</v>
      </c>
      <c r="BS610" t="s">
        <v>12042</v>
      </c>
      <c r="BT610" t="str">
        <f>HYPERLINK("https%3A%2F%2Fwww.webofscience.com%2Fwos%2Fwoscc%2Ffull-record%2FWOS:000477616200035","View Full Record in Web of Science")</f>
        <v>View Full Record in Web of Science</v>
      </c>
    </row>
    <row r="611" spans="1:72" x14ac:dyDescent="0.15">
      <c r="A611" t="s">
        <v>72</v>
      </c>
      <c r="B611" t="s">
        <v>12043</v>
      </c>
      <c r="C611" t="s">
        <v>74</v>
      </c>
      <c r="D611" t="s">
        <v>74</v>
      </c>
      <c r="E611" t="s">
        <v>74</v>
      </c>
      <c r="F611" t="s">
        <v>12044</v>
      </c>
      <c r="G611" t="s">
        <v>74</v>
      </c>
      <c r="H611" t="s">
        <v>74</v>
      </c>
      <c r="I611" t="s">
        <v>12045</v>
      </c>
      <c r="J611" t="s">
        <v>884</v>
      </c>
      <c r="K611" t="s">
        <v>74</v>
      </c>
      <c r="L611" t="s">
        <v>74</v>
      </c>
      <c r="M611" t="s">
        <v>78</v>
      </c>
      <c r="N611" t="s">
        <v>108</v>
      </c>
      <c r="O611" t="s">
        <v>74</v>
      </c>
      <c r="P611" t="s">
        <v>74</v>
      </c>
      <c r="Q611" t="s">
        <v>74</v>
      </c>
      <c r="R611" t="s">
        <v>74</v>
      </c>
      <c r="S611" t="s">
        <v>74</v>
      </c>
      <c r="T611" t="s">
        <v>74</v>
      </c>
      <c r="U611" t="s">
        <v>12046</v>
      </c>
      <c r="V611" t="s">
        <v>12047</v>
      </c>
      <c r="W611" t="s">
        <v>12048</v>
      </c>
      <c r="X611" t="s">
        <v>12049</v>
      </c>
      <c r="Y611" t="s">
        <v>12050</v>
      </c>
      <c r="Z611" t="s">
        <v>8413</v>
      </c>
      <c r="AA611" t="s">
        <v>12051</v>
      </c>
      <c r="AB611" t="s">
        <v>12052</v>
      </c>
      <c r="AC611" t="s">
        <v>12053</v>
      </c>
      <c r="AD611" t="s">
        <v>12054</v>
      </c>
      <c r="AE611" t="s">
        <v>12055</v>
      </c>
      <c r="AF611" t="s">
        <v>74</v>
      </c>
      <c r="AG611">
        <v>46</v>
      </c>
      <c r="AH611">
        <v>20</v>
      </c>
      <c r="AI611">
        <v>22</v>
      </c>
      <c r="AJ611">
        <v>1</v>
      </c>
      <c r="AK611">
        <v>5</v>
      </c>
      <c r="AL611" t="s">
        <v>182</v>
      </c>
      <c r="AM611" t="s">
        <v>183</v>
      </c>
      <c r="AN611" t="s">
        <v>184</v>
      </c>
      <c r="AO611" t="s">
        <v>896</v>
      </c>
      <c r="AP611" t="s">
        <v>897</v>
      </c>
      <c r="AQ611" t="s">
        <v>74</v>
      </c>
      <c r="AR611" t="s">
        <v>898</v>
      </c>
      <c r="AS611" t="s">
        <v>899</v>
      </c>
      <c r="AT611" t="s">
        <v>12006</v>
      </c>
      <c r="AU611">
        <v>2019</v>
      </c>
      <c r="AV611">
        <v>46</v>
      </c>
      <c r="AW611">
        <v>11</v>
      </c>
      <c r="AX611" t="s">
        <v>74</v>
      </c>
      <c r="AY611" t="s">
        <v>74</v>
      </c>
      <c r="AZ611" t="s">
        <v>74</v>
      </c>
      <c r="BA611" t="s">
        <v>74</v>
      </c>
      <c r="BB611">
        <v>6024</v>
      </c>
      <c r="BC611">
        <v>6033</v>
      </c>
      <c r="BD611" t="s">
        <v>74</v>
      </c>
      <c r="BE611" t="s">
        <v>12056</v>
      </c>
      <c r="BF611" t="str">
        <f>HYPERLINK("http://dx.doi.org/10.1029/2019GL082850","http://dx.doi.org/10.1029/2019GL082850")</f>
        <v>http://dx.doi.org/10.1029/2019GL082850</v>
      </c>
      <c r="BG611" t="s">
        <v>74</v>
      </c>
      <c r="BH611" t="s">
        <v>74</v>
      </c>
      <c r="BI611">
        <v>10</v>
      </c>
      <c r="BJ611" t="s">
        <v>471</v>
      </c>
      <c r="BK611" t="s">
        <v>101</v>
      </c>
      <c r="BL611" t="s">
        <v>472</v>
      </c>
      <c r="BM611" t="s">
        <v>12008</v>
      </c>
      <c r="BN611" t="s">
        <v>74</v>
      </c>
      <c r="BO611" t="s">
        <v>6648</v>
      </c>
      <c r="BP611" t="s">
        <v>74</v>
      </c>
      <c r="BQ611" t="s">
        <v>74</v>
      </c>
      <c r="BR611" t="s">
        <v>103</v>
      </c>
      <c r="BS611" t="s">
        <v>12057</v>
      </c>
      <c r="BT611" t="str">
        <f>HYPERLINK("https%3A%2F%2Fwww.webofscience.com%2Fwos%2Fwoscc%2Ffull-record%2FWOS:000477616200043","View Full Record in Web of Science")</f>
        <v>View Full Record in Web of Science</v>
      </c>
    </row>
    <row r="612" spans="1:72" x14ac:dyDescent="0.15">
      <c r="A612" t="s">
        <v>72</v>
      </c>
      <c r="B612" t="s">
        <v>12058</v>
      </c>
      <c r="C612" t="s">
        <v>74</v>
      </c>
      <c r="D612" t="s">
        <v>74</v>
      </c>
      <c r="E612" t="s">
        <v>74</v>
      </c>
      <c r="F612" t="s">
        <v>12059</v>
      </c>
      <c r="G612" t="s">
        <v>74</v>
      </c>
      <c r="H612" t="s">
        <v>74</v>
      </c>
      <c r="I612" t="s">
        <v>12060</v>
      </c>
      <c r="J612" t="s">
        <v>884</v>
      </c>
      <c r="K612" t="s">
        <v>74</v>
      </c>
      <c r="L612" t="s">
        <v>74</v>
      </c>
      <c r="M612" t="s">
        <v>78</v>
      </c>
      <c r="N612" t="s">
        <v>108</v>
      </c>
      <c r="O612" t="s">
        <v>74</v>
      </c>
      <c r="P612" t="s">
        <v>74</v>
      </c>
      <c r="Q612" t="s">
        <v>74</v>
      </c>
      <c r="R612" t="s">
        <v>74</v>
      </c>
      <c r="S612" t="s">
        <v>74</v>
      </c>
      <c r="T612" t="s">
        <v>12061</v>
      </c>
      <c r="U612" t="s">
        <v>12062</v>
      </c>
      <c r="V612" t="s">
        <v>12063</v>
      </c>
      <c r="W612" t="s">
        <v>12064</v>
      </c>
      <c r="X612" t="s">
        <v>12065</v>
      </c>
      <c r="Y612" t="s">
        <v>12066</v>
      </c>
      <c r="Z612" t="s">
        <v>12067</v>
      </c>
      <c r="AA612" t="s">
        <v>12068</v>
      </c>
      <c r="AB612" t="s">
        <v>12069</v>
      </c>
      <c r="AC612" t="s">
        <v>12070</v>
      </c>
      <c r="AD612" t="s">
        <v>12071</v>
      </c>
      <c r="AE612" t="s">
        <v>12072</v>
      </c>
      <c r="AF612" t="s">
        <v>74</v>
      </c>
      <c r="AG612">
        <v>20</v>
      </c>
      <c r="AH612">
        <v>24</v>
      </c>
      <c r="AI612">
        <v>26</v>
      </c>
      <c r="AJ612">
        <v>3</v>
      </c>
      <c r="AK612">
        <v>25</v>
      </c>
      <c r="AL612" t="s">
        <v>182</v>
      </c>
      <c r="AM612" t="s">
        <v>183</v>
      </c>
      <c r="AN612" t="s">
        <v>184</v>
      </c>
      <c r="AO612" t="s">
        <v>896</v>
      </c>
      <c r="AP612" t="s">
        <v>897</v>
      </c>
      <c r="AQ612" t="s">
        <v>74</v>
      </c>
      <c r="AR612" t="s">
        <v>898</v>
      </c>
      <c r="AS612" t="s">
        <v>899</v>
      </c>
      <c r="AT612" t="s">
        <v>12006</v>
      </c>
      <c r="AU612">
        <v>2019</v>
      </c>
      <c r="AV612">
        <v>46</v>
      </c>
      <c r="AW612">
        <v>11</v>
      </c>
      <c r="AX612" t="s">
        <v>74</v>
      </c>
      <c r="AY612" t="s">
        <v>74</v>
      </c>
      <c r="AZ612" t="s">
        <v>74</v>
      </c>
      <c r="BA612" t="s">
        <v>74</v>
      </c>
      <c r="BB612">
        <v>6034</v>
      </c>
      <c r="BC612">
        <v>6040</v>
      </c>
      <c r="BD612" t="s">
        <v>74</v>
      </c>
      <c r="BE612" t="s">
        <v>12073</v>
      </c>
      <c r="BF612" t="str">
        <f>HYPERLINK("http://dx.doi.org/10.1029/2019GL083163","http://dx.doi.org/10.1029/2019GL083163")</f>
        <v>http://dx.doi.org/10.1029/2019GL083163</v>
      </c>
      <c r="BG612" t="s">
        <v>74</v>
      </c>
      <c r="BH612" t="s">
        <v>74</v>
      </c>
      <c r="BI612">
        <v>7</v>
      </c>
      <c r="BJ612" t="s">
        <v>471</v>
      </c>
      <c r="BK612" t="s">
        <v>101</v>
      </c>
      <c r="BL612" t="s">
        <v>472</v>
      </c>
      <c r="BM612" t="s">
        <v>12008</v>
      </c>
      <c r="BN612">
        <v>33505102</v>
      </c>
      <c r="BO612" t="s">
        <v>5300</v>
      </c>
      <c r="BP612" t="s">
        <v>74</v>
      </c>
      <c r="BQ612" t="s">
        <v>74</v>
      </c>
      <c r="BR612" t="s">
        <v>103</v>
      </c>
      <c r="BS612" t="s">
        <v>12074</v>
      </c>
      <c r="BT612" t="str">
        <f>HYPERLINK("https%3A%2F%2Fwww.webofscience.com%2Fwos%2Fwoscc%2Ffull-record%2FWOS:000477616200044","View Full Record in Web of Science")</f>
        <v>View Full Record in Web of Science</v>
      </c>
    </row>
    <row r="613" spans="1:72" x14ac:dyDescent="0.15">
      <c r="A613" t="s">
        <v>72</v>
      </c>
      <c r="B613" t="s">
        <v>12075</v>
      </c>
      <c r="C613" t="s">
        <v>74</v>
      </c>
      <c r="D613" t="s">
        <v>74</v>
      </c>
      <c r="E613" t="s">
        <v>74</v>
      </c>
      <c r="F613" t="s">
        <v>12076</v>
      </c>
      <c r="G613" t="s">
        <v>74</v>
      </c>
      <c r="H613" t="s">
        <v>74</v>
      </c>
      <c r="I613" t="s">
        <v>12077</v>
      </c>
      <c r="J613" t="s">
        <v>12078</v>
      </c>
      <c r="K613" t="s">
        <v>74</v>
      </c>
      <c r="L613" t="s">
        <v>74</v>
      </c>
      <c r="M613" t="s">
        <v>78</v>
      </c>
      <c r="N613" t="s">
        <v>108</v>
      </c>
      <c r="O613" t="s">
        <v>74</v>
      </c>
      <c r="P613" t="s">
        <v>74</v>
      </c>
      <c r="Q613" t="s">
        <v>74</v>
      </c>
      <c r="R613" t="s">
        <v>74</v>
      </c>
      <c r="S613" t="s">
        <v>74</v>
      </c>
      <c r="T613" t="s">
        <v>12079</v>
      </c>
      <c r="U613" t="s">
        <v>74</v>
      </c>
      <c r="V613" t="s">
        <v>12080</v>
      </c>
      <c r="W613" t="s">
        <v>12081</v>
      </c>
      <c r="X613" t="s">
        <v>12082</v>
      </c>
      <c r="Y613" t="s">
        <v>12083</v>
      </c>
      <c r="Z613" t="s">
        <v>12084</v>
      </c>
      <c r="AA613" t="s">
        <v>12085</v>
      </c>
      <c r="AB613" t="s">
        <v>12086</v>
      </c>
      <c r="AC613" t="s">
        <v>12087</v>
      </c>
      <c r="AD613" t="s">
        <v>12088</v>
      </c>
      <c r="AE613" t="s">
        <v>12089</v>
      </c>
      <c r="AF613" t="s">
        <v>74</v>
      </c>
      <c r="AG613">
        <v>44</v>
      </c>
      <c r="AH613">
        <v>4</v>
      </c>
      <c r="AI613">
        <v>5</v>
      </c>
      <c r="AJ613">
        <v>4</v>
      </c>
      <c r="AK613">
        <v>30</v>
      </c>
      <c r="AL613" t="s">
        <v>438</v>
      </c>
      <c r="AM613" t="s">
        <v>439</v>
      </c>
      <c r="AN613" t="s">
        <v>440</v>
      </c>
      <c r="AO613" t="s">
        <v>12090</v>
      </c>
      <c r="AP613" t="s">
        <v>12091</v>
      </c>
      <c r="AQ613" t="s">
        <v>74</v>
      </c>
      <c r="AR613" t="s">
        <v>12092</v>
      </c>
      <c r="AS613" t="s">
        <v>12093</v>
      </c>
      <c r="AT613" t="s">
        <v>12094</v>
      </c>
      <c r="AU613">
        <v>2019</v>
      </c>
      <c r="AV613">
        <v>64</v>
      </c>
      <c r="AW613">
        <v>11</v>
      </c>
      <c r="AX613" t="s">
        <v>74</v>
      </c>
      <c r="AY613" t="s">
        <v>74</v>
      </c>
      <c r="AZ613" t="s">
        <v>74</v>
      </c>
      <c r="BA613" t="s">
        <v>74</v>
      </c>
      <c r="BB613">
        <v>748</v>
      </c>
      <c r="BC613">
        <v>755</v>
      </c>
      <c r="BD613" t="s">
        <v>74</v>
      </c>
      <c r="BE613" t="s">
        <v>12095</v>
      </c>
      <c r="BF613" t="str">
        <f>HYPERLINK("http://dx.doi.org/10.1016/j.scib.2019.04.023","http://dx.doi.org/10.1016/j.scib.2019.04.023")</f>
        <v>http://dx.doi.org/10.1016/j.scib.2019.04.023</v>
      </c>
      <c r="BG613" t="s">
        <v>74</v>
      </c>
      <c r="BH613" t="s">
        <v>74</v>
      </c>
      <c r="BI613">
        <v>8</v>
      </c>
      <c r="BJ613" t="s">
        <v>1004</v>
      </c>
      <c r="BK613" t="s">
        <v>101</v>
      </c>
      <c r="BL613" t="s">
        <v>1005</v>
      </c>
      <c r="BM613" t="s">
        <v>12096</v>
      </c>
      <c r="BN613">
        <v>36659544</v>
      </c>
      <c r="BO613" t="s">
        <v>164</v>
      </c>
      <c r="BP613" t="s">
        <v>74</v>
      </c>
      <c r="BQ613" t="s">
        <v>74</v>
      </c>
      <c r="BR613" t="s">
        <v>103</v>
      </c>
      <c r="BS613" t="s">
        <v>12097</v>
      </c>
      <c r="BT613" t="str">
        <f>HYPERLINK("https%3A%2F%2Fwww.webofscience.com%2Fwos%2Fwoscc%2Ffull-record%2FWOS:000472947800005","View Full Record in Web of Science")</f>
        <v>View Full Record in Web of Science</v>
      </c>
    </row>
    <row r="614" spans="1:72" x14ac:dyDescent="0.15">
      <c r="A614" t="s">
        <v>72</v>
      </c>
      <c r="B614" t="s">
        <v>12098</v>
      </c>
      <c r="C614" t="s">
        <v>74</v>
      </c>
      <c r="D614" t="s">
        <v>74</v>
      </c>
      <c r="E614" t="s">
        <v>74</v>
      </c>
      <c r="F614" t="s">
        <v>12099</v>
      </c>
      <c r="G614" t="s">
        <v>74</v>
      </c>
      <c r="H614" t="s">
        <v>74</v>
      </c>
      <c r="I614" t="s">
        <v>12100</v>
      </c>
      <c r="J614" t="s">
        <v>2044</v>
      </c>
      <c r="K614" t="s">
        <v>74</v>
      </c>
      <c r="L614" t="s">
        <v>74</v>
      </c>
      <c r="M614" t="s">
        <v>78</v>
      </c>
      <c r="N614" t="s">
        <v>108</v>
      </c>
      <c r="O614" t="s">
        <v>74</v>
      </c>
      <c r="P614" t="s">
        <v>74</v>
      </c>
      <c r="Q614" t="s">
        <v>74</v>
      </c>
      <c r="R614" t="s">
        <v>74</v>
      </c>
      <c r="S614" t="s">
        <v>74</v>
      </c>
      <c r="T614" t="s">
        <v>12101</v>
      </c>
      <c r="U614" t="s">
        <v>12102</v>
      </c>
      <c r="V614" t="s">
        <v>12103</v>
      </c>
      <c r="W614" t="s">
        <v>12104</v>
      </c>
      <c r="X614" t="s">
        <v>12105</v>
      </c>
      <c r="Y614" t="s">
        <v>12106</v>
      </c>
      <c r="Z614" t="s">
        <v>12107</v>
      </c>
      <c r="AA614" t="s">
        <v>12108</v>
      </c>
      <c r="AB614" t="s">
        <v>74</v>
      </c>
      <c r="AC614" t="s">
        <v>12109</v>
      </c>
      <c r="AD614" t="s">
        <v>12110</v>
      </c>
      <c r="AE614" t="s">
        <v>12111</v>
      </c>
      <c r="AF614" t="s">
        <v>74</v>
      </c>
      <c r="AG614">
        <v>78</v>
      </c>
      <c r="AH614">
        <v>14</v>
      </c>
      <c r="AI614">
        <v>14</v>
      </c>
      <c r="AJ614">
        <v>3</v>
      </c>
      <c r="AK614">
        <v>28</v>
      </c>
      <c r="AL614" t="s">
        <v>92</v>
      </c>
      <c r="AM614" t="s">
        <v>93</v>
      </c>
      <c r="AN614" t="s">
        <v>94</v>
      </c>
      <c r="AO614" t="s">
        <v>2057</v>
      </c>
      <c r="AP614" t="s">
        <v>2110</v>
      </c>
      <c r="AQ614" t="s">
        <v>74</v>
      </c>
      <c r="AR614" t="s">
        <v>2058</v>
      </c>
      <c r="AS614" t="s">
        <v>2059</v>
      </c>
      <c r="AT614" t="s">
        <v>12094</v>
      </c>
      <c r="AU614">
        <v>2019</v>
      </c>
      <c r="AV614">
        <v>214</v>
      </c>
      <c r="AW614" t="s">
        <v>74</v>
      </c>
      <c r="AX614" t="s">
        <v>74</v>
      </c>
      <c r="AY614" t="s">
        <v>74</v>
      </c>
      <c r="AZ614" t="s">
        <v>74</v>
      </c>
      <c r="BA614" t="s">
        <v>74</v>
      </c>
      <c r="BB614">
        <v>44</v>
      </c>
      <c r="BC614">
        <v>53</v>
      </c>
      <c r="BD614" t="s">
        <v>74</v>
      </c>
      <c r="BE614" t="s">
        <v>12112</v>
      </c>
      <c r="BF614" t="str">
        <f>HYPERLINK("http://dx.doi.org/10.1016/j.quascirev.2019.04.026","http://dx.doi.org/10.1016/j.quascirev.2019.04.026")</f>
        <v>http://dx.doi.org/10.1016/j.quascirev.2019.04.026</v>
      </c>
      <c r="BG614" t="s">
        <v>74</v>
      </c>
      <c r="BH614" t="s">
        <v>74</v>
      </c>
      <c r="BI614">
        <v>10</v>
      </c>
      <c r="BJ614" t="s">
        <v>310</v>
      </c>
      <c r="BK614" t="s">
        <v>101</v>
      </c>
      <c r="BL614" t="s">
        <v>311</v>
      </c>
      <c r="BM614" t="s">
        <v>12113</v>
      </c>
      <c r="BN614" t="s">
        <v>74</v>
      </c>
      <c r="BO614" t="s">
        <v>74</v>
      </c>
      <c r="BP614" t="s">
        <v>74</v>
      </c>
      <c r="BQ614" t="s">
        <v>74</v>
      </c>
      <c r="BR614" t="s">
        <v>103</v>
      </c>
      <c r="BS614" t="s">
        <v>12114</v>
      </c>
      <c r="BT614" t="str">
        <f>HYPERLINK("https%3A%2F%2Fwww.webofscience.com%2Fwos%2Fwoscc%2Ffull-record%2FWOS:000471738800003","View Full Record in Web of Science")</f>
        <v>View Full Record in Web of Science</v>
      </c>
    </row>
    <row r="615" spans="1:72" x14ac:dyDescent="0.15">
      <c r="A615" t="s">
        <v>72</v>
      </c>
      <c r="B615" t="s">
        <v>12115</v>
      </c>
      <c r="C615" t="s">
        <v>74</v>
      </c>
      <c r="D615" t="s">
        <v>74</v>
      </c>
      <c r="E615" t="s">
        <v>74</v>
      </c>
      <c r="F615" t="s">
        <v>12116</v>
      </c>
      <c r="G615" t="s">
        <v>74</v>
      </c>
      <c r="H615" t="s">
        <v>74</v>
      </c>
      <c r="I615" t="s">
        <v>12117</v>
      </c>
      <c r="J615" t="s">
        <v>2117</v>
      </c>
      <c r="K615" t="s">
        <v>74</v>
      </c>
      <c r="L615" t="s">
        <v>74</v>
      </c>
      <c r="M615" t="s">
        <v>78</v>
      </c>
      <c r="N615" t="s">
        <v>108</v>
      </c>
      <c r="O615" t="s">
        <v>74</v>
      </c>
      <c r="P615" t="s">
        <v>74</v>
      </c>
      <c r="Q615" t="s">
        <v>74</v>
      </c>
      <c r="R615" t="s">
        <v>74</v>
      </c>
      <c r="S615" t="s">
        <v>74</v>
      </c>
      <c r="T615" t="s">
        <v>12118</v>
      </c>
      <c r="U615" t="s">
        <v>12119</v>
      </c>
      <c r="V615" t="s">
        <v>12120</v>
      </c>
      <c r="W615" t="s">
        <v>12121</v>
      </c>
      <c r="X615" t="s">
        <v>84</v>
      </c>
      <c r="Y615" t="s">
        <v>12122</v>
      </c>
      <c r="Z615" t="s">
        <v>12123</v>
      </c>
      <c r="AA615" t="s">
        <v>12124</v>
      </c>
      <c r="AB615" t="s">
        <v>12125</v>
      </c>
      <c r="AC615" t="s">
        <v>12126</v>
      </c>
      <c r="AD615" t="s">
        <v>12126</v>
      </c>
      <c r="AE615" t="s">
        <v>12127</v>
      </c>
      <c r="AF615" t="s">
        <v>74</v>
      </c>
      <c r="AG615">
        <v>54</v>
      </c>
      <c r="AH615">
        <v>6</v>
      </c>
      <c r="AI615">
        <v>6</v>
      </c>
      <c r="AJ615">
        <v>1</v>
      </c>
      <c r="AK615">
        <v>22</v>
      </c>
      <c r="AL615" t="s">
        <v>438</v>
      </c>
      <c r="AM615" t="s">
        <v>439</v>
      </c>
      <c r="AN615" t="s">
        <v>440</v>
      </c>
      <c r="AO615" t="s">
        <v>2129</v>
      </c>
      <c r="AP615" t="s">
        <v>2130</v>
      </c>
      <c r="AQ615" t="s">
        <v>74</v>
      </c>
      <c r="AR615" t="s">
        <v>2117</v>
      </c>
      <c r="AS615" t="s">
        <v>2131</v>
      </c>
      <c r="AT615" t="s">
        <v>12094</v>
      </c>
      <c r="AU615">
        <v>2019</v>
      </c>
      <c r="AV615">
        <v>508</v>
      </c>
      <c r="AW615" t="s">
        <v>74</v>
      </c>
      <c r="AX615" t="s">
        <v>74</v>
      </c>
      <c r="AY615" t="s">
        <v>74</v>
      </c>
      <c r="AZ615" t="s">
        <v>74</v>
      </c>
      <c r="BA615" t="s">
        <v>74</v>
      </c>
      <c r="BB615">
        <v>192</v>
      </c>
      <c r="BC615">
        <v>198</v>
      </c>
      <c r="BD615" t="s">
        <v>74</v>
      </c>
      <c r="BE615" t="s">
        <v>12128</v>
      </c>
      <c r="BF615" t="str">
        <f>HYPERLINK("http://dx.doi.org/10.1016/j.aquaculture.2019.05.005","http://dx.doi.org/10.1016/j.aquaculture.2019.05.005")</f>
        <v>http://dx.doi.org/10.1016/j.aquaculture.2019.05.005</v>
      </c>
      <c r="BG615" t="s">
        <v>74</v>
      </c>
      <c r="BH615" t="s">
        <v>74</v>
      </c>
      <c r="BI615">
        <v>7</v>
      </c>
      <c r="BJ615" t="s">
        <v>162</v>
      </c>
      <c r="BK615" t="s">
        <v>101</v>
      </c>
      <c r="BL615" t="s">
        <v>162</v>
      </c>
      <c r="BM615" t="s">
        <v>12129</v>
      </c>
      <c r="BN615" t="s">
        <v>74</v>
      </c>
      <c r="BO615" t="s">
        <v>74</v>
      </c>
      <c r="BP615" t="s">
        <v>74</v>
      </c>
      <c r="BQ615" t="s">
        <v>74</v>
      </c>
      <c r="BR615" t="s">
        <v>103</v>
      </c>
      <c r="BS615" t="s">
        <v>12130</v>
      </c>
      <c r="BT615" t="str">
        <f>HYPERLINK("https%3A%2F%2Fwww.webofscience.com%2Fwos%2Fwoscc%2Ffull-record%2FWOS:000469922700023","View Full Record in Web of Science")</f>
        <v>View Full Record in Web of Science</v>
      </c>
    </row>
    <row r="616" spans="1:72" x14ac:dyDescent="0.15">
      <c r="A616" t="s">
        <v>72</v>
      </c>
      <c r="B616" t="s">
        <v>12131</v>
      </c>
      <c r="C616" t="s">
        <v>74</v>
      </c>
      <c r="D616" t="s">
        <v>74</v>
      </c>
      <c r="E616" t="s">
        <v>74</v>
      </c>
      <c r="F616" t="s">
        <v>12132</v>
      </c>
      <c r="G616" t="s">
        <v>74</v>
      </c>
      <c r="H616" t="s">
        <v>74</v>
      </c>
      <c r="I616" t="s">
        <v>12133</v>
      </c>
      <c r="J616" t="s">
        <v>10999</v>
      </c>
      <c r="K616" t="s">
        <v>74</v>
      </c>
      <c r="L616" t="s">
        <v>74</v>
      </c>
      <c r="M616" t="s">
        <v>78</v>
      </c>
      <c r="N616" t="s">
        <v>108</v>
      </c>
      <c r="O616" t="s">
        <v>74</v>
      </c>
      <c r="P616" t="s">
        <v>74</v>
      </c>
      <c r="Q616" t="s">
        <v>74</v>
      </c>
      <c r="R616" t="s">
        <v>74</v>
      </c>
      <c r="S616" t="s">
        <v>74</v>
      </c>
      <c r="T616" t="s">
        <v>12134</v>
      </c>
      <c r="U616" t="s">
        <v>12135</v>
      </c>
      <c r="V616" t="s">
        <v>12136</v>
      </c>
      <c r="W616" t="s">
        <v>12137</v>
      </c>
      <c r="X616" t="s">
        <v>12138</v>
      </c>
      <c r="Y616" t="s">
        <v>12139</v>
      </c>
      <c r="Z616" t="s">
        <v>12140</v>
      </c>
      <c r="AA616" t="s">
        <v>12141</v>
      </c>
      <c r="AB616" t="s">
        <v>12142</v>
      </c>
      <c r="AC616" t="s">
        <v>12143</v>
      </c>
      <c r="AD616" t="s">
        <v>12144</v>
      </c>
      <c r="AE616" t="s">
        <v>12145</v>
      </c>
      <c r="AF616" t="s">
        <v>74</v>
      </c>
      <c r="AG616">
        <v>69</v>
      </c>
      <c r="AH616">
        <v>22</v>
      </c>
      <c r="AI616">
        <v>28</v>
      </c>
      <c r="AJ616">
        <v>0</v>
      </c>
      <c r="AK616">
        <v>23</v>
      </c>
      <c r="AL616" t="s">
        <v>638</v>
      </c>
      <c r="AM616" t="s">
        <v>439</v>
      </c>
      <c r="AN616" t="s">
        <v>639</v>
      </c>
      <c r="AO616" t="s">
        <v>11011</v>
      </c>
      <c r="AP616" t="s">
        <v>11012</v>
      </c>
      <c r="AQ616" t="s">
        <v>74</v>
      </c>
      <c r="AR616" t="s">
        <v>11013</v>
      </c>
      <c r="AS616" t="s">
        <v>11014</v>
      </c>
      <c r="AT616" t="s">
        <v>12094</v>
      </c>
      <c r="AU616">
        <v>2019</v>
      </c>
      <c r="AV616">
        <v>326</v>
      </c>
      <c r="AW616" t="s">
        <v>74</v>
      </c>
      <c r="AX616" t="s">
        <v>74</v>
      </c>
      <c r="AY616" t="s">
        <v>74</v>
      </c>
      <c r="AZ616" t="s">
        <v>730</v>
      </c>
      <c r="BA616" t="s">
        <v>74</v>
      </c>
      <c r="BB616">
        <v>385</v>
      </c>
      <c r="BC616">
        <v>398</v>
      </c>
      <c r="BD616" t="s">
        <v>74</v>
      </c>
      <c r="BE616" t="s">
        <v>12146</v>
      </c>
      <c r="BF616" t="str">
        <f>HYPERLINK("http://dx.doi.org/10.1016/j.precamres.2017.12.045","http://dx.doi.org/10.1016/j.precamres.2017.12.045")</f>
        <v>http://dx.doi.org/10.1016/j.precamres.2017.12.045</v>
      </c>
      <c r="BG616" t="s">
        <v>74</v>
      </c>
      <c r="BH616" t="s">
        <v>74</v>
      </c>
      <c r="BI616">
        <v>14</v>
      </c>
      <c r="BJ616" t="s">
        <v>471</v>
      </c>
      <c r="BK616" t="s">
        <v>101</v>
      </c>
      <c r="BL616" t="s">
        <v>472</v>
      </c>
      <c r="BM616" t="s">
        <v>12147</v>
      </c>
      <c r="BN616" t="s">
        <v>74</v>
      </c>
      <c r="BO616" t="s">
        <v>74</v>
      </c>
      <c r="BP616" t="s">
        <v>74</v>
      </c>
      <c r="BQ616" t="s">
        <v>74</v>
      </c>
      <c r="BR616" t="s">
        <v>103</v>
      </c>
      <c r="BS616" t="s">
        <v>12148</v>
      </c>
      <c r="BT616" t="str">
        <f>HYPERLINK("https%3A%2F%2Fwww.webofscience.com%2Fwos%2Fwoscc%2Ffull-record%2FWOS:000469157300022","View Full Record in Web of Science")</f>
        <v>View Full Record in Web of Science</v>
      </c>
    </row>
    <row r="617" spans="1:72" x14ac:dyDescent="0.15">
      <c r="A617" t="s">
        <v>72</v>
      </c>
      <c r="B617" t="s">
        <v>12149</v>
      </c>
      <c r="C617" t="s">
        <v>74</v>
      </c>
      <c r="D617" t="s">
        <v>74</v>
      </c>
      <c r="E617" t="s">
        <v>74</v>
      </c>
      <c r="F617" t="s">
        <v>12150</v>
      </c>
      <c r="G617" t="s">
        <v>74</v>
      </c>
      <c r="H617" t="s">
        <v>74</v>
      </c>
      <c r="I617" t="s">
        <v>12151</v>
      </c>
      <c r="J617" t="s">
        <v>805</v>
      </c>
      <c r="K617" t="s">
        <v>74</v>
      </c>
      <c r="L617" t="s">
        <v>74</v>
      </c>
      <c r="M617" t="s">
        <v>78</v>
      </c>
      <c r="N617" t="s">
        <v>108</v>
      </c>
      <c r="O617" t="s">
        <v>74</v>
      </c>
      <c r="P617" t="s">
        <v>74</v>
      </c>
      <c r="Q617" t="s">
        <v>74</v>
      </c>
      <c r="R617" t="s">
        <v>74</v>
      </c>
      <c r="S617" t="s">
        <v>74</v>
      </c>
      <c r="T617" t="s">
        <v>12152</v>
      </c>
      <c r="U617" t="s">
        <v>12153</v>
      </c>
      <c r="V617" t="s">
        <v>12154</v>
      </c>
      <c r="W617" t="s">
        <v>12155</v>
      </c>
      <c r="X617" t="s">
        <v>12156</v>
      </c>
      <c r="Y617" t="s">
        <v>12157</v>
      </c>
      <c r="Z617" t="s">
        <v>12158</v>
      </c>
      <c r="AA617" t="s">
        <v>12159</v>
      </c>
      <c r="AB617" t="s">
        <v>74</v>
      </c>
      <c r="AC617" t="s">
        <v>12160</v>
      </c>
      <c r="AD617" t="s">
        <v>2346</v>
      </c>
      <c r="AE617" t="s">
        <v>12161</v>
      </c>
      <c r="AF617" t="s">
        <v>74</v>
      </c>
      <c r="AG617">
        <v>35</v>
      </c>
      <c r="AH617">
        <v>2</v>
      </c>
      <c r="AI617">
        <v>2</v>
      </c>
      <c r="AJ617">
        <v>2</v>
      </c>
      <c r="AK617">
        <v>12</v>
      </c>
      <c r="AL617" t="s">
        <v>438</v>
      </c>
      <c r="AM617" t="s">
        <v>439</v>
      </c>
      <c r="AN617" t="s">
        <v>440</v>
      </c>
      <c r="AO617" t="s">
        <v>818</v>
      </c>
      <c r="AP617" t="s">
        <v>819</v>
      </c>
      <c r="AQ617" t="s">
        <v>74</v>
      </c>
      <c r="AR617" t="s">
        <v>820</v>
      </c>
      <c r="AS617" t="s">
        <v>821</v>
      </c>
      <c r="AT617" t="s">
        <v>12094</v>
      </c>
      <c r="AU617">
        <v>2019</v>
      </c>
      <c r="AV617">
        <v>669</v>
      </c>
      <c r="AW617" t="s">
        <v>74</v>
      </c>
      <c r="AX617" t="s">
        <v>74</v>
      </c>
      <c r="AY617" t="s">
        <v>74</v>
      </c>
      <c r="AZ617" t="s">
        <v>74</v>
      </c>
      <c r="BA617" t="s">
        <v>74</v>
      </c>
      <c r="BB617">
        <v>505</v>
      </c>
      <c r="BC617">
        <v>511</v>
      </c>
      <c r="BD617" t="s">
        <v>74</v>
      </c>
      <c r="BE617" t="s">
        <v>12162</v>
      </c>
      <c r="BF617" t="str">
        <f>HYPERLINK("http://dx.doi.org/10.1016/j.scitotenv.2019.03.105","http://dx.doi.org/10.1016/j.scitotenv.2019.03.105")</f>
        <v>http://dx.doi.org/10.1016/j.scitotenv.2019.03.105</v>
      </c>
      <c r="BG617" t="s">
        <v>74</v>
      </c>
      <c r="BH617" t="s">
        <v>74</v>
      </c>
      <c r="BI617">
        <v>7</v>
      </c>
      <c r="BJ617" t="s">
        <v>797</v>
      </c>
      <c r="BK617" t="s">
        <v>101</v>
      </c>
      <c r="BL617" t="s">
        <v>799</v>
      </c>
      <c r="BM617" t="s">
        <v>12163</v>
      </c>
      <c r="BN617">
        <v>30884272</v>
      </c>
      <c r="BO617" t="s">
        <v>74</v>
      </c>
      <c r="BP617" t="s">
        <v>74</v>
      </c>
      <c r="BQ617" t="s">
        <v>74</v>
      </c>
      <c r="BR617" t="s">
        <v>103</v>
      </c>
      <c r="BS617" t="s">
        <v>12164</v>
      </c>
      <c r="BT617" t="str">
        <f>HYPERLINK("https%3A%2F%2Fwww.webofscience.com%2Fwos%2Fwoscc%2Ffull-record%2FWOS:000463663500048","View Full Record in Web of Science")</f>
        <v>View Full Record in Web of Science</v>
      </c>
    </row>
    <row r="618" spans="1:72" x14ac:dyDescent="0.15">
      <c r="A618" t="s">
        <v>72</v>
      </c>
      <c r="B618" t="s">
        <v>12165</v>
      </c>
      <c r="C618" t="s">
        <v>74</v>
      </c>
      <c r="D618" t="s">
        <v>74</v>
      </c>
      <c r="E618" t="s">
        <v>74</v>
      </c>
      <c r="F618" t="s">
        <v>12166</v>
      </c>
      <c r="G618" t="s">
        <v>74</v>
      </c>
      <c r="H618" t="s">
        <v>74</v>
      </c>
      <c r="I618" t="s">
        <v>12167</v>
      </c>
      <c r="J618" t="s">
        <v>855</v>
      </c>
      <c r="K618" t="s">
        <v>74</v>
      </c>
      <c r="L618" t="s">
        <v>74</v>
      </c>
      <c r="M618" t="s">
        <v>78</v>
      </c>
      <c r="N618" t="s">
        <v>79</v>
      </c>
      <c r="O618" t="s">
        <v>74</v>
      </c>
      <c r="P618" t="s">
        <v>74</v>
      </c>
      <c r="Q618" t="s">
        <v>74</v>
      </c>
      <c r="R618" t="s">
        <v>74</v>
      </c>
      <c r="S618" t="s">
        <v>74</v>
      </c>
      <c r="T618" t="s">
        <v>12168</v>
      </c>
      <c r="U618" t="s">
        <v>12169</v>
      </c>
      <c r="V618" t="s">
        <v>12170</v>
      </c>
      <c r="W618" t="s">
        <v>12171</v>
      </c>
      <c r="X618" t="s">
        <v>12172</v>
      </c>
      <c r="Y618" t="s">
        <v>12173</v>
      </c>
      <c r="Z618" t="s">
        <v>12174</v>
      </c>
      <c r="AA618" t="s">
        <v>12175</v>
      </c>
      <c r="AB618" t="s">
        <v>12176</v>
      </c>
      <c r="AC618" t="s">
        <v>12177</v>
      </c>
      <c r="AD618" t="s">
        <v>981</v>
      </c>
      <c r="AE618" t="s">
        <v>74</v>
      </c>
      <c r="AF618" t="s">
        <v>74</v>
      </c>
      <c r="AG618">
        <v>69</v>
      </c>
      <c r="AH618">
        <v>44</v>
      </c>
      <c r="AI618">
        <v>47</v>
      </c>
      <c r="AJ618">
        <v>12</v>
      </c>
      <c r="AK618">
        <v>93</v>
      </c>
      <c r="AL618" t="s">
        <v>868</v>
      </c>
      <c r="AM618" t="s">
        <v>869</v>
      </c>
      <c r="AN618" t="s">
        <v>870</v>
      </c>
      <c r="AO618" t="s">
        <v>74</v>
      </c>
      <c r="AP618" t="s">
        <v>871</v>
      </c>
      <c r="AQ618" t="s">
        <v>74</v>
      </c>
      <c r="AR618" t="s">
        <v>872</v>
      </c>
      <c r="AS618" t="s">
        <v>873</v>
      </c>
      <c r="AT618" t="s">
        <v>12178</v>
      </c>
      <c r="AU618">
        <v>2019</v>
      </c>
      <c r="AV618">
        <v>6</v>
      </c>
      <c r="AW618" t="s">
        <v>74</v>
      </c>
      <c r="AX618" t="s">
        <v>74</v>
      </c>
      <c r="AY618" t="s">
        <v>74</v>
      </c>
      <c r="AZ618" t="s">
        <v>74</v>
      </c>
      <c r="BA618" t="s">
        <v>74</v>
      </c>
      <c r="BB618" t="s">
        <v>74</v>
      </c>
      <c r="BC618" t="s">
        <v>74</v>
      </c>
      <c r="BD618">
        <v>321</v>
      </c>
      <c r="BE618" t="s">
        <v>12179</v>
      </c>
      <c r="BF618" t="str">
        <f>HYPERLINK("http://dx.doi.org/10.3389/fmars.2019.00321","http://dx.doi.org/10.3389/fmars.2019.00321")</f>
        <v>http://dx.doi.org/10.3389/fmars.2019.00321</v>
      </c>
      <c r="BG618" t="s">
        <v>74</v>
      </c>
      <c r="BH618" t="s">
        <v>74</v>
      </c>
      <c r="BI618">
        <v>14</v>
      </c>
      <c r="BJ618" t="s">
        <v>876</v>
      </c>
      <c r="BK618" t="s">
        <v>101</v>
      </c>
      <c r="BL618" t="s">
        <v>877</v>
      </c>
      <c r="BM618" t="s">
        <v>12180</v>
      </c>
      <c r="BN618" t="s">
        <v>74</v>
      </c>
      <c r="BO618" t="s">
        <v>4818</v>
      </c>
      <c r="BP618" t="s">
        <v>74</v>
      </c>
      <c r="BQ618" t="s">
        <v>74</v>
      </c>
      <c r="BR618" t="s">
        <v>103</v>
      </c>
      <c r="BS618" t="s">
        <v>12181</v>
      </c>
      <c r="BT618" t="str">
        <f>HYPERLINK("https%3A%2F%2Fwww.webofscience.com%2Fwos%2Fwoscc%2Ffull-record%2FWOS:000471700500001","View Full Record in Web of Science")</f>
        <v>View Full Record in Web of Science</v>
      </c>
    </row>
    <row r="619" spans="1:72" x14ac:dyDescent="0.15">
      <c r="A619" t="s">
        <v>72</v>
      </c>
      <c r="B619" t="s">
        <v>12182</v>
      </c>
      <c r="C619" t="s">
        <v>74</v>
      </c>
      <c r="D619" t="s">
        <v>74</v>
      </c>
      <c r="E619" t="s">
        <v>74</v>
      </c>
      <c r="F619" t="s">
        <v>12183</v>
      </c>
      <c r="G619" t="s">
        <v>74</v>
      </c>
      <c r="H619" t="s">
        <v>74</v>
      </c>
      <c r="I619" t="s">
        <v>12184</v>
      </c>
      <c r="J619" t="s">
        <v>855</v>
      </c>
      <c r="K619" t="s">
        <v>74</v>
      </c>
      <c r="L619" t="s">
        <v>74</v>
      </c>
      <c r="M619" t="s">
        <v>78</v>
      </c>
      <c r="N619" t="s">
        <v>108</v>
      </c>
      <c r="O619" t="s">
        <v>74</v>
      </c>
      <c r="P619" t="s">
        <v>74</v>
      </c>
      <c r="Q619" t="s">
        <v>74</v>
      </c>
      <c r="R619" t="s">
        <v>74</v>
      </c>
      <c r="S619" t="s">
        <v>74</v>
      </c>
      <c r="T619" t="s">
        <v>12185</v>
      </c>
      <c r="U619" t="s">
        <v>12186</v>
      </c>
      <c r="V619" t="s">
        <v>12187</v>
      </c>
      <c r="W619" t="s">
        <v>12188</v>
      </c>
      <c r="X619" t="s">
        <v>12189</v>
      </c>
      <c r="Y619" t="s">
        <v>12190</v>
      </c>
      <c r="Z619" t="s">
        <v>12191</v>
      </c>
      <c r="AA619" t="s">
        <v>12192</v>
      </c>
      <c r="AB619" t="s">
        <v>12193</v>
      </c>
      <c r="AC619" t="s">
        <v>12194</v>
      </c>
      <c r="AD619" t="s">
        <v>12195</v>
      </c>
      <c r="AE619" t="s">
        <v>12196</v>
      </c>
      <c r="AF619" t="s">
        <v>74</v>
      </c>
      <c r="AG619">
        <v>64</v>
      </c>
      <c r="AH619">
        <v>15</v>
      </c>
      <c r="AI619">
        <v>17</v>
      </c>
      <c r="AJ619">
        <v>0</v>
      </c>
      <c r="AK619">
        <v>6</v>
      </c>
      <c r="AL619" t="s">
        <v>868</v>
      </c>
      <c r="AM619" t="s">
        <v>869</v>
      </c>
      <c r="AN619" t="s">
        <v>870</v>
      </c>
      <c r="AO619" t="s">
        <v>74</v>
      </c>
      <c r="AP619" t="s">
        <v>871</v>
      </c>
      <c r="AQ619" t="s">
        <v>74</v>
      </c>
      <c r="AR619" t="s">
        <v>872</v>
      </c>
      <c r="AS619" t="s">
        <v>873</v>
      </c>
      <c r="AT619" t="s">
        <v>12178</v>
      </c>
      <c r="AU619">
        <v>2019</v>
      </c>
      <c r="AV619">
        <v>6</v>
      </c>
      <c r="AW619" t="s">
        <v>74</v>
      </c>
      <c r="AX619" t="s">
        <v>74</v>
      </c>
      <c r="AY619" t="s">
        <v>74</v>
      </c>
      <c r="AZ619" t="s">
        <v>74</v>
      </c>
      <c r="BA619" t="s">
        <v>74</v>
      </c>
      <c r="BB619" t="s">
        <v>74</v>
      </c>
      <c r="BC619" t="s">
        <v>74</v>
      </c>
      <c r="BD619">
        <v>311</v>
      </c>
      <c r="BE619" t="s">
        <v>12197</v>
      </c>
      <c r="BF619" t="str">
        <f>HYPERLINK("http://dx.doi.org/10.3389/fmars.2019.00311","http://dx.doi.org/10.3389/fmars.2019.00311")</f>
        <v>http://dx.doi.org/10.3389/fmars.2019.00311</v>
      </c>
      <c r="BG619" t="s">
        <v>74</v>
      </c>
      <c r="BH619" t="s">
        <v>74</v>
      </c>
      <c r="BI619">
        <v>11</v>
      </c>
      <c r="BJ619" t="s">
        <v>876</v>
      </c>
      <c r="BK619" t="s">
        <v>101</v>
      </c>
      <c r="BL619" t="s">
        <v>877</v>
      </c>
      <c r="BM619" t="s">
        <v>12198</v>
      </c>
      <c r="BN619" t="s">
        <v>74</v>
      </c>
      <c r="BO619" t="s">
        <v>313</v>
      </c>
      <c r="BP619" t="s">
        <v>74</v>
      </c>
      <c r="BQ619" t="s">
        <v>74</v>
      </c>
      <c r="BR619" t="s">
        <v>103</v>
      </c>
      <c r="BS619" t="s">
        <v>12199</v>
      </c>
      <c r="BT619" t="str">
        <f>HYPERLINK("https%3A%2F%2Fwww.webofscience.com%2Fwos%2Fwoscc%2Ffull-record%2FWOS:000471700100001","View Full Record in Web of Science")</f>
        <v>View Full Record in Web of Science</v>
      </c>
    </row>
    <row r="620" spans="1:72" x14ac:dyDescent="0.15">
      <c r="A620" t="s">
        <v>72</v>
      </c>
      <c r="B620" t="s">
        <v>12200</v>
      </c>
      <c r="C620" t="s">
        <v>74</v>
      </c>
      <c r="D620" t="s">
        <v>74</v>
      </c>
      <c r="E620" t="s">
        <v>74</v>
      </c>
      <c r="F620" t="s">
        <v>12201</v>
      </c>
      <c r="G620" t="s">
        <v>74</v>
      </c>
      <c r="H620" t="s">
        <v>74</v>
      </c>
      <c r="I620" t="s">
        <v>12202</v>
      </c>
      <c r="J620" t="s">
        <v>855</v>
      </c>
      <c r="K620" t="s">
        <v>74</v>
      </c>
      <c r="L620" t="s">
        <v>74</v>
      </c>
      <c r="M620" t="s">
        <v>78</v>
      </c>
      <c r="N620" t="s">
        <v>108</v>
      </c>
      <c r="O620" t="s">
        <v>74</v>
      </c>
      <c r="P620" t="s">
        <v>74</v>
      </c>
      <c r="Q620" t="s">
        <v>74</v>
      </c>
      <c r="R620" t="s">
        <v>74</v>
      </c>
      <c r="S620" t="s">
        <v>74</v>
      </c>
      <c r="T620" t="s">
        <v>12203</v>
      </c>
      <c r="U620" t="s">
        <v>12204</v>
      </c>
      <c r="V620" t="s">
        <v>12205</v>
      </c>
      <c r="W620" t="s">
        <v>12206</v>
      </c>
      <c r="X620" t="s">
        <v>12207</v>
      </c>
      <c r="Y620" t="s">
        <v>5432</v>
      </c>
      <c r="Z620" t="s">
        <v>5433</v>
      </c>
      <c r="AA620" t="s">
        <v>12208</v>
      </c>
      <c r="AB620" t="s">
        <v>12209</v>
      </c>
      <c r="AC620" t="s">
        <v>12210</v>
      </c>
      <c r="AD620" t="s">
        <v>12211</v>
      </c>
      <c r="AE620" t="s">
        <v>12212</v>
      </c>
      <c r="AF620" t="s">
        <v>74</v>
      </c>
      <c r="AG620">
        <v>80</v>
      </c>
      <c r="AH620">
        <v>24</v>
      </c>
      <c r="AI620">
        <v>24</v>
      </c>
      <c r="AJ620">
        <v>1</v>
      </c>
      <c r="AK620">
        <v>8</v>
      </c>
      <c r="AL620" t="s">
        <v>868</v>
      </c>
      <c r="AM620" t="s">
        <v>869</v>
      </c>
      <c r="AN620" t="s">
        <v>870</v>
      </c>
      <c r="AO620" t="s">
        <v>74</v>
      </c>
      <c r="AP620" t="s">
        <v>871</v>
      </c>
      <c r="AQ620" t="s">
        <v>74</v>
      </c>
      <c r="AR620" t="s">
        <v>872</v>
      </c>
      <c r="AS620" t="s">
        <v>873</v>
      </c>
      <c r="AT620" t="s">
        <v>12178</v>
      </c>
      <c r="AU620">
        <v>2019</v>
      </c>
      <c r="AV620">
        <v>6</v>
      </c>
      <c r="AW620" t="s">
        <v>74</v>
      </c>
      <c r="AX620" t="s">
        <v>74</v>
      </c>
      <c r="AY620" t="s">
        <v>74</v>
      </c>
      <c r="AZ620" t="s">
        <v>74</v>
      </c>
      <c r="BA620" t="s">
        <v>74</v>
      </c>
      <c r="BB620" t="s">
        <v>74</v>
      </c>
      <c r="BC620" t="s">
        <v>74</v>
      </c>
      <c r="BD620">
        <v>332</v>
      </c>
      <c r="BE620" t="s">
        <v>12213</v>
      </c>
      <c r="BF620" t="str">
        <f>HYPERLINK("http://dx.doi.org/10.3389/fmars.2019.00332","http://dx.doi.org/10.3389/fmars.2019.00332")</f>
        <v>http://dx.doi.org/10.3389/fmars.2019.00332</v>
      </c>
      <c r="BG620" t="s">
        <v>74</v>
      </c>
      <c r="BH620" t="s">
        <v>74</v>
      </c>
      <c r="BI620">
        <v>20</v>
      </c>
      <c r="BJ620" t="s">
        <v>876</v>
      </c>
      <c r="BK620" t="s">
        <v>101</v>
      </c>
      <c r="BL620" t="s">
        <v>877</v>
      </c>
      <c r="BM620" t="s">
        <v>12214</v>
      </c>
      <c r="BN620" t="s">
        <v>74</v>
      </c>
      <c r="BO620" t="s">
        <v>331</v>
      </c>
      <c r="BP620" t="s">
        <v>74</v>
      </c>
      <c r="BQ620" t="s">
        <v>74</v>
      </c>
      <c r="BR620" t="s">
        <v>103</v>
      </c>
      <c r="BS620" t="s">
        <v>12215</v>
      </c>
      <c r="BT620" t="str">
        <f>HYPERLINK("https%3A%2F%2Fwww.webofscience.com%2Fwos%2Fwoscc%2Ffull-record%2FWOS:000471701000001","View Full Record in Web of Science")</f>
        <v>View Full Record in Web of Science</v>
      </c>
    </row>
    <row r="621" spans="1:72" x14ac:dyDescent="0.15">
      <c r="A621" t="s">
        <v>72</v>
      </c>
      <c r="B621" t="s">
        <v>12216</v>
      </c>
      <c r="C621" t="s">
        <v>74</v>
      </c>
      <c r="D621" t="s">
        <v>74</v>
      </c>
      <c r="E621" t="s">
        <v>74</v>
      </c>
      <c r="F621" t="s">
        <v>12217</v>
      </c>
      <c r="G621" t="s">
        <v>74</v>
      </c>
      <c r="H621" t="s">
        <v>74</v>
      </c>
      <c r="I621" t="s">
        <v>12218</v>
      </c>
      <c r="J621" t="s">
        <v>1373</v>
      </c>
      <c r="K621" t="s">
        <v>74</v>
      </c>
      <c r="L621" t="s">
        <v>74</v>
      </c>
      <c r="M621" t="s">
        <v>78</v>
      </c>
      <c r="N621" t="s">
        <v>108</v>
      </c>
      <c r="O621" t="s">
        <v>74</v>
      </c>
      <c r="P621" t="s">
        <v>74</v>
      </c>
      <c r="Q621" t="s">
        <v>74</v>
      </c>
      <c r="R621" t="s">
        <v>74</v>
      </c>
      <c r="S621" t="s">
        <v>74</v>
      </c>
      <c r="T621" t="s">
        <v>74</v>
      </c>
      <c r="U621" t="s">
        <v>12219</v>
      </c>
      <c r="V621" t="s">
        <v>12220</v>
      </c>
      <c r="W621" t="s">
        <v>12221</v>
      </c>
      <c r="X621" t="s">
        <v>12222</v>
      </c>
      <c r="Y621" t="s">
        <v>12223</v>
      </c>
      <c r="Z621" t="s">
        <v>12224</v>
      </c>
      <c r="AA621" t="s">
        <v>12225</v>
      </c>
      <c r="AB621" t="s">
        <v>12226</v>
      </c>
      <c r="AC621" t="s">
        <v>12227</v>
      </c>
      <c r="AD621" t="s">
        <v>12228</v>
      </c>
      <c r="AE621" t="s">
        <v>12229</v>
      </c>
      <c r="AF621" t="s">
        <v>74</v>
      </c>
      <c r="AG621">
        <v>87</v>
      </c>
      <c r="AH621">
        <v>330</v>
      </c>
      <c r="AI621">
        <v>355</v>
      </c>
      <c r="AJ621">
        <v>30</v>
      </c>
      <c r="AK621">
        <v>163</v>
      </c>
      <c r="AL621" t="s">
        <v>7841</v>
      </c>
      <c r="AM621" t="s">
        <v>1020</v>
      </c>
      <c r="AN621" t="s">
        <v>1021</v>
      </c>
      <c r="AO621" t="s">
        <v>1385</v>
      </c>
      <c r="AP621" t="s">
        <v>74</v>
      </c>
      <c r="AQ621" t="s">
        <v>74</v>
      </c>
      <c r="AR621" t="s">
        <v>1386</v>
      </c>
      <c r="AS621" t="s">
        <v>1387</v>
      </c>
      <c r="AT621" t="s">
        <v>12178</v>
      </c>
      <c r="AU621">
        <v>2019</v>
      </c>
      <c r="AV621">
        <v>10</v>
      </c>
      <c r="AW621" t="s">
        <v>74</v>
      </c>
      <c r="AX621" t="s">
        <v>74</v>
      </c>
      <c r="AY621" t="s">
        <v>74</v>
      </c>
      <c r="AZ621" t="s">
        <v>74</v>
      </c>
      <c r="BA621" t="s">
        <v>74</v>
      </c>
      <c r="BB621" t="s">
        <v>74</v>
      </c>
      <c r="BC621" t="s">
        <v>74</v>
      </c>
      <c r="BD621">
        <v>2624</v>
      </c>
      <c r="BE621" t="s">
        <v>12230</v>
      </c>
      <c r="BF621" t="str">
        <f>HYPERLINK("http://dx.doi.org/10.1038/s41467-019-10206-z","http://dx.doi.org/10.1038/s41467-019-10206-z")</f>
        <v>http://dx.doi.org/10.1038/s41467-019-10206-z</v>
      </c>
      <c r="BG621" t="s">
        <v>74</v>
      </c>
      <c r="BH621" t="s">
        <v>74</v>
      </c>
      <c r="BI621">
        <v>13</v>
      </c>
      <c r="BJ621" t="s">
        <v>1004</v>
      </c>
      <c r="BK621" t="s">
        <v>101</v>
      </c>
      <c r="BL621" t="s">
        <v>1005</v>
      </c>
      <c r="BM621" t="s">
        <v>12231</v>
      </c>
      <c r="BN621">
        <v>31201309</v>
      </c>
      <c r="BO621" t="s">
        <v>4818</v>
      </c>
      <c r="BP621" t="s">
        <v>1784</v>
      </c>
      <c r="BQ621" t="s">
        <v>1785</v>
      </c>
      <c r="BR621" t="s">
        <v>103</v>
      </c>
      <c r="BS621" t="s">
        <v>12232</v>
      </c>
      <c r="BT621" t="str">
        <f>HYPERLINK("https%3A%2F%2Fwww.webofscience.com%2Fwos%2Fwoscc%2Ffull-record%2FWOS:000471586700001","View Full Record in Web of Science")</f>
        <v>View Full Record in Web of Science</v>
      </c>
    </row>
    <row r="622" spans="1:72" x14ac:dyDescent="0.15">
      <c r="A622" t="s">
        <v>72</v>
      </c>
      <c r="B622" t="s">
        <v>12233</v>
      </c>
      <c r="C622" t="s">
        <v>74</v>
      </c>
      <c r="D622" t="s">
        <v>74</v>
      </c>
      <c r="E622" t="s">
        <v>74</v>
      </c>
      <c r="F622" t="s">
        <v>12234</v>
      </c>
      <c r="G622" t="s">
        <v>74</v>
      </c>
      <c r="H622" t="s">
        <v>74</v>
      </c>
      <c r="I622" t="s">
        <v>12235</v>
      </c>
      <c r="J622" t="s">
        <v>12236</v>
      </c>
      <c r="K622" t="s">
        <v>74</v>
      </c>
      <c r="L622" t="s">
        <v>74</v>
      </c>
      <c r="M622" t="s">
        <v>78</v>
      </c>
      <c r="N622" t="s">
        <v>108</v>
      </c>
      <c r="O622" t="s">
        <v>74</v>
      </c>
      <c r="P622" t="s">
        <v>74</v>
      </c>
      <c r="Q622" t="s">
        <v>74</v>
      </c>
      <c r="R622" t="s">
        <v>74</v>
      </c>
      <c r="S622" t="s">
        <v>74</v>
      </c>
      <c r="T622" t="s">
        <v>12237</v>
      </c>
      <c r="U622" t="s">
        <v>12238</v>
      </c>
      <c r="V622" t="s">
        <v>12239</v>
      </c>
      <c r="W622" t="s">
        <v>12240</v>
      </c>
      <c r="X622" t="s">
        <v>12241</v>
      </c>
      <c r="Y622" t="s">
        <v>12242</v>
      </c>
      <c r="Z622" t="s">
        <v>12243</v>
      </c>
      <c r="AA622" t="s">
        <v>12244</v>
      </c>
      <c r="AB622" t="s">
        <v>12245</v>
      </c>
      <c r="AC622" t="s">
        <v>12246</v>
      </c>
      <c r="AD622" t="s">
        <v>12247</v>
      </c>
      <c r="AE622" t="s">
        <v>12248</v>
      </c>
      <c r="AF622" t="s">
        <v>74</v>
      </c>
      <c r="AG622">
        <v>26</v>
      </c>
      <c r="AH622">
        <v>2</v>
      </c>
      <c r="AI622">
        <v>2</v>
      </c>
      <c r="AJ622">
        <v>0</v>
      </c>
      <c r="AK622">
        <v>19</v>
      </c>
      <c r="AL622" t="s">
        <v>1274</v>
      </c>
      <c r="AM622" t="s">
        <v>1275</v>
      </c>
      <c r="AN622" t="s">
        <v>1276</v>
      </c>
      <c r="AO622" t="s">
        <v>12249</v>
      </c>
      <c r="AP622" t="s">
        <v>12250</v>
      </c>
      <c r="AQ622" t="s">
        <v>74</v>
      </c>
      <c r="AR622" t="s">
        <v>12251</v>
      </c>
      <c r="AS622" t="s">
        <v>12252</v>
      </c>
      <c r="AT622" t="s">
        <v>12253</v>
      </c>
      <c r="AU622">
        <v>2020</v>
      </c>
      <c r="AV622">
        <v>35</v>
      </c>
      <c r="AW622">
        <v>11</v>
      </c>
      <c r="AX622" t="s">
        <v>74</v>
      </c>
      <c r="AY622" t="s">
        <v>74</v>
      </c>
      <c r="AZ622" t="s">
        <v>74</v>
      </c>
      <c r="BA622" t="s">
        <v>74</v>
      </c>
      <c r="BB622">
        <v>1233</v>
      </c>
      <c r="BC622">
        <v>1244</v>
      </c>
      <c r="BD622" t="s">
        <v>74</v>
      </c>
      <c r="BE622" t="s">
        <v>12254</v>
      </c>
      <c r="BF622" t="str">
        <f>HYPERLINK("http://dx.doi.org/10.1080/10106049.2019.1576776","http://dx.doi.org/10.1080/10106049.2019.1576776")</f>
        <v>http://dx.doi.org/10.1080/10106049.2019.1576776</v>
      </c>
      <c r="BG622" t="s">
        <v>74</v>
      </c>
      <c r="BH622" t="s">
        <v>11304</v>
      </c>
      <c r="BI622">
        <v>12</v>
      </c>
      <c r="BJ622" t="s">
        <v>3647</v>
      </c>
      <c r="BK622" t="s">
        <v>101</v>
      </c>
      <c r="BL622" t="s">
        <v>3648</v>
      </c>
      <c r="BM622" t="s">
        <v>12255</v>
      </c>
      <c r="BN622" t="s">
        <v>74</v>
      </c>
      <c r="BO622" t="s">
        <v>74</v>
      </c>
      <c r="BP622" t="s">
        <v>74</v>
      </c>
      <c r="BQ622" t="s">
        <v>74</v>
      </c>
      <c r="BR622" t="s">
        <v>103</v>
      </c>
      <c r="BS622" t="s">
        <v>12256</v>
      </c>
      <c r="BT622" t="str">
        <f>HYPERLINK("https%3A%2F%2Fwww.webofscience.com%2Fwos%2Fwoscc%2Ffull-record%2FWOS:000472416300001","View Full Record in Web of Science")</f>
        <v>View Full Record in Web of Science</v>
      </c>
    </row>
    <row r="623" spans="1:72" x14ac:dyDescent="0.15">
      <c r="A623" t="s">
        <v>72</v>
      </c>
      <c r="B623" t="s">
        <v>12257</v>
      </c>
      <c r="C623" t="s">
        <v>74</v>
      </c>
      <c r="D623" t="s">
        <v>74</v>
      </c>
      <c r="E623" t="s">
        <v>74</v>
      </c>
      <c r="F623" t="s">
        <v>12258</v>
      </c>
      <c r="G623" t="s">
        <v>74</v>
      </c>
      <c r="H623" t="s">
        <v>74</v>
      </c>
      <c r="I623" t="s">
        <v>12259</v>
      </c>
      <c r="J623" t="s">
        <v>2024</v>
      </c>
      <c r="K623" t="s">
        <v>74</v>
      </c>
      <c r="L623" t="s">
        <v>74</v>
      </c>
      <c r="M623" t="s">
        <v>78</v>
      </c>
      <c r="N623" t="s">
        <v>108</v>
      </c>
      <c r="O623" t="s">
        <v>74</v>
      </c>
      <c r="P623" t="s">
        <v>74</v>
      </c>
      <c r="Q623" t="s">
        <v>74</v>
      </c>
      <c r="R623" t="s">
        <v>74</v>
      </c>
      <c r="S623" t="s">
        <v>74</v>
      </c>
      <c r="T623" t="s">
        <v>74</v>
      </c>
      <c r="U623" t="s">
        <v>12260</v>
      </c>
      <c r="V623" t="s">
        <v>12261</v>
      </c>
      <c r="W623" t="s">
        <v>12262</v>
      </c>
      <c r="X623" t="s">
        <v>12263</v>
      </c>
      <c r="Y623" t="s">
        <v>12264</v>
      </c>
      <c r="Z623" t="s">
        <v>12265</v>
      </c>
      <c r="AA623" t="s">
        <v>12266</v>
      </c>
      <c r="AB623" t="s">
        <v>12267</v>
      </c>
      <c r="AC623" t="s">
        <v>12268</v>
      </c>
      <c r="AD623" t="s">
        <v>12269</v>
      </c>
      <c r="AE623" t="s">
        <v>12270</v>
      </c>
      <c r="AF623" t="s">
        <v>74</v>
      </c>
      <c r="AG623">
        <v>99</v>
      </c>
      <c r="AH623">
        <v>15</v>
      </c>
      <c r="AI623">
        <v>17</v>
      </c>
      <c r="AJ623">
        <v>0</v>
      </c>
      <c r="AK623">
        <v>18</v>
      </c>
      <c r="AL623" t="s">
        <v>2032</v>
      </c>
      <c r="AM623" t="s">
        <v>2033</v>
      </c>
      <c r="AN623" t="s">
        <v>2034</v>
      </c>
      <c r="AO623" t="s">
        <v>2035</v>
      </c>
      <c r="AP623" t="s">
        <v>74</v>
      </c>
      <c r="AQ623" t="s">
        <v>74</v>
      </c>
      <c r="AR623" t="s">
        <v>2024</v>
      </c>
      <c r="AS623" t="s">
        <v>2036</v>
      </c>
      <c r="AT623" t="s">
        <v>12271</v>
      </c>
      <c r="AU623">
        <v>2019</v>
      </c>
      <c r="AV623">
        <v>14</v>
      </c>
      <c r="AW623">
        <v>6</v>
      </c>
      <c r="AX623" t="s">
        <v>74</v>
      </c>
      <c r="AY623" t="s">
        <v>74</v>
      </c>
      <c r="AZ623" t="s">
        <v>74</v>
      </c>
      <c r="BA623" t="s">
        <v>74</v>
      </c>
      <c r="BB623" t="s">
        <v>74</v>
      </c>
      <c r="BC623" t="s">
        <v>74</v>
      </c>
      <c r="BD623" t="s">
        <v>12272</v>
      </c>
      <c r="BE623" t="s">
        <v>12273</v>
      </c>
      <c r="BF623" t="str">
        <f>HYPERLINK("http://dx.doi.org/10.1371/journal.pone.0217708","http://dx.doi.org/10.1371/journal.pone.0217708")</f>
        <v>http://dx.doi.org/10.1371/journal.pone.0217708</v>
      </c>
      <c r="BG623" t="s">
        <v>74</v>
      </c>
      <c r="BH623" t="s">
        <v>74</v>
      </c>
      <c r="BI623">
        <v>23</v>
      </c>
      <c r="BJ623" t="s">
        <v>1004</v>
      </c>
      <c r="BK623" t="s">
        <v>101</v>
      </c>
      <c r="BL623" t="s">
        <v>1005</v>
      </c>
      <c r="BM623" t="s">
        <v>12274</v>
      </c>
      <c r="BN623">
        <v>31194763</v>
      </c>
      <c r="BO623" t="s">
        <v>420</v>
      </c>
      <c r="BP623" t="s">
        <v>74</v>
      </c>
      <c r="BQ623" t="s">
        <v>74</v>
      </c>
      <c r="BR623" t="s">
        <v>103</v>
      </c>
      <c r="BS623" t="s">
        <v>12275</v>
      </c>
      <c r="BT623" t="str">
        <f>HYPERLINK("https%3A%2F%2Fwww.webofscience.com%2Fwos%2Fwoscc%2Ffull-record%2FWOS:000471238300022","View Full Record in Web of Science")</f>
        <v>View Full Record in Web of Science</v>
      </c>
    </row>
    <row r="624" spans="1:72" x14ac:dyDescent="0.15">
      <c r="A624" t="s">
        <v>72</v>
      </c>
      <c r="B624" t="s">
        <v>12276</v>
      </c>
      <c r="C624" t="s">
        <v>74</v>
      </c>
      <c r="D624" t="s">
        <v>74</v>
      </c>
      <c r="E624" t="s">
        <v>74</v>
      </c>
      <c r="F624" t="s">
        <v>12277</v>
      </c>
      <c r="G624" t="s">
        <v>74</v>
      </c>
      <c r="H624" t="s">
        <v>74</v>
      </c>
      <c r="I624" t="s">
        <v>12278</v>
      </c>
      <c r="J624" t="s">
        <v>1832</v>
      </c>
      <c r="K624" t="s">
        <v>74</v>
      </c>
      <c r="L624" t="s">
        <v>74</v>
      </c>
      <c r="M624" t="s">
        <v>78</v>
      </c>
      <c r="N624" t="s">
        <v>108</v>
      </c>
      <c r="O624" t="s">
        <v>74</v>
      </c>
      <c r="P624" t="s">
        <v>74</v>
      </c>
      <c r="Q624" t="s">
        <v>74</v>
      </c>
      <c r="R624" t="s">
        <v>74</v>
      </c>
      <c r="S624" t="s">
        <v>74</v>
      </c>
      <c r="T624" t="s">
        <v>74</v>
      </c>
      <c r="U624" t="s">
        <v>12279</v>
      </c>
      <c r="V624" t="s">
        <v>12280</v>
      </c>
      <c r="W624" t="s">
        <v>12281</v>
      </c>
      <c r="X624" t="s">
        <v>9562</v>
      </c>
      <c r="Y624" t="s">
        <v>12282</v>
      </c>
      <c r="Z624" t="s">
        <v>9564</v>
      </c>
      <c r="AA624" t="s">
        <v>9565</v>
      </c>
      <c r="AB624" t="s">
        <v>9566</v>
      </c>
      <c r="AC624" t="s">
        <v>12283</v>
      </c>
      <c r="AD624" t="s">
        <v>12284</v>
      </c>
      <c r="AE624" t="s">
        <v>12285</v>
      </c>
      <c r="AF624" t="s">
        <v>74</v>
      </c>
      <c r="AG624">
        <v>72</v>
      </c>
      <c r="AH624">
        <v>5</v>
      </c>
      <c r="AI624">
        <v>5</v>
      </c>
      <c r="AJ624">
        <v>0</v>
      </c>
      <c r="AK624">
        <v>2</v>
      </c>
      <c r="AL624" t="s">
        <v>839</v>
      </c>
      <c r="AM624" t="s">
        <v>840</v>
      </c>
      <c r="AN624" t="s">
        <v>841</v>
      </c>
      <c r="AO624" t="s">
        <v>1844</v>
      </c>
      <c r="AP624" t="s">
        <v>1845</v>
      </c>
      <c r="AQ624" t="s">
        <v>74</v>
      </c>
      <c r="AR624" t="s">
        <v>1832</v>
      </c>
      <c r="AS624" t="s">
        <v>1846</v>
      </c>
      <c r="AT624" t="s">
        <v>12271</v>
      </c>
      <c r="AU624">
        <v>2019</v>
      </c>
      <c r="AV624">
        <v>13</v>
      </c>
      <c r="AW624">
        <v>6</v>
      </c>
      <c r="AX624" t="s">
        <v>74</v>
      </c>
      <c r="AY624" t="s">
        <v>74</v>
      </c>
      <c r="AZ624" t="s">
        <v>74</v>
      </c>
      <c r="BA624" t="s">
        <v>74</v>
      </c>
      <c r="BB624">
        <v>1621</v>
      </c>
      <c r="BC624">
        <v>1633</v>
      </c>
      <c r="BD624" t="s">
        <v>74</v>
      </c>
      <c r="BE624" t="s">
        <v>12286</v>
      </c>
      <c r="BF624" t="str">
        <f>HYPERLINK("http://dx.doi.org/10.5194/tc-13-1621-2019","http://dx.doi.org/10.5194/tc-13-1621-2019")</f>
        <v>http://dx.doi.org/10.5194/tc-13-1621-2019</v>
      </c>
      <c r="BG624" t="s">
        <v>74</v>
      </c>
      <c r="BH624" t="s">
        <v>74</v>
      </c>
      <c r="BI624">
        <v>13</v>
      </c>
      <c r="BJ624" t="s">
        <v>310</v>
      </c>
      <c r="BK624" t="s">
        <v>101</v>
      </c>
      <c r="BL624" t="s">
        <v>311</v>
      </c>
      <c r="BM624" t="s">
        <v>12287</v>
      </c>
      <c r="BN624" t="s">
        <v>74</v>
      </c>
      <c r="BO624" t="s">
        <v>2565</v>
      </c>
      <c r="BP624" t="s">
        <v>74</v>
      </c>
      <c r="BQ624" t="s">
        <v>74</v>
      </c>
      <c r="BR624" t="s">
        <v>103</v>
      </c>
      <c r="BS624" t="s">
        <v>12288</v>
      </c>
      <c r="BT624" t="str">
        <f>HYPERLINK("https%3A%2F%2Fwww.webofscience.com%2Fwos%2Fwoscc%2Ffull-record%2FWOS:000471600900001","View Full Record in Web of Science")</f>
        <v>View Full Record in Web of Science</v>
      </c>
    </row>
    <row r="625" spans="1:72" x14ac:dyDescent="0.15">
      <c r="A625" t="s">
        <v>72</v>
      </c>
      <c r="B625" t="s">
        <v>12289</v>
      </c>
      <c r="C625" t="s">
        <v>74</v>
      </c>
      <c r="D625" t="s">
        <v>74</v>
      </c>
      <c r="E625" t="s">
        <v>74</v>
      </c>
      <c r="F625" t="s">
        <v>12290</v>
      </c>
      <c r="G625" t="s">
        <v>74</v>
      </c>
      <c r="H625" t="s">
        <v>74</v>
      </c>
      <c r="I625" t="s">
        <v>12291</v>
      </c>
      <c r="J625" t="s">
        <v>1328</v>
      </c>
      <c r="K625" t="s">
        <v>74</v>
      </c>
      <c r="L625" t="s">
        <v>74</v>
      </c>
      <c r="M625" t="s">
        <v>78</v>
      </c>
      <c r="N625" t="s">
        <v>108</v>
      </c>
      <c r="O625" t="s">
        <v>74</v>
      </c>
      <c r="P625" t="s">
        <v>74</v>
      </c>
      <c r="Q625" t="s">
        <v>74</v>
      </c>
      <c r="R625" t="s">
        <v>74</v>
      </c>
      <c r="S625" t="s">
        <v>74</v>
      </c>
      <c r="T625" t="s">
        <v>12292</v>
      </c>
      <c r="U625" t="s">
        <v>12293</v>
      </c>
      <c r="V625" t="s">
        <v>12294</v>
      </c>
      <c r="W625" t="s">
        <v>12295</v>
      </c>
      <c r="X625" t="s">
        <v>12296</v>
      </c>
      <c r="Y625" t="s">
        <v>12297</v>
      </c>
      <c r="Z625" t="s">
        <v>12298</v>
      </c>
      <c r="AA625" t="s">
        <v>12299</v>
      </c>
      <c r="AB625" t="s">
        <v>12300</v>
      </c>
      <c r="AC625" t="s">
        <v>12301</v>
      </c>
      <c r="AD625" t="s">
        <v>12302</v>
      </c>
      <c r="AE625" t="s">
        <v>12303</v>
      </c>
      <c r="AF625" t="s">
        <v>74</v>
      </c>
      <c r="AG625">
        <v>54</v>
      </c>
      <c r="AH625">
        <v>6</v>
      </c>
      <c r="AI625">
        <v>6</v>
      </c>
      <c r="AJ625">
        <v>0</v>
      </c>
      <c r="AK625">
        <v>7</v>
      </c>
      <c r="AL625" t="s">
        <v>1340</v>
      </c>
      <c r="AM625" t="s">
        <v>1341</v>
      </c>
      <c r="AN625" t="s">
        <v>1342</v>
      </c>
      <c r="AO625" t="s">
        <v>1343</v>
      </c>
      <c r="AP625" t="s">
        <v>1344</v>
      </c>
      <c r="AQ625" t="s">
        <v>74</v>
      </c>
      <c r="AR625" t="s">
        <v>1328</v>
      </c>
      <c r="AS625" t="s">
        <v>1345</v>
      </c>
      <c r="AT625" t="s">
        <v>12271</v>
      </c>
      <c r="AU625">
        <v>2019</v>
      </c>
      <c r="AV625">
        <v>4615</v>
      </c>
      <c r="AW625">
        <v>2</v>
      </c>
      <c r="AX625" t="s">
        <v>74</v>
      </c>
      <c r="AY625" t="s">
        <v>74</v>
      </c>
      <c r="AZ625" t="s">
        <v>74</v>
      </c>
      <c r="BA625" t="s">
        <v>74</v>
      </c>
      <c r="BB625">
        <v>201</v>
      </c>
      <c r="BC625">
        <v>251</v>
      </c>
      <c r="BD625" t="s">
        <v>74</v>
      </c>
      <c r="BE625" t="s">
        <v>12304</v>
      </c>
      <c r="BF625" t="str">
        <f>HYPERLINK("http://dx.doi.org/10.11646/zootaxa.4615.2.1","http://dx.doi.org/10.11646/zootaxa.4615.2.1")</f>
        <v>http://dx.doi.org/10.11646/zootaxa.4615.2.1</v>
      </c>
      <c r="BG625" t="s">
        <v>74</v>
      </c>
      <c r="BH625" t="s">
        <v>74</v>
      </c>
      <c r="BI625">
        <v>51</v>
      </c>
      <c r="BJ625" t="s">
        <v>1348</v>
      </c>
      <c r="BK625" t="s">
        <v>101</v>
      </c>
      <c r="BL625" t="s">
        <v>1348</v>
      </c>
      <c r="BM625" t="s">
        <v>12305</v>
      </c>
      <c r="BN625">
        <v>31716341</v>
      </c>
      <c r="BO625" t="s">
        <v>74</v>
      </c>
      <c r="BP625" t="s">
        <v>74</v>
      </c>
      <c r="BQ625" t="s">
        <v>74</v>
      </c>
      <c r="BR625" t="s">
        <v>103</v>
      </c>
      <c r="BS625" t="s">
        <v>12306</v>
      </c>
      <c r="BT625" t="str">
        <f>HYPERLINK("https%3A%2F%2Fwww.webofscience.com%2Fwos%2Fwoscc%2Ffull-record%2FWOS:000471226200001","View Full Record in Web of Science")</f>
        <v>View Full Record in Web of Science</v>
      </c>
    </row>
    <row r="626" spans="1:72" x14ac:dyDescent="0.15">
      <c r="A626" t="s">
        <v>72</v>
      </c>
      <c r="B626" t="s">
        <v>12307</v>
      </c>
      <c r="C626" t="s">
        <v>74</v>
      </c>
      <c r="D626" t="s">
        <v>74</v>
      </c>
      <c r="E626" t="s">
        <v>74</v>
      </c>
      <c r="F626" t="s">
        <v>12308</v>
      </c>
      <c r="G626" t="s">
        <v>74</v>
      </c>
      <c r="H626" t="s">
        <v>74</v>
      </c>
      <c r="I626" t="s">
        <v>12309</v>
      </c>
      <c r="J626" t="s">
        <v>12310</v>
      </c>
      <c r="K626" t="s">
        <v>74</v>
      </c>
      <c r="L626" t="s">
        <v>74</v>
      </c>
      <c r="M626" t="s">
        <v>78</v>
      </c>
      <c r="N626" t="s">
        <v>108</v>
      </c>
      <c r="O626" t="s">
        <v>74</v>
      </c>
      <c r="P626" t="s">
        <v>74</v>
      </c>
      <c r="Q626" t="s">
        <v>74</v>
      </c>
      <c r="R626" t="s">
        <v>74</v>
      </c>
      <c r="S626" t="s">
        <v>74</v>
      </c>
      <c r="T626" t="s">
        <v>12311</v>
      </c>
      <c r="U626" t="s">
        <v>12312</v>
      </c>
      <c r="V626" t="s">
        <v>12313</v>
      </c>
      <c r="W626" t="s">
        <v>12314</v>
      </c>
      <c r="X626" t="s">
        <v>12315</v>
      </c>
      <c r="Y626" t="s">
        <v>12316</v>
      </c>
      <c r="Z626" t="s">
        <v>12317</v>
      </c>
      <c r="AA626" t="s">
        <v>12318</v>
      </c>
      <c r="AB626" t="s">
        <v>12319</v>
      </c>
      <c r="AC626" t="s">
        <v>12320</v>
      </c>
      <c r="AD626" t="s">
        <v>12321</v>
      </c>
      <c r="AE626" t="s">
        <v>12322</v>
      </c>
      <c r="AF626" t="s">
        <v>74</v>
      </c>
      <c r="AG626">
        <v>97</v>
      </c>
      <c r="AH626">
        <v>18</v>
      </c>
      <c r="AI626">
        <v>18</v>
      </c>
      <c r="AJ626">
        <v>0</v>
      </c>
      <c r="AK626">
        <v>5</v>
      </c>
      <c r="AL626" t="s">
        <v>868</v>
      </c>
      <c r="AM626" t="s">
        <v>869</v>
      </c>
      <c r="AN626" t="s">
        <v>870</v>
      </c>
      <c r="AO626" t="s">
        <v>12323</v>
      </c>
      <c r="AP626" t="s">
        <v>74</v>
      </c>
      <c r="AQ626" t="s">
        <v>74</v>
      </c>
      <c r="AR626" t="s">
        <v>12324</v>
      </c>
      <c r="AS626" t="s">
        <v>12325</v>
      </c>
      <c r="AT626" t="s">
        <v>12271</v>
      </c>
      <c r="AU626">
        <v>2019</v>
      </c>
      <c r="AV626">
        <v>7</v>
      </c>
      <c r="AW626" t="s">
        <v>74</v>
      </c>
      <c r="AX626" t="s">
        <v>74</v>
      </c>
      <c r="AY626" t="s">
        <v>74</v>
      </c>
      <c r="AZ626" t="s">
        <v>74</v>
      </c>
      <c r="BA626" t="s">
        <v>74</v>
      </c>
      <c r="BB626" t="s">
        <v>74</v>
      </c>
      <c r="BC626" t="s">
        <v>74</v>
      </c>
      <c r="BD626">
        <v>207</v>
      </c>
      <c r="BE626" t="s">
        <v>12326</v>
      </c>
      <c r="BF626" t="str">
        <f>HYPERLINK("http://dx.doi.org/10.3389/fevo.2019.00207","http://dx.doi.org/10.3389/fevo.2019.00207")</f>
        <v>http://dx.doi.org/10.3389/fevo.2019.00207</v>
      </c>
      <c r="BG626" t="s">
        <v>74</v>
      </c>
      <c r="BH626" t="s">
        <v>74</v>
      </c>
      <c r="BI626">
        <v>16</v>
      </c>
      <c r="BJ626" t="s">
        <v>1150</v>
      </c>
      <c r="BK626" t="s">
        <v>101</v>
      </c>
      <c r="BL626" t="s">
        <v>799</v>
      </c>
      <c r="BM626" t="s">
        <v>12327</v>
      </c>
      <c r="BN626" t="s">
        <v>74</v>
      </c>
      <c r="BO626" t="s">
        <v>331</v>
      </c>
      <c r="BP626" t="s">
        <v>74</v>
      </c>
      <c r="BQ626" t="s">
        <v>74</v>
      </c>
      <c r="BR626" t="s">
        <v>103</v>
      </c>
      <c r="BS626" t="s">
        <v>12328</v>
      </c>
      <c r="BT626" t="str">
        <f>HYPERLINK("https%3A%2F%2Fwww.webofscience.com%2Fwos%2Fwoscc%2Ffull-record%2FWOS:000471709000001","View Full Record in Web of Science")</f>
        <v>View Full Record in Web of Science</v>
      </c>
    </row>
    <row r="627" spans="1:72" x14ac:dyDescent="0.15">
      <c r="A627" t="s">
        <v>72</v>
      </c>
      <c r="B627" t="s">
        <v>12329</v>
      </c>
      <c r="C627" t="s">
        <v>74</v>
      </c>
      <c r="D627" t="s">
        <v>74</v>
      </c>
      <c r="E627" t="s">
        <v>74</v>
      </c>
      <c r="F627" t="s">
        <v>12330</v>
      </c>
      <c r="G627" t="s">
        <v>74</v>
      </c>
      <c r="H627" t="s">
        <v>74</v>
      </c>
      <c r="I627" t="s">
        <v>12331</v>
      </c>
      <c r="J627" t="s">
        <v>8187</v>
      </c>
      <c r="K627" t="s">
        <v>74</v>
      </c>
      <c r="L627" t="s">
        <v>74</v>
      </c>
      <c r="M627" t="s">
        <v>78</v>
      </c>
      <c r="N627" t="s">
        <v>2711</v>
      </c>
      <c r="O627" t="s">
        <v>74</v>
      </c>
      <c r="P627" t="s">
        <v>74</v>
      </c>
      <c r="Q627" t="s">
        <v>74</v>
      </c>
      <c r="R627" t="s">
        <v>74</v>
      </c>
      <c r="S627" t="s">
        <v>74</v>
      </c>
      <c r="T627" t="s">
        <v>74</v>
      </c>
      <c r="U627" t="s">
        <v>74</v>
      </c>
      <c r="V627" t="s">
        <v>74</v>
      </c>
      <c r="W627" t="s">
        <v>12332</v>
      </c>
      <c r="X627" t="s">
        <v>12333</v>
      </c>
      <c r="Y627" t="s">
        <v>12334</v>
      </c>
      <c r="Z627" t="s">
        <v>12335</v>
      </c>
      <c r="AA627" t="s">
        <v>74</v>
      </c>
      <c r="AB627" t="s">
        <v>74</v>
      </c>
      <c r="AC627" t="s">
        <v>74</v>
      </c>
      <c r="AD627" t="s">
        <v>74</v>
      </c>
      <c r="AE627" t="s">
        <v>74</v>
      </c>
      <c r="AF627" t="s">
        <v>74</v>
      </c>
      <c r="AG627">
        <v>9</v>
      </c>
      <c r="AH627">
        <v>10</v>
      </c>
      <c r="AI627">
        <v>10</v>
      </c>
      <c r="AJ627">
        <v>2</v>
      </c>
      <c r="AK627">
        <v>23</v>
      </c>
      <c r="AL627" t="s">
        <v>998</v>
      </c>
      <c r="AM627" t="s">
        <v>657</v>
      </c>
      <c r="AN627" t="s">
        <v>999</v>
      </c>
      <c r="AO627" t="s">
        <v>8198</v>
      </c>
      <c r="AP627" t="s">
        <v>8199</v>
      </c>
      <c r="AQ627" t="s">
        <v>74</v>
      </c>
      <c r="AR627" t="s">
        <v>8187</v>
      </c>
      <c r="AS627" t="s">
        <v>8200</v>
      </c>
      <c r="AT627" t="s">
        <v>12271</v>
      </c>
      <c r="AU627">
        <v>2019</v>
      </c>
      <c r="AV627">
        <v>570</v>
      </c>
      <c r="AW627">
        <v>7760</v>
      </c>
      <c r="AX627" t="s">
        <v>74</v>
      </c>
      <c r="AY627" t="s">
        <v>74</v>
      </c>
      <c r="AZ627" t="s">
        <v>74</v>
      </c>
      <c r="BA627" t="s">
        <v>74</v>
      </c>
      <c r="BB627">
        <v>155</v>
      </c>
      <c r="BC627">
        <v>157</v>
      </c>
      <c r="BD627" t="s">
        <v>74</v>
      </c>
      <c r="BE627" t="s">
        <v>12336</v>
      </c>
      <c r="BF627" t="str">
        <f>HYPERLINK("http://dx.doi.org/10.1038/d41586-019-01790-7","http://dx.doi.org/10.1038/d41586-019-01790-7")</f>
        <v>http://dx.doi.org/10.1038/d41586-019-01790-7</v>
      </c>
      <c r="BG627" t="s">
        <v>74</v>
      </c>
      <c r="BH627" t="s">
        <v>74</v>
      </c>
      <c r="BI627">
        <v>3</v>
      </c>
      <c r="BJ627" t="s">
        <v>1004</v>
      </c>
      <c r="BK627" t="s">
        <v>3718</v>
      </c>
      <c r="BL627" t="s">
        <v>1005</v>
      </c>
      <c r="BM627" t="s">
        <v>12337</v>
      </c>
      <c r="BN627">
        <v>31186558</v>
      </c>
      <c r="BO627" t="s">
        <v>1308</v>
      </c>
      <c r="BP627" t="s">
        <v>74</v>
      </c>
      <c r="BQ627" t="s">
        <v>74</v>
      </c>
      <c r="BR627" t="s">
        <v>103</v>
      </c>
      <c r="BS627" t="s">
        <v>12338</v>
      </c>
      <c r="BT627" t="str">
        <f>HYPERLINK("https%3A%2F%2Fwww.webofscience.com%2Fwos%2Fwoscc%2Ffull-record%2FWOS:000471297600023","View Full Record in Web of Science")</f>
        <v>View Full Record in Web of Science</v>
      </c>
    </row>
    <row r="628" spans="1:72" x14ac:dyDescent="0.15">
      <c r="A628" t="s">
        <v>72</v>
      </c>
      <c r="B628" t="s">
        <v>12339</v>
      </c>
      <c r="C628" t="s">
        <v>74</v>
      </c>
      <c r="D628" t="s">
        <v>74</v>
      </c>
      <c r="E628" t="s">
        <v>74</v>
      </c>
      <c r="F628" t="s">
        <v>12340</v>
      </c>
      <c r="G628" t="s">
        <v>74</v>
      </c>
      <c r="H628" t="s">
        <v>74</v>
      </c>
      <c r="I628" t="s">
        <v>12341</v>
      </c>
      <c r="J628" t="s">
        <v>8187</v>
      </c>
      <c r="K628" t="s">
        <v>74</v>
      </c>
      <c r="L628" t="s">
        <v>74</v>
      </c>
      <c r="M628" t="s">
        <v>78</v>
      </c>
      <c r="N628" t="s">
        <v>108</v>
      </c>
      <c r="O628" t="s">
        <v>74</v>
      </c>
      <c r="P628" t="s">
        <v>74</v>
      </c>
      <c r="Q628" t="s">
        <v>74</v>
      </c>
      <c r="R628" t="s">
        <v>74</v>
      </c>
      <c r="S628" t="s">
        <v>74</v>
      </c>
      <c r="T628" t="s">
        <v>74</v>
      </c>
      <c r="U628" t="s">
        <v>12342</v>
      </c>
      <c r="V628" t="s">
        <v>12343</v>
      </c>
      <c r="W628" t="s">
        <v>12344</v>
      </c>
      <c r="X628" t="s">
        <v>12345</v>
      </c>
      <c r="Y628" t="s">
        <v>12346</v>
      </c>
      <c r="Z628" t="s">
        <v>12347</v>
      </c>
      <c r="AA628" t="s">
        <v>12348</v>
      </c>
      <c r="AB628" t="s">
        <v>12349</v>
      </c>
      <c r="AC628" t="s">
        <v>12350</v>
      </c>
      <c r="AD628" t="s">
        <v>12351</v>
      </c>
      <c r="AE628" t="s">
        <v>12352</v>
      </c>
      <c r="AF628" t="s">
        <v>74</v>
      </c>
      <c r="AG628">
        <v>92</v>
      </c>
      <c r="AH628">
        <v>197</v>
      </c>
      <c r="AI628">
        <v>213</v>
      </c>
      <c r="AJ628">
        <v>10</v>
      </c>
      <c r="AK628">
        <v>99</v>
      </c>
      <c r="AL628" t="s">
        <v>998</v>
      </c>
      <c r="AM628" t="s">
        <v>657</v>
      </c>
      <c r="AN628" t="s">
        <v>999</v>
      </c>
      <c r="AO628" t="s">
        <v>8198</v>
      </c>
      <c r="AP628" t="s">
        <v>8199</v>
      </c>
      <c r="AQ628" t="s">
        <v>74</v>
      </c>
      <c r="AR628" t="s">
        <v>8187</v>
      </c>
      <c r="AS628" t="s">
        <v>8200</v>
      </c>
      <c r="AT628" t="s">
        <v>12271</v>
      </c>
      <c r="AU628">
        <v>2019</v>
      </c>
      <c r="AV628">
        <v>570</v>
      </c>
      <c r="AW628">
        <v>7760</v>
      </c>
      <c r="AX628" t="s">
        <v>74</v>
      </c>
      <c r="AY628" t="s">
        <v>74</v>
      </c>
      <c r="AZ628" t="s">
        <v>74</v>
      </c>
      <c r="BA628" t="s">
        <v>74</v>
      </c>
      <c r="BB628">
        <v>182</v>
      </c>
      <c r="BC628" t="s">
        <v>3569</v>
      </c>
      <c r="BD628" t="s">
        <v>74</v>
      </c>
      <c r="BE628" t="s">
        <v>12353</v>
      </c>
      <c r="BF628" t="str">
        <f>HYPERLINK("http://dx.doi.org/10.1038/s41586-019-1279-z","http://dx.doi.org/10.1038/s41586-019-1279-z")</f>
        <v>http://dx.doi.org/10.1038/s41586-019-1279-z</v>
      </c>
      <c r="BG628" t="s">
        <v>74</v>
      </c>
      <c r="BH628" t="s">
        <v>74</v>
      </c>
      <c r="BI628">
        <v>18</v>
      </c>
      <c r="BJ628" t="s">
        <v>1004</v>
      </c>
      <c r="BK628" t="s">
        <v>101</v>
      </c>
      <c r="BL628" t="s">
        <v>1005</v>
      </c>
      <c r="BM628" t="s">
        <v>12337</v>
      </c>
      <c r="BN628">
        <v>31168093</v>
      </c>
      <c r="BO628" t="s">
        <v>1648</v>
      </c>
      <c r="BP628" t="s">
        <v>74</v>
      </c>
      <c r="BQ628" t="s">
        <v>74</v>
      </c>
      <c r="BR628" t="s">
        <v>103</v>
      </c>
      <c r="BS628" t="s">
        <v>12354</v>
      </c>
      <c r="BT628" t="str">
        <f>HYPERLINK("https%3A%2F%2Fwww.webofscience.com%2Fwos%2Fwoscc%2Ffull-record%2FWOS:000471297600041","View Full Record in Web of Science")</f>
        <v>View Full Record in Web of Science</v>
      </c>
    </row>
    <row r="629" spans="1:72" x14ac:dyDescent="0.15">
      <c r="A629" t="s">
        <v>72</v>
      </c>
      <c r="B629" t="s">
        <v>12355</v>
      </c>
      <c r="C629" t="s">
        <v>74</v>
      </c>
      <c r="D629" t="s">
        <v>74</v>
      </c>
      <c r="E629" t="s">
        <v>74</v>
      </c>
      <c r="F629" t="s">
        <v>12356</v>
      </c>
      <c r="G629" t="s">
        <v>74</v>
      </c>
      <c r="H629" t="s">
        <v>74</v>
      </c>
      <c r="I629" t="s">
        <v>12357</v>
      </c>
      <c r="J629" t="s">
        <v>12310</v>
      </c>
      <c r="K629" t="s">
        <v>74</v>
      </c>
      <c r="L629" t="s">
        <v>74</v>
      </c>
      <c r="M629" t="s">
        <v>78</v>
      </c>
      <c r="N629" t="s">
        <v>108</v>
      </c>
      <c r="O629" t="s">
        <v>74</v>
      </c>
      <c r="P629" t="s">
        <v>74</v>
      </c>
      <c r="Q629" t="s">
        <v>74</v>
      </c>
      <c r="R629" t="s">
        <v>74</v>
      </c>
      <c r="S629" t="s">
        <v>74</v>
      </c>
      <c r="T629" t="s">
        <v>12358</v>
      </c>
      <c r="U629" t="s">
        <v>12359</v>
      </c>
      <c r="V629" t="s">
        <v>12360</v>
      </c>
      <c r="W629" t="s">
        <v>12361</v>
      </c>
      <c r="X629" t="s">
        <v>12362</v>
      </c>
      <c r="Y629" t="s">
        <v>12363</v>
      </c>
      <c r="Z629" t="s">
        <v>12364</v>
      </c>
      <c r="AA629" t="s">
        <v>12365</v>
      </c>
      <c r="AB629" t="s">
        <v>12366</v>
      </c>
      <c r="AC629" t="s">
        <v>12367</v>
      </c>
      <c r="AD629" t="s">
        <v>12368</v>
      </c>
      <c r="AE629" t="s">
        <v>12369</v>
      </c>
      <c r="AF629" t="s">
        <v>74</v>
      </c>
      <c r="AG629">
        <v>96</v>
      </c>
      <c r="AH629">
        <v>14</v>
      </c>
      <c r="AI629">
        <v>15</v>
      </c>
      <c r="AJ629">
        <v>1</v>
      </c>
      <c r="AK629">
        <v>21</v>
      </c>
      <c r="AL629" t="s">
        <v>868</v>
      </c>
      <c r="AM629" t="s">
        <v>869</v>
      </c>
      <c r="AN629" t="s">
        <v>870</v>
      </c>
      <c r="AO629" t="s">
        <v>12323</v>
      </c>
      <c r="AP629" t="s">
        <v>74</v>
      </c>
      <c r="AQ629" t="s">
        <v>74</v>
      </c>
      <c r="AR629" t="s">
        <v>12324</v>
      </c>
      <c r="AS629" t="s">
        <v>12325</v>
      </c>
      <c r="AT629" t="s">
        <v>12370</v>
      </c>
      <c r="AU629">
        <v>2019</v>
      </c>
      <c r="AV629">
        <v>7</v>
      </c>
      <c r="AW629" t="s">
        <v>74</v>
      </c>
      <c r="AX629" t="s">
        <v>74</v>
      </c>
      <c r="AY629" t="s">
        <v>74</v>
      </c>
      <c r="AZ629" t="s">
        <v>74</v>
      </c>
      <c r="BA629" t="s">
        <v>74</v>
      </c>
      <c r="BB629" t="s">
        <v>74</v>
      </c>
      <c r="BC629" t="s">
        <v>74</v>
      </c>
      <c r="BD629">
        <v>214</v>
      </c>
      <c r="BE629" t="s">
        <v>12371</v>
      </c>
      <c r="BF629" t="str">
        <f>HYPERLINK("http://dx.doi.org/10.3389/fevo.2019.00214","http://dx.doi.org/10.3389/fevo.2019.00214")</f>
        <v>http://dx.doi.org/10.3389/fevo.2019.00214</v>
      </c>
      <c r="BG629" t="s">
        <v>74</v>
      </c>
      <c r="BH629" t="s">
        <v>74</v>
      </c>
      <c r="BI629">
        <v>11</v>
      </c>
      <c r="BJ629" t="s">
        <v>1150</v>
      </c>
      <c r="BK629" t="s">
        <v>101</v>
      </c>
      <c r="BL629" t="s">
        <v>799</v>
      </c>
      <c r="BM629" t="s">
        <v>12372</v>
      </c>
      <c r="BN629" t="s">
        <v>74</v>
      </c>
      <c r="BO629" t="s">
        <v>2313</v>
      </c>
      <c r="BP629" t="s">
        <v>74</v>
      </c>
      <c r="BQ629" t="s">
        <v>74</v>
      </c>
      <c r="BR629" t="s">
        <v>103</v>
      </c>
      <c r="BS629" t="s">
        <v>12373</v>
      </c>
      <c r="BT629" t="str">
        <f>HYPERLINK("https%3A%2F%2Fwww.webofscience.com%2Fwos%2Fwoscc%2Ffull-record%2FWOS:000471707800001","View Full Record in Web of Science")</f>
        <v>View Full Record in Web of Science</v>
      </c>
    </row>
    <row r="630" spans="1:72" x14ac:dyDescent="0.15">
      <c r="A630" t="s">
        <v>72</v>
      </c>
      <c r="B630" t="s">
        <v>12374</v>
      </c>
      <c r="C630" t="s">
        <v>74</v>
      </c>
      <c r="D630" t="s">
        <v>74</v>
      </c>
      <c r="E630" t="s">
        <v>74</v>
      </c>
      <c r="F630" t="s">
        <v>12375</v>
      </c>
      <c r="G630" t="s">
        <v>74</v>
      </c>
      <c r="H630" t="s">
        <v>74</v>
      </c>
      <c r="I630" t="s">
        <v>12376</v>
      </c>
      <c r="J630" t="s">
        <v>12377</v>
      </c>
      <c r="K630" t="s">
        <v>74</v>
      </c>
      <c r="L630" t="s">
        <v>74</v>
      </c>
      <c r="M630" t="s">
        <v>78</v>
      </c>
      <c r="N630" t="s">
        <v>108</v>
      </c>
      <c r="O630" t="s">
        <v>74</v>
      </c>
      <c r="P630" t="s">
        <v>74</v>
      </c>
      <c r="Q630" t="s">
        <v>74</v>
      </c>
      <c r="R630" t="s">
        <v>74</v>
      </c>
      <c r="S630" t="s">
        <v>74</v>
      </c>
      <c r="T630" t="s">
        <v>74</v>
      </c>
      <c r="U630" t="s">
        <v>12378</v>
      </c>
      <c r="V630" t="s">
        <v>12379</v>
      </c>
      <c r="W630" t="s">
        <v>12380</v>
      </c>
      <c r="X630" t="s">
        <v>12381</v>
      </c>
      <c r="Y630" t="s">
        <v>12382</v>
      </c>
      <c r="Z630" t="s">
        <v>12383</v>
      </c>
      <c r="AA630" t="s">
        <v>12384</v>
      </c>
      <c r="AB630" t="s">
        <v>12385</v>
      </c>
      <c r="AC630" t="s">
        <v>12386</v>
      </c>
      <c r="AD630" t="s">
        <v>12387</v>
      </c>
      <c r="AE630" t="s">
        <v>12388</v>
      </c>
      <c r="AF630" t="s">
        <v>74</v>
      </c>
      <c r="AG630">
        <v>52</v>
      </c>
      <c r="AH630">
        <v>4</v>
      </c>
      <c r="AI630">
        <v>4</v>
      </c>
      <c r="AJ630">
        <v>0</v>
      </c>
      <c r="AK630">
        <v>3</v>
      </c>
      <c r="AL630" t="s">
        <v>839</v>
      </c>
      <c r="AM630" t="s">
        <v>840</v>
      </c>
      <c r="AN630" t="s">
        <v>841</v>
      </c>
      <c r="AO630" t="s">
        <v>12389</v>
      </c>
      <c r="AP630" t="s">
        <v>12390</v>
      </c>
      <c r="AQ630" t="s">
        <v>74</v>
      </c>
      <c r="AR630" t="s">
        <v>12391</v>
      </c>
      <c r="AS630" t="s">
        <v>12392</v>
      </c>
      <c r="AT630" t="s">
        <v>12370</v>
      </c>
      <c r="AU630">
        <v>2019</v>
      </c>
      <c r="AV630">
        <v>25</v>
      </c>
      <c r="AW630" t="s">
        <v>74</v>
      </c>
      <c r="AX630" t="s">
        <v>74</v>
      </c>
      <c r="AY630" t="s">
        <v>74</v>
      </c>
      <c r="AZ630" t="s">
        <v>74</v>
      </c>
      <c r="BA630" t="s">
        <v>74</v>
      </c>
      <c r="BB630">
        <v>1</v>
      </c>
      <c r="BC630">
        <v>14</v>
      </c>
      <c r="BD630" t="s">
        <v>74</v>
      </c>
      <c r="BE630" t="s">
        <v>12393</v>
      </c>
      <c r="BF630" t="str">
        <f>HYPERLINK("http://dx.doi.org/10.5194/sd-25-1-2019","http://dx.doi.org/10.5194/sd-25-1-2019")</f>
        <v>http://dx.doi.org/10.5194/sd-25-1-2019</v>
      </c>
      <c r="BG630" t="s">
        <v>74</v>
      </c>
      <c r="BH630" t="s">
        <v>74</v>
      </c>
      <c r="BI630">
        <v>14</v>
      </c>
      <c r="BJ630" t="s">
        <v>471</v>
      </c>
      <c r="BK630" t="s">
        <v>2978</v>
      </c>
      <c r="BL630" t="s">
        <v>472</v>
      </c>
      <c r="BM630" t="s">
        <v>12394</v>
      </c>
      <c r="BN630" t="s">
        <v>74</v>
      </c>
      <c r="BO630" t="s">
        <v>12395</v>
      </c>
      <c r="BP630" t="s">
        <v>74</v>
      </c>
      <c r="BQ630" t="s">
        <v>74</v>
      </c>
      <c r="BR630" t="s">
        <v>103</v>
      </c>
      <c r="BS630" t="s">
        <v>12396</v>
      </c>
      <c r="BT630" t="str">
        <f>HYPERLINK("https%3A%2F%2Fwww.webofscience.com%2Fwos%2Fwoscc%2Ffull-record%2FWOS:000471599400001","View Full Record in Web of Science")</f>
        <v>View Full Record in Web of Science</v>
      </c>
    </row>
    <row r="631" spans="1:72" x14ac:dyDescent="0.15">
      <c r="A631" t="s">
        <v>72</v>
      </c>
      <c r="B631" t="s">
        <v>12397</v>
      </c>
      <c r="C631" t="s">
        <v>74</v>
      </c>
      <c r="D631" t="s">
        <v>74</v>
      </c>
      <c r="E631" t="s">
        <v>74</v>
      </c>
      <c r="F631" t="s">
        <v>12398</v>
      </c>
      <c r="G631" t="s">
        <v>74</v>
      </c>
      <c r="H631" t="s">
        <v>74</v>
      </c>
      <c r="I631" t="s">
        <v>12399</v>
      </c>
      <c r="J631" t="s">
        <v>2249</v>
      </c>
      <c r="K631" t="s">
        <v>74</v>
      </c>
      <c r="L631" t="s">
        <v>74</v>
      </c>
      <c r="M631" t="s">
        <v>78</v>
      </c>
      <c r="N631" t="s">
        <v>108</v>
      </c>
      <c r="O631" t="s">
        <v>74</v>
      </c>
      <c r="P631" t="s">
        <v>74</v>
      </c>
      <c r="Q631" t="s">
        <v>74</v>
      </c>
      <c r="R631" t="s">
        <v>74</v>
      </c>
      <c r="S631" t="s">
        <v>74</v>
      </c>
      <c r="T631" t="s">
        <v>74</v>
      </c>
      <c r="U631" t="s">
        <v>12400</v>
      </c>
      <c r="V631" t="s">
        <v>12401</v>
      </c>
      <c r="W631" t="s">
        <v>12402</v>
      </c>
      <c r="X631" t="s">
        <v>12403</v>
      </c>
      <c r="Y631" t="s">
        <v>12404</v>
      </c>
      <c r="Z631" t="s">
        <v>12405</v>
      </c>
      <c r="AA631" t="s">
        <v>12406</v>
      </c>
      <c r="AB631" t="s">
        <v>12407</v>
      </c>
      <c r="AC631" t="s">
        <v>12408</v>
      </c>
      <c r="AD631" t="s">
        <v>12409</v>
      </c>
      <c r="AE631" t="s">
        <v>12410</v>
      </c>
      <c r="AF631" t="s">
        <v>74</v>
      </c>
      <c r="AG631">
        <v>83</v>
      </c>
      <c r="AH631">
        <v>18</v>
      </c>
      <c r="AI631">
        <v>19</v>
      </c>
      <c r="AJ631">
        <v>1</v>
      </c>
      <c r="AK631">
        <v>16</v>
      </c>
      <c r="AL631" t="s">
        <v>839</v>
      </c>
      <c r="AM631" t="s">
        <v>840</v>
      </c>
      <c r="AN631" t="s">
        <v>841</v>
      </c>
      <c r="AO631" t="s">
        <v>2261</v>
      </c>
      <c r="AP631" t="s">
        <v>2262</v>
      </c>
      <c r="AQ631" t="s">
        <v>74</v>
      </c>
      <c r="AR631" t="s">
        <v>2263</v>
      </c>
      <c r="AS631" t="s">
        <v>2264</v>
      </c>
      <c r="AT631" t="s">
        <v>12370</v>
      </c>
      <c r="AU631">
        <v>2019</v>
      </c>
      <c r="AV631">
        <v>19</v>
      </c>
      <c r="AW631">
        <v>11</v>
      </c>
      <c r="AX631" t="s">
        <v>74</v>
      </c>
      <c r="AY631" t="s">
        <v>74</v>
      </c>
      <c r="AZ631" t="s">
        <v>74</v>
      </c>
      <c r="BA631" t="s">
        <v>74</v>
      </c>
      <c r="BB631">
        <v>7817</v>
      </c>
      <c r="BC631">
        <v>7837</v>
      </c>
      <c r="BD631" t="s">
        <v>74</v>
      </c>
      <c r="BE631" t="s">
        <v>12411</v>
      </c>
      <c r="BF631" t="str">
        <f>HYPERLINK("http://dx.doi.org/10.5194/acp-19-7817-2019","http://dx.doi.org/10.5194/acp-19-7817-2019")</f>
        <v>http://dx.doi.org/10.5194/acp-19-7817-2019</v>
      </c>
      <c r="BG631" t="s">
        <v>74</v>
      </c>
      <c r="BH631" t="s">
        <v>74</v>
      </c>
      <c r="BI631">
        <v>21</v>
      </c>
      <c r="BJ631" t="s">
        <v>2267</v>
      </c>
      <c r="BK631" t="s">
        <v>101</v>
      </c>
      <c r="BL631" t="s">
        <v>2268</v>
      </c>
      <c r="BM631" t="s">
        <v>12412</v>
      </c>
      <c r="BN631" t="s">
        <v>74</v>
      </c>
      <c r="BO631" t="s">
        <v>2565</v>
      </c>
      <c r="BP631" t="s">
        <v>74</v>
      </c>
      <c r="BQ631" t="s">
        <v>74</v>
      </c>
      <c r="BR631" t="s">
        <v>103</v>
      </c>
      <c r="BS631" t="s">
        <v>12413</v>
      </c>
      <c r="BT631" t="str">
        <f>HYPERLINK("https%3A%2F%2Fwww.webofscience.com%2Fwos%2Fwoscc%2Ffull-record%2FWOS:000471288300002","View Full Record in Web of Science")</f>
        <v>View Full Record in Web of Science</v>
      </c>
    </row>
    <row r="632" spans="1:72" x14ac:dyDescent="0.15">
      <c r="A632" t="s">
        <v>72</v>
      </c>
      <c r="B632" t="s">
        <v>12414</v>
      </c>
      <c r="C632" t="s">
        <v>74</v>
      </c>
      <c r="D632" t="s">
        <v>74</v>
      </c>
      <c r="E632" t="s">
        <v>74</v>
      </c>
      <c r="F632" t="s">
        <v>12415</v>
      </c>
      <c r="G632" t="s">
        <v>74</v>
      </c>
      <c r="H632" t="s">
        <v>74</v>
      </c>
      <c r="I632" t="s">
        <v>12416</v>
      </c>
      <c r="J632" t="s">
        <v>1179</v>
      </c>
      <c r="K632" t="s">
        <v>74</v>
      </c>
      <c r="L632" t="s">
        <v>74</v>
      </c>
      <c r="M632" t="s">
        <v>78</v>
      </c>
      <c r="N632" t="s">
        <v>108</v>
      </c>
      <c r="O632" t="s">
        <v>74</v>
      </c>
      <c r="P632" t="s">
        <v>74</v>
      </c>
      <c r="Q632" t="s">
        <v>74</v>
      </c>
      <c r="R632" t="s">
        <v>74</v>
      </c>
      <c r="S632" t="s">
        <v>74</v>
      </c>
      <c r="T632" t="s">
        <v>74</v>
      </c>
      <c r="U632" t="s">
        <v>12417</v>
      </c>
      <c r="V632" t="s">
        <v>12418</v>
      </c>
      <c r="W632" t="s">
        <v>12419</v>
      </c>
      <c r="X632" t="s">
        <v>12420</v>
      </c>
      <c r="Y632" t="s">
        <v>12421</v>
      </c>
      <c r="Z632" t="s">
        <v>12422</v>
      </c>
      <c r="AA632" t="s">
        <v>12423</v>
      </c>
      <c r="AB632" t="s">
        <v>12424</v>
      </c>
      <c r="AC632" t="s">
        <v>12425</v>
      </c>
      <c r="AD632" t="s">
        <v>12426</v>
      </c>
      <c r="AE632" t="s">
        <v>12427</v>
      </c>
      <c r="AF632" t="s">
        <v>74</v>
      </c>
      <c r="AG632">
        <v>74</v>
      </c>
      <c r="AH632">
        <v>62</v>
      </c>
      <c r="AI632">
        <v>66</v>
      </c>
      <c r="AJ632">
        <v>0</v>
      </c>
      <c r="AK632">
        <v>2</v>
      </c>
      <c r="AL632" t="s">
        <v>839</v>
      </c>
      <c r="AM632" t="s">
        <v>840</v>
      </c>
      <c r="AN632" t="s">
        <v>841</v>
      </c>
      <c r="AO632" t="s">
        <v>1191</v>
      </c>
      <c r="AP632" t="s">
        <v>1192</v>
      </c>
      <c r="AQ632" t="s">
        <v>74</v>
      </c>
      <c r="AR632" t="s">
        <v>1193</v>
      </c>
      <c r="AS632" t="s">
        <v>1194</v>
      </c>
      <c r="AT632" t="s">
        <v>12370</v>
      </c>
      <c r="AU632">
        <v>2019</v>
      </c>
      <c r="AV632">
        <v>12</v>
      </c>
      <c r="AW632">
        <v>6</v>
      </c>
      <c r="AX632" t="s">
        <v>74</v>
      </c>
      <c r="AY632" t="s">
        <v>74</v>
      </c>
      <c r="AZ632" t="s">
        <v>74</v>
      </c>
      <c r="BA632" t="s">
        <v>74</v>
      </c>
      <c r="BB632">
        <v>2255</v>
      </c>
      <c r="BC632">
        <v>2283</v>
      </c>
      <c r="BD632" t="s">
        <v>74</v>
      </c>
      <c r="BE632" t="s">
        <v>12428</v>
      </c>
      <c r="BF632" t="str">
        <f>HYPERLINK("http://dx.doi.org/10.5194/gmd-12-2255-2019","http://dx.doi.org/10.5194/gmd-12-2255-2019")</f>
        <v>http://dx.doi.org/10.5194/gmd-12-2255-2019</v>
      </c>
      <c r="BG632" t="s">
        <v>74</v>
      </c>
      <c r="BH632" t="s">
        <v>74</v>
      </c>
      <c r="BI632">
        <v>29</v>
      </c>
      <c r="BJ632" t="s">
        <v>471</v>
      </c>
      <c r="BK632" t="s">
        <v>101</v>
      </c>
      <c r="BL632" t="s">
        <v>472</v>
      </c>
      <c r="BM632" t="s">
        <v>12429</v>
      </c>
      <c r="BN632" t="s">
        <v>74</v>
      </c>
      <c r="BO632" t="s">
        <v>12430</v>
      </c>
      <c r="BP632" t="s">
        <v>74</v>
      </c>
      <c r="BQ632" t="s">
        <v>74</v>
      </c>
      <c r="BR632" t="s">
        <v>103</v>
      </c>
      <c r="BS632" t="s">
        <v>12431</v>
      </c>
      <c r="BT632" t="str">
        <f>HYPERLINK("https%3A%2F%2Fwww.webofscience.com%2Fwos%2Fwoscc%2Ffull-record%2FWOS:000471288500001","View Full Record in Web of Science")</f>
        <v>View Full Record in Web of Science</v>
      </c>
    </row>
    <row r="633" spans="1:72" x14ac:dyDescent="0.15">
      <c r="A633" t="s">
        <v>72</v>
      </c>
      <c r="B633" t="s">
        <v>12432</v>
      </c>
      <c r="C633" t="s">
        <v>74</v>
      </c>
      <c r="D633" t="s">
        <v>74</v>
      </c>
      <c r="E633" t="s">
        <v>74</v>
      </c>
      <c r="F633" t="s">
        <v>12433</v>
      </c>
      <c r="G633" t="s">
        <v>74</v>
      </c>
      <c r="H633" t="s">
        <v>74</v>
      </c>
      <c r="I633" t="s">
        <v>12434</v>
      </c>
      <c r="J633" t="s">
        <v>12435</v>
      </c>
      <c r="K633" t="s">
        <v>74</v>
      </c>
      <c r="L633" t="s">
        <v>74</v>
      </c>
      <c r="M633" t="s">
        <v>78</v>
      </c>
      <c r="N633" t="s">
        <v>108</v>
      </c>
      <c r="O633" t="s">
        <v>74</v>
      </c>
      <c r="P633" t="s">
        <v>74</v>
      </c>
      <c r="Q633" t="s">
        <v>74</v>
      </c>
      <c r="R633" t="s">
        <v>74</v>
      </c>
      <c r="S633" t="s">
        <v>74</v>
      </c>
      <c r="T633" t="s">
        <v>74</v>
      </c>
      <c r="U633" t="s">
        <v>12436</v>
      </c>
      <c r="V633" t="s">
        <v>12437</v>
      </c>
      <c r="W633" t="s">
        <v>12438</v>
      </c>
      <c r="X633" t="s">
        <v>12439</v>
      </c>
      <c r="Y633" t="s">
        <v>12440</v>
      </c>
      <c r="Z633" t="s">
        <v>12441</v>
      </c>
      <c r="AA633" t="s">
        <v>12442</v>
      </c>
      <c r="AB633" t="s">
        <v>12443</v>
      </c>
      <c r="AC633" t="s">
        <v>12444</v>
      </c>
      <c r="AD633" t="s">
        <v>12445</v>
      </c>
      <c r="AE633" t="s">
        <v>12446</v>
      </c>
      <c r="AF633" t="s">
        <v>74</v>
      </c>
      <c r="AG633">
        <v>45</v>
      </c>
      <c r="AH633">
        <v>9</v>
      </c>
      <c r="AI633">
        <v>9</v>
      </c>
      <c r="AJ633">
        <v>3</v>
      </c>
      <c r="AK633">
        <v>29</v>
      </c>
      <c r="AL633" t="s">
        <v>1577</v>
      </c>
      <c r="AM633" t="s">
        <v>183</v>
      </c>
      <c r="AN633" t="s">
        <v>1578</v>
      </c>
      <c r="AO633" t="s">
        <v>12447</v>
      </c>
      <c r="AP633" t="s">
        <v>74</v>
      </c>
      <c r="AQ633" t="s">
        <v>74</v>
      </c>
      <c r="AR633" t="s">
        <v>12435</v>
      </c>
      <c r="AS633" t="s">
        <v>12448</v>
      </c>
      <c r="AT633" t="s">
        <v>12449</v>
      </c>
      <c r="AU633">
        <v>2019</v>
      </c>
      <c r="AV633">
        <v>35</v>
      </c>
      <c r="AW633">
        <v>23</v>
      </c>
      <c r="AX633" t="s">
        <v>74</v>
      </c>
      <c r="AY633" t="s">
        <v>74</v>
      </c>
      <c r="AZ633" t="s">
        <v>730</v>
      </c>
      <c r="BA633" t="s">
        <v>74</v>
      </c>
      <c r="BB633">
        <v>7337</v>
      </c>
      <c r="BC633">
        <v>7346</v>
      </c>
      <c r="BD633" t="s">
        <v>74</v>
      </c>
      <c r="BE633" t="s">
        <v>12450</v>
      </c>
      <c r="BF633" t="str">
        <f>HYPERLINK("http://dx.doi.org/10.1021/acs.langmuir.8b01914","http://dx.doi.org/10.1021/acs.langmuir.8b01914")</f>
        <v>http://dx.doi.org/10.1021/acs.langmuir.8b01914</v>
      </c>
      <c r="BG633" t="s">
        <v>74</v>
      </c>
      <c r="BH633" t="s">
        <v>74</v>
      </c>
      <c r="BI633">
        <v>10</v>
      </c>
      <c r="BJ633" t="s">
        <v>12451</v>
      </c>
      <c r="BK633" t="s">
        <v>101</v>
      </c>
      <c r="BL633" t="s">
        <v>12452</v>
      </c>
      <c r="BM633" t="s">
        <v>12453</v>
      </c>
      <c r="BN633">
        <v>30198719</v>
      </c>
      <c r="BO633" t="s">
        <v>74</v>
      </c>
      <c r="BP633" t="s">
        <v>74</v>
      </c>
      <c r="BQ633" t="s">
        <v>74</v>
      </c>
      <c r="BR633" t="s">
        <v>103</v>
      </c>
      <c r="BS633" t="s">
        <v>12454</v>
      </c>
      <c r="BT633" t="str">
        <f>HYPERLINK("https%3A%2F%2Fwww.webofscience.com%2Fwos%2Fwoscc%2Ffull-record%2FWOS:000471728600003","View Full Record in Web of Science")</f>
        <v>View Full Record in Web of Science</v>
      </c>
    </row>
    <row r="634" spans="1:72" x14ac:dyDescent="0.15">
      <c r="A634" t="s">
        <v>72</v>
      </c>
      <c r="B634" t="s">
        <v>12455</v>
      </c>
      <c r="C634" t="s">
        <v>74</v>
      </c>
      <c r="D634" t="s">
        <v>74</v>
      </c>
      <c r="E634" t="s">
        <v>74</v>
      </c>
      <c r="F634" t="s">
        <v>12456</v>
      </c>
      <c r="G634" t="s">
        <v>74</v>
      </c>
      <c r="H634" t="s">
        <v>74</v>
      </c>
      <c r="I634" t="s">
        <v>12457</v>
      </c>
      <c r="J634" t="s">
        <v>6605</v>
      </c>
      <c r="K634" t="s">
        <v>74</v>
      </c>
      <c r="L634" t="s">
        <v>74</v>
      </c>
      <c r="M634" t="s">
        <v>78</v>
      </c>
      <c r="N634" t="s">
        <v>108</v>
      </c>
      <c r="O634" t="s">
        <v>74</v>
      </c>
      <c r="P634" t="s">
        <v>74</v>
      </c>
      <c r="Q634" t="s">
        <v>74</v>
      </c>
      <c r="R634" t="s">
        <v>74</v>
      </c>
      <c r="S634" t="s">
        <v>74</v>
      </c>
      <c r="T634" t="s">
        <v>12458</v>
      </c>
      <c r="U634" t="s">
        <v>12459</v>
      </c>
      <c r="V634" t="s">
        <v>12460</v>
      </c>
      <c r="W634" t="s">
        <v>12461</v>
      </c>
      <c r="X634" t="s">
        <v>12462</v>
      </c>
      <c r="Y634" t="s">
        <v>12463</v>
      </c>
      <c r="Z634" t="s">
        <v>12464</v>
      </c>
      <c r="AA634" t="s">
        <v>12465</v>
      </c>
      <c r="AB634" t="s">
        <v>12466</v>
      </c>
      <c r="AC634" t="s">
        <v>12467</v>
      </c>
      <c r="AD634" t="s">
        <v>12468</v>
      </c>
      <c r="AE634" t="s">
        <v>12469</v>
      </c>
      <c r="AF634" t="s">
        <v>74</v>
      </c>
      <c r="AG634">
        <v>42</v>
      </c>
      <c r="AH634">
        <v>83</v>
      </c>
      <c r="AI634">
        <v>89</v>
      </c>
      <c r="AJ634">
        <v>27</v>
      </c>
      <c r="AK634">
        <v>205</v>
      </c>
      <c r="AL634" t="s">
        <v>6618</v>
      </c>
      <c r="AM634" t="s">
        <v>183</v>
      </c>
      <c r="AN634" t="s">
        <v>6619</v>
      </c>
      <c r="AO634" t="s">
        <v>6620</v>
      </c>
      <c r="AP634" t="s">
        <v>74</v>
      </c>
      <c r="AQ634" t="s">
        <v>74</v>
      </c>
      <c r="AR634" t="s">
        <v>6622</v>
      </c>
      <c r="AS634" t="s">
        <v>6623</v>
      </c>
      <c r="AT634" t="s">
        <v>12449</v>
      </c>
      <c r="AU634">
        <v>2019</v>
      </c>
      <c r="AV634">
        <v>116</v>
      </c>
      <c r="AW634">
        <v>24</v>
      </c>
      <c r="AX634" t="s">
        <v>74</v>
      </c>
      <c r="AY634" t="s">
        <v>74</v>
      </c>
      <c r="AZ634" t="s">
        <v>74</v>
      </c>
      <c r="BA634" t="s">
        <v>74</v>
      </c>
      <c r="BB634">
        <v>11646</v>
      </c>
      <c r="BC634">
        <v>11651</v>
      </c>
      <c r="BD634" t="s">
        <v>74</v>
      </c>
      <c r="BE634" t="s">
        <v>12470</v>
      </c>
      <c r="BF634" t="str">
        <f>HYPERLINK("http://dx.doi.org/10.1073/pnas.1900371116","http://dx.doi.org/10.1073/pnas.1900371116")</f>
        <v>http://dx.doi.org/10.1073/pnas.1900371116</v>
      </c>
      <c r="BG634" t="s">
        <v>74</v>
      </c>
      <c r="BH634" t="s">
        <v>74</v>
      </c>
      <c r="BI634">
        <v>6</v>
      </c>
      <c r="BJ634" t="s">
        <v>1004</v>
      </c>
      <c r="BK634" t="s">
        <v>101</v>
      </c>
      <c r="BL634" t="s">
        <v>1005</v>
      </c>
      <c r="BM634" t="s">
        <v>12471</v>
      </c>
      <c r="BN634">
        <v>31138699</v>
      </c>
      <c r="BO634" t="s">
        <v>12472</v>
      </c>
      <c r="BP634" t="s">
        <v>74</v>
      </c>
      <c r="BQ634" t="s">
        <v>74</v>
      </c>
      <c r="BR634" t="s">
        <v>103</v>
      </c>
      <c r="BS634" t="s">
        <v>12473</v>
      </c>
      <c r="BT634" t="str">
        <f>HYPERLINK("https%3A%2F%2Fwww.webofscience.com%2Fwos%2Fwoscc%2Ffull-record%2FWOS:000471039700019","View Full Record in Web of Science")</f>
        <v>View Full Record in Web of Science</v>
      </c>
    </row>
    <row r="635" spans="1:72" x14ac:dyDescent="0.15">
      <c r="A635" t="s">
        <v>72</v>
      </c>
      <c r="B635" t="s">
        <v>12474</v>
      </c>
      <c r="C635" t="s">
        <v>74</v>
      </c>
      <c r="D635" t="s">
        <v>74</v>
      </c>
      <c r="E635" t="s">
        <v>74</v>
      </c>
      <c r="F635" t="s">
        <v>12475</v>
      </c>
      <c r="G635" t="s">
        <v>74</v>
      </c>
      <c r="H635" t="s">
        <v>5401</v>
      </c>
      <c r="I635" t="s">
        <v>12476</v>
      </c>
      <c r="J635" t="s">
        <v>1727</v>
      </c>
      <c r="K635" t="s">
        <v>74</v>
      </c>
      <c r="L635" t="s">
        <v>74</v>
      </c>
      <c r="M635" t="s">
        <v>78</v>
      </c>
      <c r="N635" t="s">
        <v>108</v>
      </c>
      <c r="O635" t="s">
        <v>74</v>
      </c>
      <c r="P635" t="s">
        <v>74</v>
      </c>
      <c r="Q635" t="s">
        <v>74</v>
      </c>
      <c r="R635" t="s">
        <v>74</v>
      </c>
      <c r="S635" t="s">
        <v>74</v>
      </c>
      <c r="T635" t="s">
        <v>74</v>
      </c>
      <c r="U635" t="s">
        <v>12477</v>
      </c>
      <c r="V635" t="s">
        <v>12478</v>
      </c>
      <c r="W635" t="s">
        <v>12479</v>
      </c>
      <c r="X635" t="s">
        <v>12480</v>
      </c>
      <c r="Y635" t="s">
        <v>12481</v>
      </c>
      <c r="Z635" t="s">
        <v>74</v>
      </c>
      <c r="AA635" t="s">
        <v>12482</v>
      </c>
      <c r="AB635" t="s">
        <v>12483</v>
      </c>
      <c r="AC635" t="s">
        <v>12484</v>
      </c>
      <c r="AD635" t="s">
        <v>12485</v>
      </c>
      <c r="AE635" t="s">
        <v>12486</v>
      </c>
      <c r="AF635" t="s">
        <v>74</v>
      </c>
      <c r="AG635">
        <v>35</v>
      </c>
      <c r="AH635">
        <v>63</v>
      </c>
      <c r="AI635">
        <v>70</v>
      </c>
      <c r="AJ635">
        <v>0</v>
      </c>
      <c r="AK635">
        <v>9</v>
      </c>
      <c r="AL635" t="s">
        <v>1737</v>
      </c>
      <c r="AM635" t="s">
        <v>1738</v>
      </c>
      <c r="AN635" t="s">
        <v>1739</v>
      </c>
      <c r="AO635" t="s">
        <v>12487</v>
      </c>
      <c r="AP635" t="s">
        <v>12488</v>
      </c>
      <c r="AQ635" t="s">
        <v>74</v>
      </c>
      <c r="AR635" t="s">
        <v>1742</v>
      </c>
      <c r="AS635" t="s">
        <v>1743</v>
      </c>
      <c r="AT635" t="s">
        <v>12449</v>
      </c>
      <c r="AU635">
        <v>2019</v>
      </c>
      <c r="AV635">
        <v>99</v>
      </c>
      <c r="AW635">
        <v>12</v>
      </c>
      <c r="AX635" t="s">
        <v>74</v>
      </c>
      <c r="AY635" t="s">
        <v>74</v>
      </c>
      <c r="AZ635" t="s">
        <v>74</v>
      </c>
      <c r="BA635" t="s">
        <v>74</v>
      </c>
      <c r="BB635" t="s">
        <v>74</v>
      </c>
      <c r="BC635" t="s">
        <v>74</v>
      </c>
      <c r="BD635">
        <v>122001</v>
      </c>
      <c r="BE635" t="s">
        <v>12489</v>
      </c>
      <c r="BF635" t="str">
        <f>HYPERLINK("http://dx.doi.org/10.1103/PhysRevD.99.122001","http://dx.doi.org/10.1103/PhysRevD.99.122001")</f>
        <v>http://dx.doi.org/10.1103/PhysRevD.99.122001</v>
      </c>
      <c r="BG635" t="s">
        <v>74</v>
      </c>
      <c r="BH635" t="s">
        <v>74</v>
      </c>
      <c r="BI635">
        <v>11</v>
      </c>
      <c r="BJ635" t="s">
        <v>1745</v>
      </c>
      <c r="BK635" t="s">
        <v>101</v>
      </c>
      <c r="BL635" t="s">
        <v>1746</v>
      </c>
      <c r="BM635" t="s">
        <v>12490</v>
      </c>
      <c r="BN635" t="s">
        <v>74</v>
      </c>
      <c r="BO635" t="s">
        <v>9019</v>
      </c>
      <c r="BP635" t="s">
        <v>74</v>
      </c>
      <c r="BQ635" t="s">
        <v>74</v>
      </c>
      <c r="BR635" t="s">
        <v>103</v>
      </c>
      <c r="BS635" t="s">
        <v>12491</v>
      </c>
      <c r="BT635" t="str">
        <f>HYPERLINK("https%3A%2F%2Fwww.webofscience.com%2Fwos%2Fwoscc%2Ffull-record%2FWOS:000471985500001","View Full Record in Web of Science")</f>
        <v>View Full Record in Web of Science</v>
      </c>
    </row>
    <row r="636" spans="1:72" x14ac:dyDescent="0.15">
      <c r="A636" t="s">
        <v>72</v>
      </c>
      <c r="B636" t="s">
        <v>12492</v>
      </c>
      <c r="C636" t="s">
        <v>74</v>
      </c>
      <c r="D636" t="s">
        <v>74</v>
      </c>
      <c r="E636" t="s">
        <v>74</v>
      </c>
      <c r="F636" t="s">
        <v>12493</v>
      </c>
      <c r="G636" t="s">
        <v>74</v>
      </c>
      <c r="H636" t="s">
        <v>74</v>
      </c>
      <c r="I636" t="s">
        <v>12494</v>
      </c>
      <c r="J636" t="s">
        <v>989</v>
      </c>
      <c r="K636" t="s">
        <v>74</v>
      </c>
      <c r="L636" t="s">
        <v>74</v>
      </c>
      <c r="M636" t="s">
        <v>78</v>
      </c>
      <c r="N636" t="s">
        <v>108</v>
      </c>
      <c r="O636" t="s">
        <v>74</v>
      </c>
      <c r="P636" t="s">
        <v>74</v>
      </c>
      <c r="Q636" t="s">
        <v>74</v>
      </c>
      <c r="R636" t="s">
        <v>74</v>
      </c>
      <c r="S636" t="s">
        <v>74</v>
      </c>
      <c r="T636" t="s">
        <v>74</v>
      </c>
      <c r="U636" t="s">
        <v>12495</v>
      </c>
      <c r="V636" t="s">
        <v>12496</v>
      </c>
      <c r="W636" t="s">
        <v>12497</v>
      </c>
      <c r="X636" t="s">
        <v>12498</v>
      </c>
      <c r="Y636" t="s">
        <v>12499</v>
      </c>
      <c r="Z636" t="s">
        <v>12500</v>
      </c>
      <c r="AA636" t="s">
        <v>12501</v>
      </c>
      <c r="AB636" t="s">
        <v>12502</v>
      </c>
      <c r="AC636" t="s">
        <v>12503</v>
      </c>
      <c r="AD636" t="s">
        <v>12504</v>
      </c>
      <c r="AE636" t="s">
        <v>12505</v>
      </c>
      <c r="AF636" t="s">
        <v>74</v>
      </c>
      <c r="AG636">
        <v>76</v>
      </c>
      <c r="AH636">
        <v>28</v>
      </c>
      <c r="AI636">
        <v>28</v>
      </c>
      <c r="AJ636">
        <v>0</v>
      </c>
      <c r="AK636">
        <v>12</v>
      </c>
      <c r="AL636" t="s">
        <v>998</v>
      </c>
      <c r="AM636" t="s">
        <v>657</v>
      </c>
      <c r="AN636" t="s">
        <v>999</v>
      </c>
      <c r="AO636" t="s">
        <v>1000</v>
      </c>
      <c r="AP636" t="s">
        <v>74</v>
      </c>
      <c r="AQ636" t="s">
        <v>74</v>
      </c>
      <c r="AR636" t="s">
        <v>1001</v>
      </c>
      <c r="AS636" t="s">
        <v>1002</v>
      </c>
      <c r="AT636" t="s">
        <v>12449</v>
      </c>
      <c r="AU636">
        <v>2019</v>
      </c>
      <c r="AV636">
        <v>9</v>
      </c>
      <c r="AW636" t="s">
        <v>74</v>
      </c>
      <c r="AX636" t="s">
        <v>74</v>
      </c>
      <c r="AY636" t="s">
        <v>74</v>
      </c>
      <c r="AZ636" t="s">
        <v>74</v>
      </c>
      <c r="BA636" t="s">
        <v>74</v>
      </c>
      <c r="BB636" t="s">
        <v>74</v>
      </c>
      <c r="BC636" t="s">
        <v>74</v>
      </c>
      <c r="BD636">
        <v>8517</v>
      </c>
      <c r="BE636" t="s">
        <v>12506</v>
      </c>
      <c r="BF636" t="str">
        <f>HYPERLINK("http://dx.doi.org/10.1038/s41598-019-44695-1","http://dx.doi.org/10.1038/s41598-019-44695-1")</f>
        <v>http://dx.doi.org/10.1038/s41598-019-44695-1</v>
      </c>
      <c r="BG636" t="s">
        <v>74</v>
      </c>
      <c r="BH636" t="s">
        <v>74</v>
      </c>
      <c r="BI636">
        <v>13</v>
      </c>
      <c r="BJ636" t="s">
        <v>1004</v>
      </c>
      <c r="BK636" t="s">
        <v>101</v>
      </c>
      <c r="BL636" t="s">
        <v>1005</v>
      </c>
      <c r="BM636" t="s">
        <v>12507</v>
      </c>
      <c r="BN636">
        <v>31186455</v>
      </c>
      <c r="BO636" t="s">
        <v>6545</v>
      </c>
      <c r="BP636" t="s">
        <v>74</v>
      </c>
      <c r="BQ636" t="s">
        <v>74</v>
      </c>
      <c r="BR636" t="s">
        <v>103</v>
      </c>
      <c r="BS636" t="s">
        <v>12508</v>
      </c>
      <c r="BT636" t="str">
        <f>HYPERLINK("https%3A%2F%2Fwww.webofscience.com%2Fwos%2Fwoscc%2Ffull-record%2FWOS:000470962800015","View Full Record in Web of Science")</f>
        <v>View Full Record in Web of Science</v>
      </c>
    </row>
    <row r="637" spans="1:72" x14ac:dyDescent="0.15">
      <c r="A637" t="s">
        <v>72</v>
      </c>
      <c r="B637" t="s">
        <v>12509</v>
      </c>
      <c r="C637" t="s">
        <v>74</v>
      </c>
      <c r="D637" t="s">
        <v>74</v>
      </c>
      <c r="E637" t="s">
        <v>74</v>
      </c>
      <c r="F637" t="s">
        <v>12510</v>
      </c>
      <c r="G637" t="s">
        <v>74</v>
      </c>
      <c r="H637" t="s">
        <v>74</v>
      </c>
      <c r="I637" t="s">
        <v>12511</v>
      </c>
      <c r="J637" t="s">
        <v>12512</v>
      </c>
      <c r="K637" t="s">
        <v>74</v>
      </c>
      <c r="L637" t="s">
        <v>74</v>
      </c>
      <c r="M637" t="s">
        <v>78</v>
      </c>
      <c r="N637" t="s">
        <v>108</v>
      </c>
      <c r="O637" t="s">
        <v>74</v>
      </c>
      <c r="P637" t="s">
        <v>74</v>
      </c>
      <c r="Q637" t="s">
        <v>74</v>
      </c>
      <c r="R637" t="s">
        <v>74</v>
      </c>
      <c r="S637" t="s">
        <v>74</v>
      </c>
      <c r="T637" t="s">
        <v>74</v>
      </c>
      <c r="U637" t="s">
        <v>12513</v>
      </c>
      <c r="V637" t="s">
        <v>12514</v>
      </c>
      <c r="W637" t="s">
        <v>12515</v>
      </c>
      <c r="X637" t="s">
        <v>12516</v>
      </c>
      <c r="Y637" t="s">
        <v>12517</v>
      </c>
      <c r="Z637" t="s">
        <v>12518</v>
      </c>
      <c r="AA637" t="s">
        <v>12519</v>
      </c>
      <c r="AB637" t="s">
        <v>12520</v>
      </c>
      <c r="AC637" t="s">
        <v>12521</v>
      </c>
      <c r="AD637" t="s">
        <v>12522</v>
      </c>
      <c r="AE637" t="s">
        <v>12523</v>
      </c>
      <c r="AF637" t="s">
        <v>74</v>
      </c>
      <c r="AG637">
        <v>60</v>
      </c>
      <c r="AH637">
        <v>22</v>
      </c>
      <c r="AI637">
        <v>22</v>
      </c>
      <c r="AJ637">
        <v>0</v>
      </c>
      <c r="AK637">
        <v>1</v>
      </c>
      <c r="AL637" t="s">
        <v>1140</v>
      </c>
      <c r="AM637" t="s">
        <v>1141</v>
      </c>
      <c r="AN637" t="s">
        <v>1142</v>
      </c>
      <c r="AO637" t="s">
        <v>12524</v>
      </c>
      <c r="AP637" t="s">
        <v>12525</v>
      </c>
      <c r="AQ637" t="s">
        <v>74</v>
      </c>
      <c r="AR637" t="s">
        <v>12512</v>
      </c>
      <c r="AS637" t="s">
        <v>12526</v>
      </c>
      <c r="AT637" t="s">
        <v>1251</v>
      </c>
      <c r="AU637">
        <v>2019</v>
      </c>
      <c r="AV637">
        <v>48</v>
      </c>
      <c r="AW637">
        <v>4</v>
      </c>
      <c r="AX637" t="s">
        <v>74</v>
      </c>
      <c r="AY637" t="s">
        <v>74</v>
      </c>
      <c r="AZ637" t="s">
        <v>74</v>
      </c>
      <c r="BA637" t="s">
        <v>74</v>
      </c>
      <c r="BB637">
        <v>841</v>
      </c>
      <c r="BC637">
        <v>855</v>
      </c>
      <c r="BD637" t="s">
        <v>74</v>
      </c>
      <c r="BE637" t="s">
        <v>12527</v>
      </c>
      <c r="BF637" t="str">
        <f>HYPERLINK("http://dx.doi.org/10.1111/bor.12402","http://dx.doi.org/10.1111/bor.12402")</f>
        <v>http://dx.doi.org/10.1111/bor.12402</v>
      </c>
      <c r="BG637" t="s">
        <v>74</v>
      </c>
      <c r="BH637" t="s">
        <v>11304</v>
      </c>
      <c r="BI637">
        <v>15</v>
      </c>
      <c r="BJ637" t="s">
        <v>310</v>
      </c>
      <c r="BK637" t="s">
        <v>101</v>
      </c>
      <c r="BL637" t="s">
        <v>311</v>
      </c>
      <c r="BM637" t="s">
        <v>12528</v>
      </c>
      <c r="BN637" t="s">
        <v>74</v>
      </c>
      <c r="BO637" t="s">
        <v>6963</v>
      </c>
      <c r="BP637" t="s">
        <v>74</v>
      </c>
      <c r="BQ637" t="s">
        <v>74</v>
      </c>
      <c r="BR637" t="s">
        <v>103</v>
      </c>
      <c r="BS637" t="s">
        <v>12529</v>
      </c>
      <c r="BT637" t="str">
        <f>HYPERLINK("https%3A%2F%2Fwww.webofscience.com%2Fwos%2Fwoscc%2Ffull-record%2FWOS:000486776500001","View Full Record in Web of Science")</f>
        <v>View Full Record in Web of Science</v>
      </c>
    </row>
    <row r="638" spans="1:72" x14ac:dyDescent="0.15">
      <c r="A638" t="s">
        <v>72</v>
      </c>
      <c r="B638" t="s">
        <v>12530</v>
      </c>
      <c r="C638" t="s">
        <v>74</v>
      </c>
      <c r="D638" t="s">
        <v>74</v>
      </c>
      <c r="E638" t="s">
        <v>74</v>
      </c>
      <c r="F638" t="s">
        <v>12531</v>
      </c>
      <c r="G638" t="s">
        <v>74</v>
      </c>
      <c r="H638" t="s">
        <v>74</v>
      </c>
      <c r="I638" t="s">
        <v>12532</v>
      </c>
      <c r="J638" t="s">
        <v>12533</v>
      </c>
      <c r="K638" t="s">
        <v>74</v>
      </c>
      <c r="L638" t="s">
        <v>74</v>
      </c>
      <c r="M638" t="s">
        <v>78</v>
      </c>
      <c r="N638" t="s">
        <v>2961</v>
      </c>
      <c r="O638" t="s">
        <v>74</v>
      </c>
      <c r="P638" t="s">
        <v>74</v>
      </c>
      <c r="Q638" t="s">
        <v>74</v>
      </c>
      <c r="R638" t="s">
        <v>74</v>
      </c>
      <c r="S638" t="s">
        <v>74</v>
      </c>
      <c r="T638" t="s">
        <v>12534</v>
      </c>
      <c r="U638" t="s">
        <v>12535</v>
      </c>
      <c r="V638" t="s">
        <v>12536</v>
      </c>
      <c r="W638" t="s">
        <v>12537</v>
      </c>
      <c r="X638" t="s">
        <v>12538</v>
      </c>
      <c r="Y638" t="s">
        <v>12539</v>
      </c>
      <c r="Z638" t="s">
        <v>12540</v>
      </c>
      <c r="AA638" t="s">
        <v>12541</v>
      </c>
      <c r="AB638" t="s">
        <v>12542</v>
      </c>
      <c r="AC638" t="s">
        <v>12543</v>
      </c>
      <c r="AD638" t="s">
        <v>12544</v>
      </c>
      <c r="AE638" t="s">
        <v>12545</v>
      </c>
      <c r="AF638" t="s">
        <v>74</v>
      </c>
      <c r="AG638">
        <v>47</v>
      </c>
      <c r="AH638">
        <v>12</v>
      </c>
      <c r="AI638">
        <v>13</v>
      </c>
      <c r="AJ638">
        <v>1</v>
      </c>
      <c r="AK638">
        <v>11</v>
      </c>
      <c r="AL638" t="s">
        <v>12546</v>
      </c>
      <c r="AM638" t="s">
        <v>12547</v>
      </c>
      <c r="AN638" t="s">
        <v>12548</v>
      </c>
      <c r="AO638" t="s">
        <v>12549</v>
      </c>
      <c r="AP638" t="s">
        <v>12550</v>
      </c>
      <c r="AQ638" t="s">
        <v>74</v>
      </c>
      <c r="AR638" t="s">
        <v>12533</v>
      </c>
      <c r="AS638" t="s">
        <v>12551</v>
      </c>
      <c r="AT638" t="s">
        <v>12552</v>
      </c>
      <c r="AU638">
        <v>2019</v>
      </c>
      <c r="AV638" t="s">
        <v>74</v>
      </c>
      <c r="AW638">
        <v>854</v>
      </c>
      <c r="AX638" t="s">
        <v>74</v>
      </c>
      <c r="AY638" t="s">
        <v>74</v>
      </c>
      <c r="AZ638" t="s">
        <v>74</v>
      </c>
      <c r="BA638" t="s">
        <v>74</v>
      </c>
      <c r="BB638">
        <v>1</v>
      </c>
      <c r="BC638">
        <v>15</v>
      </c>
      <c r="BD638" t="s">
        <v>74</v>
      </c>
      <c r="BE638" t="s">
        <v>12553</v>
      </c>
      <c r="BF638" t="str">
        <f>HYPERLINK("http://dx.doi.org/10.3897/zookeys.854.29614","http://dx.doi.org/10.3897/zookeys.854.29614")</f>
        <v>http://dx.doi.org/10.3897/zookeys.854.29614</v>
      </c>
      <c r="BG638" t="s">
        <v>74</v>
      </c>
      <c r="BH638" t="s">
        <v>74</v>
      </c>
      <c r="BI638">
        <v>15</v>
      </c>
      <c r="BJ638" t="s">
        <v>1348</v>
      </c>
      <c r="BK638" t="s">
        <v>101</v>
      </c>
      <c r="BL638" t="s">
        <v>1348</v>
      </c>
      <c r="BM638" t="s">
        <v>12554</v>
      </c>
      <c r="BN638">
        <v>31231155</v>
      </c>
      <c r="BO638" t="s">
        <v>2548</v>
      </c>
      <c r="BP638" t="s">
        <v>74</v>
      </c>
      <c r="BQ638" t="s">
        <v>74</v>
      </c>
      <c r="BR638" t="s">
        <v>103</v>
      </c>
      <c r="BS638" t="s">
        <v>12555</v>
      </c>
      <c r="BT638" t="str">
        <f>HYPERLINK("https%3A%2F%2Fwww.webofscience.com%2Fwos%2Fwoscc%2Ffull-record%2FWOS:000471180500001","View Full Record in Web of Science")</f>
        <v>View Full Record in Web of Science</v>
      </c>
    </row>
    <row r="639" spans="1:72" x14ac:dyDescent="0.15">
      <c r="A639" t="s">
        <v>72</v>
      </c>
      <c r="B639" t="s">
        <v>12556</v>
      </c>
      <c r="C639" t="s">
        <v>74</v>
      </c>
      <c r="D639" t="s">
        <v>74</v>
      </c>
      <c r="E639" t="s">
        <v>74</v>
      </c>
      <c r="F639" t="s">
        <v>12557</v>
      </c>
      <c r="G639" t="s">
        <v>74</v>
      </c>
      <c r="H639" t="s">
        <v>74</v>
      </c>
      <c r="I639" t="s">
        <v>12558</v>
      </c>
      <c r="J639" t="s">
        <v>805</v>
      </c>
      <c r="K639" t="s">
        <v>74</v>
      </c>
      <c r="L639" t="s">
        <v>74</v>
      </c>
      <c r="M639" t="s">
        <v>78</v>
      </c>
      <c r="N639" t="s">
        <v>79</v>
      </c>
      <c r="O639" t="s">
        <v>74</v>
      </c>
      <c r="P639" t="s">
        <v>74</v>
      </c>
      <c r="Q639" t="s">
        <v>74</v>
      </c>
      <c r="R639" t="s">
        <v>74</v>
      </c>
      <c r="S639" t="s">
        <v>74</v>
      </c>
      <c r="T639" t="s">
        <v>12559</v>
      </c>
      <c r="U639" t="s">
        <v>12560</v>
      </c>
      <c r="V639" t="s">
        <v>12561</v>
      </c>
      <c r="W639" t="s">
        <v>12562</v>
      </c>
      <c r="X639" t="s">
        <v>12563</v>
      </c>
      <c r="Y639" t="s">
        <v>12564</v>
      </c>
      <c r="Z639" t="s">
        <v>12565</v>
      </c>
      <c r="AA639" t="s">
        <v>12566</v>
      </c>
      <c r="AB639" t="s">
        <v>12567</v>
      </c>
      <c r="AC639" t="s">
        <v>12568</v>
      </c>
      <c r="AD639" t="s">
        <v>12569</v>
      </c>
      <c r="AE639" t="s">
        <v>12570</v>
      </c>
      <c r="AF639" t="s">
        <v>74</v>
      </c>
      <c r="AG639">
        <v>230</v>
      </c>
      <c r="AH639">
        <v>56</v>
      </c>
      <c r="AI639">
        <v>58</v>
      </c>
      <c r="AJ639">
        <v>5</v>
      </c>
      <c r="AK639">
        <v>81</v>
      </c>
      <c r="AL639" t="s">
        <v>438</v>
      </c>
      <c r="AM639" t="s">
        <v>439</v>
      </c>
      <c r="AN639" t="s">
        <v>440</v>
      </c>
      <c r="AO639" t="s">
        <v>818</v>
      </c>
      <c r="AP639" t="s">
        <v>819</v>
      </c>
      <c r="AQ639" t="s">
        <v>74</v>
      </c>
      <c r="AR639" t="s">
        <v>820</v>
      </c>
      <c r="AS639" t="s">
        <v>821</v>
      </c>
      <c r="AT639" t="s">
        <v>12552</v>
      </c>
      <c r="AU639">
        <v>2019</v>
      </c>
      <c r="AV639">
        <v>668</v>
      </c>
      <c r="AW639" t="s">
        <v>74</v>
      </c>
      <c r="AX639" t="s">
        <v>74</v>
      </c>
      <c r="AY639" t="s">
        <v>74</v>
      </c>
      <c r="AZ639" t="s">
        <v>74</v>
      </c>
      <c r="BA639" t="s">
        <v>74</v>
      </c>
      <c r="BB639">
        <v>835</v>
      </c>
      <c r="BC639">
        <v>853</v>
      </c>
      <c r="BD639" t="s">
        <v>74</v>
      </c>
      <c r="BE639" t="s">
        <v>12571</v>
      </c>
      <c r="BF639" t="str">
        <f>HYPERLINK("http://dx.doi.org/10.1016/j.scitotenv.2019.02.310","http://dx.doi.org/10.1016/j.scitotenv.2019.02.310")</f>
        <v>http://dx.doi.org/10.1016/j.scitotenv.2019.02.310</v>
      </c>
      <c r="BG639" t="s">
        <v>74</v>
      </c>
      <c r="BH639" t="s">
        <v>74</v>
      </c>
      <c r="BI639">
        <v>19</v>
      </c>
      <c r="BJ639" t="s">
        <v>797</v>
      </c>
      <c r="BK639" t="s">
        <v>101</v>
      </c>
      <c r="BL639" t="s">
        <v>799</v>
      </c>
      <c r="BM639" t="s">
        <v>12572</v>
      </c>
      <c r="BN639">
        <v>30870752</v>
      </c>
      <c r="BO639" t="s">
        <v>2112</v>
      </c>
      <c r="BP639" t="s">
        <v>74</v>
      </c>
      <c r="BQ639" t="s">
        <v>74</v>
      </c>
      <c r="BR639" t="s">
        <v>103</v>
      </c>
      <c r="BS639" t="s">
        <v>12573</v>
      </c>
      <c r="BT639" t="str">
        <f>HYPERLINK("https%3A%2F%2Fwww.webofscience.com%2Fwos%2Fwoscc%2Ffull-record%2FWOS:000462776800077","View Full Record in Web of Science")</f>
        <v>View Full Record in Web of Science</v>
      </c>
    </row>
    <row r="640" spans="1:72" x14ac:dyDescent="0.15">
      <c r="A640" t="s">
        <v>72</v>
      </c>
      <c r="B640" t="s">
        <v>12574</v>
      </c>
      <c r="C640" t="s">
        <v>74</v>
      </c>
      <c r="D640" t="s">
        <v>74</v>
      </c>
      <c r="E640" t="s">
        <v>74</v>
      </c>
      <c r="F640" t="s">
        <v>12575</v>
      </c>
      <c r="G640" t="s">
        <v>74</v>
      </c>
      <c r="H640" t="s">
        <v>74</v>
      </c>
      <c r="I640" t="s">
        <v>12576</v>
      </c>
      <c r="J640" t="s">
        <v>805</v>
      </c>
      <c r="K640" t="s">
        <v>74</v>
      </c>
      <c r="L640" t="s">
        <v>74</v>
      </c>
      <c r="M640" t="s">
        <v>78</v>
      </c>
      <c r="N640" t="s">
        <v>108</v>
      </c>
      <c r="O640" t="s">
        <v>74</v>
      </c>
      <c r="P640" t="s">
        <v>74</v>
      </c>
      <c r="Q640" t="s">
        <v>74</v>
      </c>
      <c r="R640" t="s">
        <v>74</v>
      </c>
      <c r="S640" t="s">
        <v>74</v>
      </c>
      <c r="T640" t="s">
        <v>12577</v>
      </c>
      <c r="U640" t="s">
        <v>12578</v>
      </c>
      <c r="V640" t="s">
        <v>12579</v>
      </c>
      <c r="W640" t="s">
        <v>12580</v>
      </c>
      <c r="X640" t="s">
        <v>12581</v>
      </c>
      <c r="Y640" t="s">
        <v>12582</v>
      </c>
      <c r="Z640" t="s">
        <v>12583</v>
      </c>
      <c r="AA640" t="s">
        <v>74</v>
      </c>
      <c r="AB640" t="s">
        <v>74</v>
      </c>
      <c r="AC640" t="s">
        <v>12584</v>
      </c>
      <c r="AD640" t="s">
        <v>12585</v>
      </c>
      <c r="AE640" t="s">
        <v>12586</v>
      </c>
      <c r="AF640" t="s">
        <v>74</v>
      </c>
      <c r="AG640">
        <v>55</v>
      </c>
      <c r="AH640">
        <v>6</v>
      </c>
      <c r="AI640">
        <v>6</v>
      </c>
      <c r="AJ640">
        <v>4</v>
      </c>
      <c r="AK640">
        <v>34</v>
      </c>
      <c r="AL640" t="s">
        <v>438</v>
      </c>
      <c r="AM640" t="s">
        <v>439</v>
      </c>
      <c r="AN640" t="s">
        <v>440</v>
      </c>
      <c r="AO640" t="s">
        <v>818</v>
      </c>
      <c r="AP640" t="s">
        <v>819</v>
      </c>
      <c r="AQ640" t="s">
        <v>74</v>
      </c>
      <c r="AR640" t="s">
        <v>820</v>
      </c>
      <c r="AS640" t="s">
        <v>821</v>
      </c>
      <c r="AT640" t="s">
        <v>12552</v>
      </c>
      <c r="AU640">
        <v>2019</v>
      </c>
      <c r="AV640">
        <v>668</v>
      </c>
      <c r="AW640" t="s">
        <v>74</v>
      </c>
      <c r="AX640" t="s">
        <v>74</v>
      </c>
      <c r="AY640" t="s">
        <v>74</v>
      </c>
      <c r="AZ640" t="s">
        <v>74</v>
      </c>
      <c r="BA640" t="s">
        <v>74</v>
      </c>
      <c r="BB640">
        <v>1310</v>
      </c>
      <c r="BC640">
        <v>1316</v>
      </c>
      <c r="BD640" t="s">
        <v>74</v>
      </c>
      <c r="BE640" t="s">
        <v>12587</v>
      </c>
      <c r="BF640" t="str">
        <f>HYPERLINK("http://dx.doi.org/10.1016/j.scitotenv.2019.02.099","http://dx.doi.org/10.1016/j.scitotenv.2019.02.099")</f>
        <v>http://dx.doi.org/10.1016/j.scitotenv.2019.02.099</v>
      </c>
      <c r="BG640" t="s">
        <v>74</v>
      </c>
      <c r="BH640" t="s">
        <v>74</v>
      </c>
      <c r="BI640">
        <v>7</v>
      </c>
      <c r="BJ640" t="s">
        <v>797</v>
      </c>
      <c r="BK640" t="s">
        <v>101</v>
      </c>
      <c r="BL640" t="s">
        <v>799</v>
      </c>
      <c r="BM640" t="s">
        <v>12572</v>
      </c>
      <c r="BN640">
        <v>31018470</v>
      </c>
      <c r="BO640" t="s">
        <v>74</v>
      </c>
      <c r="BP640" t="s">
        <v>74</v>
      </c>
      <c r="BQ640" t="s">
        <v>74</v>
      </c>
      <c r="BR640" t="s">
        <v>103</v>
      </c>
      <c r="BS640" t="s">
        <v>12588</v>
      </c>
      <c r="BT640" t="str">
        <f>HYPERLINK("https%3A%2F%2Fwww.webofscience.com%2Fwos%2Fwoscc%2Ffull-record%2FWOS:000462776800120","View Full Record in Web of Science")</f>
        <v>View Full Record in Web of Science</v>
      </c>
    </row>
    <row r="641" spans="1:72" x14ac:dyDescent="0.15">
      <c r="A641" t="s">
        <v>72</v>
      </c>
      <c r="B641" t="s">
        <v>12589</v>
      </c>
      <c r="C641" t="s">
        <v>74</v>
      </c>
      <c r="D641" t="s">
        <v>74</v>
      </c>
      <c r="E641" t="s">
        <v>74</v>
      </c>
      <c r="F641" t="s">
        <v>12590</v>
      </c>
      <c r="G641" t="s">
        <v>74</v>
      </c>
      <c r="H641" t="s">
        <v>74</v>
      </c>
      <c r="I641" t="s">
        <v>12591</v>
      </c>
      <c r="J641" t="s">
        <v>11843</v>
      </c>
      <c r="K641" t="s">
        <v>74</v>
      </c>
      <c r="L641" t="s">
        <v>74</v>
      </c>
      <c r="M641" t="s">
        <v>78</v>
      </c>
      <c r="N641" t="s">
        <v>108</v>
      </c>
      <c r="O641" t="s">
        <v>74</v>
      </c>
      <c r="P641" t="s">
        <v>74</v>
      </c>
      <c r="Q641" t="s">
        <v>74</v>
      </c>
      <c r="R641" t="s">
        <v>74</v>
      </c>
      <c r="S641" t="s">
        <v>74</v>
      </c>
      <c r="T641" t="s">
        <v>74</v>
      </c>
      <c r="U641" t="s">
        <v>12592</v>
      </c>
      <c r="V641" t="s">
        <v>12593</v>
      </c>
      <c r="W641" t="s">
        <v>12594</v>
      </c>
      <c r="X641" t="s">
        <v>12595</v>
      </c>
      <c r="Y641" t="s">
        <v>12596</v>
      </c>
      <c r="Z641" t="s">
        <v>12597</v>
      </c>
      <c r="AA641" t="s">
        <v>12598</v>
      </c>
      <c r="AB641" t="s">
        <v>12599</v>
      </c>
      <c r="AC641" t="s">
        <v>12600</v>
      </c>
      <c r="AD641" t="s">
        <v>12601</v>
      </c>
      <c r="AE641" t="s">
        <v>12602</v>
      </c>
      <c r="AF641" t="s">
        <v>74</v>
      </c>
      <c r="AG641">
        <v>40</v>
      </c>
      <c r="AH641">
        <v>50</v>
      </c>
      <c r="AI641">
        <v>54</v>
      </c>
      <c r="AJ641">
        <v>1</v>
      </c>
      <c r="AK641">
        <v>21</v>
      </c>
      <c r="AL641" t="s">
        <v>3287</v>
      </c>
      <c r="AM641" t="s">
        <v>183</v>
      </c>
      <c r="AN641" t="s">
        <v>3288</v>
      </c>
      <c r="AO641" t="s">
        <v>11851</v>
      </c>
      <c r="AP641" t="s">
        <v>11852</v>
      </c>
      <c r="AQ641" t="s">
        <v>74</v>
      </c>
      <c r="AR641" t="s">
        <v>11843</v>
      </c>
      <c r="AS641" t="s">
        <v>11853</v>
      </c>
      <c r="AT641" t="s">
        <v>12603</v>
      </c>
      <c r="AU641">
        <v>2019</v>
      </c>
      <c r="AV641">
        <v>364</v>
      </c>
      <c r="AW641">
        <v>6444</v>
      </c>
      <c r="AX641" t="s">
        <v>74</v>
      </c>
      <c r="AY641" t="s">
        <v>74</v>
      </c>
      <c r="AZ641" t="s">
        <v>730</v>
      </c>
      <c r="BA641" t="s">
        <v>74</v>
      </c>
      <c r="BB641">
        <v>969</v>
      </c>
      <c r="BC641" t="s">
        <v>3569</v>
      </c>
      <c r="BD641" t="s">
        <v>12604</v>
      </c>
      <c r="BE641" t="s">
        <v>12605</v>
      </c>
      <c r="BF641" t="str">
        <f>HYPERLINK("http://dx.doi.org/10.1126/science.aav7908","http://dx.doi.org/10.1126/science.aav7908")</f>
        <v>http://dx.doi.org/10.1126/science.aav7908</v>
      </c>
      <c r="BG641" t="s">
        <v>74</v>
      </c>
      <c r="BH641" t="s">
        <v>74</v>
      </c>
      <c r="BI641">
        <v>8</v>
      </c>
      <c r="BJ641" t="s">
        <v>1004</v>
      </c>
      <c r="BK641" t="s">
        <v>101</v>
      </c>
      <c r="BL641" t="s">
        <v>1005</v>
      </c>
      <c r="BM641" t="s">
        <v>12606</v>
      </c>
      <c r="BN641">
        <v>31023893</v>
      </c>
      <c r="BO641" t="s">
        <v>1308</v>
      </c>
      <c r="BP641" t="s">
        <v>74</v>
      </c>
      <c r="BQ641" t="s">
        <v>74</v>
      </c>
      <c r="BR641" t="s">
        <v>103</v>
      </c>
      <c r="BS641" t="s">
        <v>12607</v>
      </c>
      <c r="BT641" t="str">
        <f>HYPERLINK("https%3A%2F%2Fwww.webofscience.com%2Fwos%2Fwoscc%2Ffull-record%2FWOS:000482914100050","View Full Record in Web of Science")</f>
        <v>View Full Record in Web of Science</v>
      </c>
    </row>
    <row r="642" spans="1:72" x14ac:dyDescent="0.15">
      <c r="A642" t="s">
        <v>72</v>
      </c>
      <c r="B642" t="s">
        <v>12608</v>
      </c>
      <c r="C642" t="s">
        <v>74</v>
      </c>
      <c r="D642" t="s">
        <v>74</v>
      </c>
      <c r="E642" t="s">
        <v>74</v>
      </c>
      <c r="F642" t="s">
        <v>12609</v>
      </c>
      <c r="G642" t="s">
        <v>74</v>
      </c>
      <c r="H642" t="s">
        <v>74</v>
      </c>
      <c r="I642" t="s">
        <v>12610</v>
      </c>
      <c r="J642" t="s">
        <v>11843</v>
      </c>
      <c r="K642" t="s">
        <v>74</v>
      </c>
      <c r="L642" t="s">
        <v>74</v>
      </c>
      <c r="M642" t="s">
        <v>78</v>
      </c>
      <c r="N642" t="s">
        <v>2711</v>
      </c>
      <c r="O642" t="s">
        <v>74</v>
      </c>
      <c r="P642" t="s">
        <v>74</v>
      </c>
      <c r="Q642" t="s">
        <v>74</v>
      </c>
      <c r="R642" t="s">
        <v>74</v>
      </c>
      <c r="S642" t="s">
        <v>74</v>
      </c>
      <c r="T642" t="s">
        <v>74</v>
      </c>
      <c r="U642" t="s">
        <v>12611</v>
      </c>
      <c r="V642" t="s">
        <v>74</v>
      </c>
      <c r="W642" t="s">
        <v>12612</v>
      </c>
      <c r="X642" t="s">
        <v>742</v>
      </c>
      <c r="Y642" t="s">
        <v>12613</v>
      </c>
      <c r="Z642" t="s">
        <v>12614</v>
      </c>
      <c r="AA642" t="s">
        <v>12615</v>
      </c>
      <c r="AB642" t="s">
        <v>74</v>
      </c>
      <c r="AC642" t="s">
        <v>12616</v>
      </c>
      <c r="AD642" t="s">
        <v>12617</v>
      </c>
      <c r="AE642" t="s">
        <v>12618</v>
      </c>
      <c r="AF642" t="s">
        <v>74</v>
      </c>
      <c r="AG642">
        <v>12</v>
      </c>
      <c r="AH642">
        <v>3</v>
      </c>
      <c r="AI642">
        <v>4</v>
      </c>
      <c r="AJ642">
        <v>1</v>
      </c>
      <c r="AK642">
        <v>10</v>
      </c>
      <c r="AL642" t="s">
        <v>3287</v>
      </c>
      <c r="AM642" t="s">
        <v>183</v>
      </c>
      <c r="AN642" t="s">
        <v>3288</v>
      </c>
      <c r="AO642" t="s">
        <v>11851</v>
      </c>
      <c r="AP642" t="s">
        <v>11852</v>
      </c>
      <c r="AQ642" t="s">
        <v>74</v>
      </c>
      <c r="AR642" t="s">
        <v>11843</v>
      </c>
      <c r="AS642" t="s">
        <v>11853</v>
      </c>
      <c r="AT642" t="s">
        <v>12603</v>
      </c>
      <c r="AU642">
        <v>2019</v>
      </c>
      <c r="AV642">
        <v>364</v>
      </c>
      <c r="AW642">
        <v>6444</v>
      </c>
      <c r="AX642" t="s">
        <v>74</v>
      </c>
      <c r="AY642" t="s">
        <v>74</v>
      </c>
      <c r="AZ642" t="s">
        <v>730</v>
      </c>
      <c r="BA642" t="s">
        <v>74</v>
      </c>
      <c r="BB642">
        <v>936</v>
      </c>
      <c r="BC642">
        <v>937</v>
      </c>
      <c r="BD642" t="s">
        <v>74</v>
      </c>
      <c r="BE642" t="s">
        <v>12619</v>
      </c>
      <c r="BF642" t="str">
        <f>HYPERLINK("http://dx.doi.org/10.1126/science.aax2626","http://dx.doi.org/10.1126/science.aax2626")</f>
        <v>http://dx.doi.org/10.1126/science.aax2626</v>
      </c>
      <c r="BG642" t="s">
        <v>74</v>
      </c>
      <c r="BH642" t="s">
        <v>74</v>
      </c>
      <c r="BI642">
        <v>2</v>
      </c>
      <c r="BJ642" t="s">
        <v>1004</v>
      </c>
      <c r="BK642" t="s">
        <v>3718</v>
      </c>
      <c r="BL642" t="s">
        <v>1005</v>
      </c>
      <c r="BM642" t="s">
        <v>12606</v>
      </c>
      <c r="BN642">
        <v>31023892</v>
      </c>
      <c r="BO642" t="s">
        <v>74</v>
      </c>
      <c r="BP642" t="s">
        <v>74</v>
      </c>
      <c r="BQ642" t="s">
        <v>74</v>
      </c>
      <c r="BR642" t="s">
        <v>103</v>
      </c>
      <c r="BS642" t="s">
        <v>12620</v>
      </c>
      <c r="BT642" t="str">
        <f>HYPERLINK("https%3A%2F%2Fwww.webofscience.com%2Fwos%2Fwoscc%2Ffull-record%2FWOS:000482914100037","View Full Record in Web of Science")</f>
        <v>View Full Record in Web of Science</v>
      </c>
    </row>
    <row r="643" spans="1:72" x14ac:dyDescent="0.15">
      <c r="A643" t="s">
        <v>72</v>
      </c>
      <c r="B643" t="s">
        <v>12621</v>
      </c>
      <c r="C643" t="s">
        <v>74</v>
      </c>
      <c r="D643" t="s">
        <v>74</v>
      </c>
      <c r="E643" t="s">
        <v>74</v>
      </c>
      <c r="F643" t="s">
        <v>12622</v>
      </c>
      <c r="G643" t="s">
        <v>74</v>
      </c>
      <c r="H643" t="s">
        <v>74</v>
      </c>
      <c r="I643" t="s">
        <v>12623</v>
      </c>
      <c r="J643" t="s">
        <v>855</v>
      </c>
      <c r="K643" t="s">
        <v>74</v>
      </c>
      <c r="L643" t="s">
        <v>74</v>
      </c>
      <c r="M643" t="s">
        <v>78</v>
      </c>
      <c r="N643" t="s">
        <v>108</v>
      </c>
      <c r="O643" t="s">
        <v>74</v>
      </c>
      <c r="P643" t="s">
        <v>74</v>
      </c>
      <c r="Q643" t="s">
        <v>74</v>
      </c>
      <c r="R643" t="s">
        <v>74</v>
      </c>
      <c r="S643" t="s">
        <v>74</v>
      </c>
      <c r="T643" t="s">
        <v>12624</v>
      </c>
      <c r="U643" t="s">
        <v>12625</v>
      </c>
      <c r="V643" t="s">
        <v>12626</v>
      </c>
      <c r="W643" t="s">
        <v>12627</v>
      </c>
      <c r="X643" t="s">
        <v>12628</v>
      </c>
      <c r="Y643" t="s">
        <v>12629</v>
      </c>
      <c r="Z643" t="s">
        <v>12630</v>
      </c>
      <c r="AA643" t="s">
        <v>12631</v>
      </c>
      <c r="AB643" t="s">
        <v>12632</v>
      </c>
      <c r="AC643" t="s">
        <v>12633</v>
      </c>
      <c r="AD643" t="s">
        <v>12634</v>
      </c>
      <c r="AE643" t="s">
        <v>12635</v>
      </c>
      <c r="AF643" t="s">
        <v>74</v>
      </c>
      <c r="AG643">
        <v>89</v>
      </c>
      <c r="AH643">
        <v>7</v>
      </c>
      <c r="AI643">
        <v>8</v>
      </c>
      <c r="AJ643">
        <v>1</v>
      </c>
      <c r="AK643">
        <v>27</v>
      </c>
      <c r="AL643" t="s">
        <v>868</v>
      </c>
      <c r="AM643" t="s">
        <v>869</v>
      </c>
      <c r="AN643" t="s">
        <v>870</v>
      </c>
      <c r="AO643" t="s">
        <v>74</v>
      </c>
      <c r="AP643" t="s">
        <v>871</v>
      </c>
      <c r="AQ643" t="s">
        <v>74</v>
      </c>
      <c r="AR643" t="s">
        <v>872</v>
      </c>
      <c r="AS643" t="s">
        <v>873</v>
      </c>
      <c r="AT643" t="s">
        <v>12636</v>
      </c>
      <c r="AU643">
        <v>2019</v>
      </c>
      <c r="AV643">
        <v>6</v>
      </c>
      <c r="AW643" t="s">
        <v>74</v>
      </c>
      <c r="AX643" t="s">
        <v>74</v>
      </c>
      <c r="AY643" t="s">
        <v>74</v>
      </c>
      <c r="AZ643" t="s">
        <v>74</v>
      </c>
      <c r="BA643" t="s">
        <v>74</v>
      </c>
      <c r="BB643" t="s">
        <v>74</v>
      </c>
      <c r="BC643" t="s">
        <v>74</v>
      </c>
      <c r="BD643">
        <v>295</v>
      </c>
      <c r="BE643" t="s">
        <v>12637</v>
      </c>
      <c r="BF643" t="str">
        <f>HYPERLINK("http://dx.doi.org/10.3389/fmars.2019.00295","http://dx.doi.org/10.3389/fmars.2019.00295")</f>
        <v>http://dx.doi.org/10.3389/fmars.2019.00295</v>
      </c>
      <c r="BG643" t="s">
        <v>74</v>
      </c>
      <c r="BH643" t="s">
        <v>74</v>
      </c>
      <c r="BI643">
        <v>17</v>
      </c>
      <c r="BJ643" t="s">
        <v>876</v>
      </c>
      <c r="BK643" t="s">
        <v>101</v>
      </c>
      <c r="BL643" t="s">
        <v>877</v>
      </c>
      <c r="BM643" t="s">
        <v>12638</v>
      </c>
      <c r="BN643" t="s">
        <v>74</v>
      </c>
      <c r="BO643" t="s">
        <v>366</v>
      </c>
      <c r="BP643" t="s">
        <v>74</v>
      </c>
      <c r="BQ643" t="s">
        <v>74</v>
      </c>
      <c r="BR643" t="s">
        <v>103</v>
      </c>
      <c r="BS643" t="s">
        <v>12639</v>
      </c>
      <c r="BT643" t="str">
        <f>HYPERLINK("https%3A%2F%2Fwww.webofscience.com%2Fwos%2Fwoscc%2Ffull-record%2FWOS:000470790200001","View Full Record in Web of Science")</f>
        <v>View Full Record in Web of Science</v>
      </c>
    </row>
    <row r="644" spans="1:72" x14ac:dyDescent="0.15">
      <c r="A644" t="s">
        <v>72</v>
      </c>
      <c r="B644" t="s">
        <v>12640</v>
      </c>
      <c r="C644" t="s">
        <v>74</v>
      </c>
      <c r="D644" t="s">
        <v>74</v>
      </c>
      <c r="E644" t="s">
        <v>74</v>
      </c>
      <c r="F644" t="s">
        <v>12641</v>
      </c>
      <c r="G644" t="s">
        <v>74</v>
      </c>
      <c r="H644" t="s">
        <v>74</v>
      </c>
      <c r="I644" t="s">
        <v>12642</v>
      </c>
      <c r="J644" t="s">
        <v>2249</v>
      </c>
      <c r="K644" t="s">
        <v>74</v>
      </c>
      <c r="L644" t="s">
        <v>74</v>
      </c>
      <c r="M644" t="s">
        <v>78</v>
      </c>
      <c r="N644" t="s">
        <v>108</v>
      </c>
      <c r="O644" t="s">
        <v>74</v>
      </c>
      <c r="P644" t="s">
        <v>74</v>
      </c>
      <c r="Q644" t="s">
        <v>74</v>
      </c>
      <c r="R644" t="s">
        <v>74</v>
      </c>
      <c r="S644" t="s">
        <v>74</v>
      </c>
      <c r="T644" t="s">
        <v>74</v>
      </c>
      <c r="U644" t="s">
        <v>12643</v>
      </c>
      <c r="V644" t="s">
        <v>12644</v>
      </c>
      <c r="W644" t="s">
        <v>12645</v>
      </c>
      <c r="X644" t="s">
        <v>12646</v>
      </c>
      <c r="Y644" t="s">
        <v>12647</v>
      </c>
      <c r="Z644" t="s">
        <v>12648</v>
      </c>
      <c r="AA644" t="s">
        <v>12649</v>
      </c>
      <c r="AB644" t="s">
        <v>12650</v>
      </c>
      <c r="AC644" t="s">
        <v>12651</v>
      </c>
      <c r="AD644" t="s">
        <v>12652</v>
      </c>
      <c r="AE644" t="s">
        <v>12653</v>
      </c>
      <c r="AF644" t="s">
        <v>74</v>
      </c>
      <c r="AG644">
        <v>45</v>
      </c>
      <c r="AH644">
        <v>14</v>
      </c>
      <c r="AI644">
        <v>19</v>
      </c>
      <c r="AJ644">
        <v>4</v>
      </c>
      <c r="AK644">
        <v>42</v>
      </c>
      <c r="AL644" t="s">
        <v>839</v>
      </c>
      <c r="AM644" t="s">
        <v>840</v>
      </c>
      <c r="AN644" t="s">
        <v>841</v>
      </c>
      <c r="AO644" t="s">
        <v>2261</v>
      </c>
      <c r="AP644" t="s">
        <v>2262</v>
      </c>
      <c r="AQ644" t="s">
        <v>74</v>
      </c>
      <c r="AR644" t="s">
        <v>2263</v>
      </c>
      <c r="AS644" t="s">
        <v>2264</v>
      </c>
      <c r="AT644" t="s">
        <v>12636</v>
      </c>
      <c r="AU644">
        <v>2019</v>
      </c>
      <c r="AV644">
        <v>19</v>
      </c>
      <c r="AW644">
        <v>11</v>
      </c>
      <c r="AX644" t="s">
        <v>74</v>
      </c>
      <c r="AY644" t="s">
        <v>74</v>
      </c>
      <c r="AZ644" t="s">
        <v>74</v>
      </c>
      <c r="BA644" t="s">
        <v>74</v>
      </c>
      <c r="BB644">
        <v>7567</v>
      </c>
      <c r="BC644">
        <v>7581</v>
      </c>
      <c r="BD644" t="s">
        <v>74</v>
      </c>
      <c r="BE644" t="s">
        <v>12654</v>
      </c>
      <c r="BF644" t="str">
        <f>HYPERLINK("http://dx.doi.org/10.5194/acp-19-7567-2019","http://dx.doi.org/10.5194/acp-19-7567-2019")</f>
        <v>http://dx.doi.org/10.5194/acp-19-7567-2019</v>
      </c>
      <c r="BG644" t="s">
        <v>74</v>
      </c>
      <c r="BH644" t="s">
        <v>74</v>
      </c>
      <c r="BI644">
        <v>15</v>
      </c>
      <c r="BJ644" t="s">
        <v>2267</v>
      </c>
      <c r="BK644" t="s">
        <v>101</v>
      </c>
      <c r="BL644" t="s">
        <v>2268</v>
      </c>
      <c r="BM644" t="s">
        <v>12655</v>
      </c>
      <c r="BN644" t="s">
        <v>74</v>
      </c>
      <c r="BO644" t="s">
        <v>2270</v>
      </c>
      <c r="BP644" t="s">
        <v>74</v>
      </c>
      <c r="BQ644" t="s">
        <v>74</v>
      </c>
      <c r="BR644" t="s">
        <v>103</v>
      </c>
      <c r="BS644" t="s">
        <v>12656</v>
      </c>
      <c r="BT644" t="str">
        <f>HYPERLINK("https%3A%2F%2Fwww.webofscience.com%2Fwos%2Fwoscc%2Ffull-record%2FWOS:000470822700001","View Full Record in Web of Science")</f>
        <v>View Full Record in Web of Science</v>
      </c>
    </row>
    <row r="645" spans="1:72" x14ac:dyDescent="0.15">
      <c r="A645" t="s">
        <v>72</v>
      </c>
      <c r="B645" t="s">
        <v>12657</v>
      </c>
      <c r="C645" t="s">
        <v>74</v>
      </c>
      <c r="D645" t="s">
        <v>74</v>
      </c>
      <c r="E645" t="s">
        <v>74</v>
      </c>
      <c r="F645" t="s">
        <v>12658</v>
      </c>
      <c r="G645" t="s">
        <v>74</v>
      </c>
      <c r="H645" t="s">
        <v>74</v>
      </c>
      <c r="I645" t="s">
        <v>12659</v>
      </c>
      <c r="J645" t="s">
        <v>2249</v>
      </c>
      <c r="K645" t="s">
        <v>74</v>
      </c>
      <c r="L645" t="s">
        <v>74</v>
      </c>
      <c r="M645" t="s">
        <v>78</v>
      </c>
      <c r="N645" t="s">
        <v>108</v>
      </c>
      <c r="O645" t="s">
        <v>74</v>
      </c>
      <c r="P645" t="s">
        <v>74</v>
      </c>
      <c r="Q645" t="s">
        <v>74</v>
      </c>
      <c r="R645" t="s">
        <v>74</v>
      </c>
      <c r="S645" t="s">
        <v>74</v>
      </c>
      <c r="T645" t="s">
        <v>74</v>
      </c>
      <c r="U645" t="s">
        <v>12660</v>
      </c>
      <c r="V645" t="s">
        <v>12661</v>
      </c>
      <c r="W645" t="s">
        <v>12662</v>
      </c>
      <c r="X645" t="s">
        <v>12663</v>
      </c>
      <c r="Y645" t="s">
        <v>12664</v>
      </c>
      <c r="Z645" t="s">
        <v>12665</v>
      </c>
      <c r="AA645" t="s">
        <v>12666</v>
      </c>
      <c r="AB645" t="s">
        <v>12667</v>
      </c>
      <c r="AC645" t="s">
        <v>12668</v>
      </c>
      <c r="AD645" t="s">
        <v>276</v>
      </c>
      <c r="AE645" t="s">
        <v>12669</v>
      </c>
      <c r="AF645" t="s">
        <v>74</v>
      </c>
      <c r="AG645">
        <v>50</v>
      </c>
      <c r="AH645">
        <v>19</v>
      </c>
      <c r="AI645">
        <v>20</v>
      </c>
      <c r="AJ645">
        <v>2</v>
      </c>
      <c r="AK645">
        <v>19</v>
      </c>
      <c r="AL645" t="s">
        <v>839</v>
      </c>
      <c r="AM645" t="s">
        <v>840</v>
      </c>
      <c r="AN645" t="s">
        <v>841</v>
      </c>
      <c r="AO645" t="s">
        <v>2261</v>
      </c>
      <c r="AP645" t="s">
        <v>2262</v>
      </c>
      <c r="AQ645" t="s">
        <v>74</v>
      </c>
      <c r="AR645" t="s">
        <v>2263</v>
      </c>
      <c r="AS645" t="s">
        <v>2264</v>
      </c>
      <c r="AT645" t="s">
        <v>12636</v>
      </c>
      <c r="AU645">
        <v>2019</v>
      </c>
      <c r="AV645">
        <v>19</v>
      </c>
      <c r="AW645">
        <v>11</v>
      </c>
      <c r="AX645" t="s">
        <v>74</v>
      </c>
      <c r="AY645" t="s">
        <v>74</v>
      </c>
      <c r="AZ645" t="s">
        <v>74</v>
      </c>
      <c r="BA645" t="s">
        <v>74</v>
      </c>
      <c r="BB645">
        <v>7583</v>
      </c>
      <c r="BC645">
        <v>7594</v>
      </c>
      <c r="BD645" t="s">
        <v>74</v>
      </c>
      <c r="BE645" t="s">
        <v>12670</v>
      </c>
      <c r="BF645" t="str">
        <f>HYPERLINK("http://dx.doi.org/10.5194/acp-19-7583-2019","http://dx.doi.org/10.5194/acp-19-7583-2019")</f>
        <v>http://dx.doi.org/10.5194/acp-19-7583-2019</v>
      </c>
      <c r="BG645" t="s">
        <v>74</v>
      </c>
      <c r="BH645" t="s">
        <v>74</v>
      </c>
      <c r="BI645">
        <v>12</v>
      </c>
      <c r="BJ645" t="s">
        <v>2267</v>
      </c>
      <c r="BK645" t="s">
        <v>101</v>
      </c>
      <c r="BL645" t="s">
        <v>2268</v>
      </c>
      <c r="BM645" t="s">
        <v>12655</v>
      </c>
      <c r="BN645" t="s">
        <v>74</v>
      </c>
      <c r="BO645" t="s">
        <v>2565</v>
      </c>
      <c r="BP645" t="s">
        <v>74</v>
      </c>
      <c r="BQ645" t="s">
        <v>74</v>
      </c>
      <c r="BR645" t="s">
        <v>103</v>
      </c>
      <c r="BS645" t="s">
        <v>12671</v>
      </c>
      <c r="BT645" t="str">
        <f>HYPERLINK("https%3A%2F%2Fwww.webofscience.com%2Fwos%2Fwoscc%2Ffull-record%2FWOS:000470822700002","View Full Record in Web of Science")</f>
        <v>View Full Record in Web of Science</v>
      </c>
    </row>
    <row r="646" spans="1:72" x14ac:dyDescent="0.15">
      <c r="A646" t="s">
        <v>72</v>
      </c>
      <c r="B646" t="s">
        <v>12672</v>
      </c>
      <c r="C646" t="s">
        <v>74</v>
      </c>
      <c r="D646" t="s">
        <v>74</v>
      </c>
      <c r="E646" t="s">
        <v>74</v>
      </c>
      <c r="F646" t="s">
        <v>12673</v>
      </c>
      <c r="G646" t="s">
        <v>74</v>
      </c>
      <c r="H646" t="s">
        <v>74</v>
      </c>
      <c r="I646" t="s">
        <v>12674</v>
      </c>
      <c r="J646" t="s">
        <v>2249</v>
      </c>
      <c r="K646" t="s">
        <v>74</v>
      </c>
      <c r="L646" t="s">
        <v>74</v>
      </c>
      <c r="M646" t="s">
        <v>78</v>
      </c>
      <c r="N646" t="s">
        <v>108</v>
      </c>
      <c r="O646" t="s">
        <v>74</v>
      </c>
      <c r="P646" t="s">
        <v>74</v>
      </c>
      <c r="Q646" t="s">
        <v>74</v>
      </c>
      <c r="R646" t="s">
        <v>74</v>
      </c>
      <c r="S646" t="s">
        <v>74</v>
      </c>
      <c r="T646" t="s">
        <v>74</v>
      </c>
      <c r="U646" t="s">
        <v>12675</v>
      </c>
      <c r="V646" t="s">
        <v>12676</v>
      </c>
      <c r="W646" t="s">
        <v>12677</v>
      </c>
      <c r="X646" t="s">
        <v>12678</v>
      </c>
      <c r="Y646" t="s">
        <v>12679</v>
      </c>
      <c r="Z646" t="s">
        <v>12680</v>
      </c>
      <c r="AA646" t="s">
        <v>12681</v>
      </c>
      <c r="AB646" t="s">
        <v>12682</v>
      </c>
      <c r="AC646" t="s">
        <v>12683</v>
      </c>
      <c r="AD646" t="s">
        <v>276</v>
      </c>
      <c r="AE646" t="s">
        <v>12684</v>
      </c>
      <c r="AF646" t="s">
        <v>74</v>
      </c>
      <c r="AG646">
        <v>91</v>
      </c>
      <c r="AH646">
        <v>19</v>
      </c>
      <c r="AI646">
        <v>20</v>
      </c>
      <c r="AJ646">
        <v>3</v>
      </c>
      <c r="AK646">
        <v>23</v>
      </c>
      <c r="AL646" t="s">
        <v>839</v>
      </c>
      <c r="AM646" t="s">
        <v>840</v>
      </c>
      <c r="AN646" t="s">
        <v>841</v>
      </c>
      <c r="AO646" t="s">
        <v>2261</v>
      </c>
      <c r="AP646" t="s">
        <v>2262</v>
      </c>
      <c r="AQ646" t="s">
        <v>74</v>
      </c>
      <c r="AR646" t="s">
        <v>2263</v>
      </c>
      <c r="AS646" t="s">
        <v>2264</v>
      </c>
      <c r="AT646" t="s">
        <v>12636</v>
      </c>
      <c r="AU646">
        <v>2019</v>
      </c>
      <c r="AV646">
        <v>19</v>
      </c>
      <c r="AW646">
        <v>11</v>
      </c>
      <c r="AX646" t="s">
        <v>74</v>
      </c>
      <c r="AY646" t="s">
        <v>74</v>
      </c>
      <c r="AZ646" t="s">
        <v>74</v>
      </c>
      <c r="BA646" t="s">
        <v>74</v>
      </c>
      <c r="BB646">
        <v>7595</v>
      </c>
      <c r="BC646">
        <v>7608</v>
      </c>
      <c r="BD646" t="s">
        <v>74</v>
      </c>
      <c r="BE646" t="s">
        <v>12685</v>
      </c>
      <c r="BF646" t="str">
        <f>HYPERLINK("http://dx.doi.org/10.5194/acp-19-7595-2019","http://dx.doi.org/10.5194/acp-19-7595-2019")</f>
        <v>http://dx.doi.org/10.5194/acp-19-7595-2019</v>
      </c>
      <c r="BG646" t="s">
        <v>74</v>
      </c>
      <c r="BH646" t="s">
        <v>74</v>
      </c>
      <c r="BI646">
        <v>14</v>
      </c>
      <c r="BJ646" t="s">
        <v>2267</v>
      </c>
      <c r="BK646" t="s">
        <v>101</v>
      </c>
      <c r="BL646" t="s">
        <v>2268</v>
      </c>
      <c r="BM646" t="s">
        <v>12655</v>
      </c>
      <c r="BN646" t="s">
        <v>74</v>
      </c>
      <c r="BO646" t="s">
        <v>2270</v>
      </c>
      <c r="BP646" t="s">
        <v>74</v>
      </c>
      <c r="BQ646" t="s">
        <v>74</v>
      </c>
      <c r="BR646" t="s">
        <v>103</v>
      </c>
      <c r="BS646" t="s">
        <v>12686</v>
      </c>
      <c r="BT646" t="str">
        <f>HYPERLINK("https%3A%2F%2Fwww.webofscience.com%2Fwos%2Fwoscc%2Ffull-record%2FWOS:000470822700003","View Full Record in Web of Science")</f>
        <v>View Full Record in Web of Science</v>
      </c>
    </row>
    <row r="647" spans="1:72" x14ac:dyDescent="0.15">
      <c r="A647" t="s">
        <v>72</v>
      </c>
      <c r="B647" t="s">
        <v>12687</v>
      </c>
      <c r="C647" t="s">
        <v>74</v>
      </c>
      <c r="D647" t="s">
        <v>74</v>
      </c>
      <c r="E647" t="s">
        <v>74</v>
      </c>
      <c r="F647" t="s">
        <v>12688</v>
      </c>
      <c r="G647" t="s">
        <v>74</v>
      </c>
      <c r="H647" t="s">
        <v>74</v>
      </c>
      <c r="I647" t="s">
        <v>12689</v>
      </c>
      <c r="J647" t="s">
        <v>12690</v>
      </c>
      <c r="K647" t="s">
        <v>74</v>
      </c>
      <c r="L647" t="s">
        <v>74</v>
      </c>
      <c r="M647" t="s">
        <v>78</v>
      </c>
      <c r="N647" t="s">
        <v>108</v>
      </c>
      <c r="O647" t="s">
        <v>74</v>
      </c>
      <c r="P647" t="s">
        <v>74</v>
      </c>
      <c r="Q647" t="s">
        <v>74</v>
      </c>
      <c r="R647" t="s">
        <v>74</v>
      </c>
      <c r="S647" t="s">
        <v>74</v>
      </c>
      <c r="T647" t="s">
        <v>74</v>
      </c>
      <c r="U647" t="s">
        <v>12691</v>
      </c>
      <c r="V647" t="s">
        <v>12692</v>
      </c>
      <c r="W647" t="s">
        <v>12693</v>
      </c>
      <c r="X647" t="s">
        <v>12694</v>
      </c>
      <c r="Y647" t="s">
        <v>12695</v>
      </c>
      <c r="Z647" t="s">
        <v>12696</v>
      </c>
      <c r="AA647" t="s">
        <v>12697</v>
      </c>
      <c r="AB647" t="s">
        <v>12698</v>
      </c>
      <c r="AC647" t="s">
        <v>12699</v>
      </c>
      <c r="AD647" t="s">
        <v>12700</v>
      </c>
      <c r="AE647" t="s">
        <v>12701</v>
      </c>
      <c r="AF647" t="s">
        <v>74</v>
      </c>
      <c r="AG647">
        <v>45</v>
      </c>
      <c r="AH647">
        <v>51</v>
      </c>
      <c r="AI647">
        <v>56</v>
      </c>
      <c r="AJ647">
        <v>0</v>
      </c>
      <c r="AK647">
        <v>25</v>
      </c>
      <c r="AL647" t="s">
        <v>839</v>
      </c>
      <c r="AM647" t="s">
        <v>840</v>
      </c>
      <c r="AN647" t="s">
        <v>841</v>
      </c>
      <c r="AO647" t="s">
        <v>12702</v>
      </c>
      <c r="AP647" t="s">
        <v>12703</v>
      </c>
      <c r="AQ647" t="s">
        <v>74</v>
      </c>
      <c r="AR647" t="s">
        <v>12704</v>
      </c>
      <c r="AS647" t="s">
        <v>12705</v>
      </c>
      <c r="AT647" t="s">
        <v>12636</v>
      </c>
      <c r="AU647">
        <v>2019</v>
      </c>
      <c r="AV647">
        <v>12</v>
      </c>
      <c r="AW647">
        <v>6</v>
      </c>
      <c r="AX647" t="s">
        <v>74</v>
      </c>
      <c r="AY647" t="s">
        <v>74</v>
      </c>
      <c r="AZ647" t="s">
        <v>74</v>
      </c>
      <c r="BA647" t="s">
        <v>74</v>
      </c>
      <c r="BB647">
        <v>3081</v>
      </c>
      <c r="BC647">
        <v>3099</v>
      </c>
      <c r="BD647" t="s">
        <v>74</v>
      </c>
      <c r="BE647" t="s">
        <v>12706</v>
      </c>
      <c r="BF647" t="str">
        <f>HYPERLINK("http://dx.doi.org/10.5194/amt-12-3081-2019","http://dx.doi.org/10.5194/amt-12-3081-2019")</f>
        <v>http://dx.doi.org/10.5194/amt-12-3081-2019</v>
      </c>
      <c r="BG647" t="s">
        <v>74</v>
      </c>
      <c r="BH647" t="s">
        <v>74</v>
      </c>
      <c r="BI647">
        <v>19</v>
      </c>
      <c r="BJ647" t="s">
        <v>259</v>
      </c>
      <c r="BK647" t="s">
        <v>101</v>
      </c>
      <c r="BL647" t="s">
        <v>259</v>
      </c>
      <c r="BM647" t="s">
        <v>12707</v>
      </c>
      <c r="BN647" t="s">
        <v>74</v>
      </c>
      <c r="BO647" t="s">
        <v>1197</v>
      </c>
      <c r="BP647" t="s">
        <v>74</v>
      </c>
      <c r="BQ647" t="s">
        <v>74</v>
      </c>
      <c r="BR647" t="s">
        <v>103</v>
      </c>
      <c r="BS647" t="s">
        <v>12708</v>
      </c>
      <c r="BT647" t="str">
        <f>HYPERLINK("https%3A%2F%2Fwww.webofscience.com%2Fwos%2Fwoscc%2Ffull-record%2FWOS:000470823100002","View Full Record in Web of Science")</f>
        <v>View Full Record in Web of Science</v>
      </c>
    </row>
    <row r="648" spans="1:72" x14ac:dyDescent="0.15">
      <c r="A648" t="s">
        <v>72</v>
      </c>
      <c r="B648" t="s">
        <v>12709</v>
      </c>
      <c r="C648" t="s">
        <v>74</v>
      </c>
      <c r="D648" t="s">
        <v>74</v>
      </c>
      <c r="E648" t="s">
        <v>74</v>
      </c>
      <c r="F648" t="s">
        <v>12710</v>
      </c>
      <c r="G648" t="s">
        <v>74</v>
      </c>
      <c r="H648" t="s">
        <v>74</v>
      </c>
      <c r="I648" t="s">
        <v>12711</v>
      </c>
      <c r="J648" t="s">
        <v>12712</v>
      </c>
      <c r="K648" t="s">
        <v>74</v>
      </c>
      <c r="L648" t="s">
        <v>74</v>
      </c>
      <c r="M648" t="s">
        <v>78</v>
      </c>
      <c r="N648" t="s">
        <v>108</v>
      </c>
      <c r="O648" t="s">
        <v>74</v>
      </c>
      <c r="P648" t="s">
        <v>74</v>
      </c>
      <c r="Q648" t="s">
        <v>74</v>
      </c>
      <c r="R648" t="s">
        <v>74</v>
      </c>
      <c r="S648" t="s">
        <v>74</v>
      </c>
      <c r="T648" t="s">
        <v>12713</v>
      </c>
      <c r="U648" t="s">
        <v>12714</v>
      </c>
      <c r="V648" t="s">
        <v>12715</v>
      </c>
      <c r="W648" t="s">
        <v>12716</v>
      </c>
      <c r="X648" t="s">
        <v>12717</v>
      </c>
      <c r="Y648" t="s">
        <v>12718</v>
      </c>
      <c r="Z648" t="s">
        <v>12719</v>
      </c>
      <c r="AA648" t="s">
        <v>12720</v>
      </c>
      <c r="AB648" t="s">
        <v>12721</v>
      </c>
      <c r="AC648" t="s">
        <v>12722</v>
      </c>
      <c r="AD648" t="s">
        <v>12723</v>
      </c>
      <c r="AE648" t="s">
        <v>12724</v>
      </c>
      <c r="AF648" t="s">
        <v>74</v>
      </c>
      <c r="AG648">
        <v>31</v>
      </c>
      <c r="AH648">
        <v>25</v>
      </c>
      <c r="AI648">
        <v>26</v>
      </c>
      <c r="AJ648">
        <v>3</v>
      </c>
      <c r="AK648">
        <v>96</v>
      </c>
      <c r="AL648" t="s">
        <v>438</v>
      </c>
      <c r="AM648" t="s">
        <v>439</v>
      </c>
      <c r="AN648" t="s">
        <v>440</v>
      </c>
      <c r="AO648" t="s">
        <v>12725</v>
      </c>
      <c r="AP648" t="s">
        <v>12726</v>
      </c>
      <c r="AQ648" t="s">
        <v>74</v>
      </c>
      <c r="AR648" t="s">
        <v>12727</v>
      </c>
      <c r="AS648" t="s">
        <v>12728</v>
      </c>
      <c r="AT648" t="s">
        <v>12729</v>
      </c>
      <c r="AU648">
        <v>2019</v>
      </c>
      <c r="AV648">
        <v>371</v>
      </c>
      <c r="AW648" t="s">
        <v>74</v>
      </c>
      <c r="AX648" t="s">
        <v>74</v>
      </c>
      <c r="AY648" t="s">
        <v>74</v>
      </c>
      <c r="AZ648" t="s">
        <v>74</v>
      </c>
      <c r="BA648" t="s">
        <v>74</v>
      </c>
      <c r="BB648">
        <v>449</v>
      </c>
      <c r="BC648">
        <v>455</v>
      </c>
      <c r="BD648" t="s">
        <v>74</v>
      </c>
      <c r="BE648" t="s">
        <v>12730</v>
      </c>
      <c r="BF648" t="str">
        <f>HYPERLINK("http://dx.doi.org/10.1016/j.jhazmat.2019.02.089","http://dx.doi.org/10.1016/j.jhazmat.2019.02.089")</f>
        <v>http://dx.doi.org/10.1016/j.jhazmat.2019.02.089</v>
      </c>
      <c r="BG648" t="s">
        <v>74</v>
      </c>
      <c r="BH648" t="s">
        <v>74</v>
      </c>
      <c r="BI648">
        <v>7</v>
      </c>
      <c r="BJ648" t="s">
        <v>1585</v>
      </c>
      <c r="BK648" t="s">
        <v>101</v>
      </c>
      <c r="BL648" t="s">
        <v>1586</v>
      </c>
      <c r="BM648" t="s">
        <v>12731</v>
      </c>
      <c r="BN648">
        <v>30875572</v>
      </c>
      <c r="BO648" t="s">
        <v>74</v>
      </c>
      <c r="BP648" t="s">
        <v>74</v>
      </c>
      <c r="BQ648" t="s">
        <v>74</v>
      </c>
      <c r="BR648" t="s">
        <v>103</v>
      </c>
      <c r="BS648" t="s">
        <v>12732</v>
      </c>
      <c r="BT648" t="str">
        <f>HYPERLINK("https%3A%2F%2Fwww.webofscience.com%2Fwos%2Fwoscc%2Ffull-record%2FWOS:000473121900050","View Full Record in Web of Science")</f>
        <v>View Full Record in Web of Science</v>
      </c>
    </row>
    <row r="649" spans="1:72" x14ac:dyDescent="0.15">
      <c r="A649" t="s">
        <v>72</v>
      </c>
      <c r="B649" t="s">
        <v>12733</v>
      </c>
      <c r="C649" t="s">
        <v>74</v>
      </c>
      <c r="D649" t="s">
        <v>74</v>
      </c>
      <c r="E649" t="s">
        <v>74</v>
      </c>
      <c r="F649" t="s">
        <v>12734</v>
      </c>
      <c r="G649" t="s">
        <v>74</v>
      </c>
      <c r="H649" t="s">
        <v>74</v>
      </c>
      <c r="I649" t="s">
        <v>12735</v>
      </c>
      <c r="J649" t="s">
        <v>1832</v>
      </c>
      <c r="K649" t="s">
        <v>74</v>
      </c>
      <c r="L649" t="s">
        <v>74</v>
      </c>
      <c r="M649" t="s">
        <v>78</v>
      </c>
      <c r="N649" t="s">
        <v>108</v>
      </c>
      <c r="O649" t="s">
        <v>74</v>
      </c>
      <c r="P649" t="s">
        <v>74</v>
      </c>
      <c r="Q649" t="s">
        <v>74</v>
      </c>
      <c r="R649" t="s">
        <v>74</v>
      </c>
      <c r="S649" t="s">
        <v>74</v>
      </c>
      <c r="T649" t="s">
        <v>74</v>
      </c>
      <c r="U649" t="s">
        <v>12736</v>
      </c>
      <c r="V649" t="s">
        <v>12737</v>
      </c>
      <c r="W649" t="s">
        <v>12738</v>
      </c>
      <c r="X649" t="s">
        <v>12739</v>
      </c>
      <c r="Y649" t="s">
        <v>12740</v>
      </c>
      <c r="Z649" t="s">
        <v>12741</v>
      </c>
      <c r="AA649" t="s">
        <v>12742</v>
      </c>
      <c r="AB649" t="s">
        <v>12743</v>
      </c>
      <c r="AC649" t="s">
        <v>12744</v>
      </c>
      <c r="AD649" t="s">
        <v>12745</v>
      </c>
      <c r="AE649" t="s">
        <v>12746</v>
      </c>
      <c r="AF649" t="s">
        <v>74</v>
      </c>
      <c r="AG649">
        <v>77</v>
      </c>
      <c r="AH649">
        <v>18</v>
      </c>
      <c r="AI649">
        <v>20</v>
      </c>
      <c r="AJ649">
        <v>2</v>
      </c>
      <c r="AK649">
        <v>5</v>
      </c>
      <c r="AL649" t="s">
        <v>839</v>
      </c>
      <c r="AM649" t="s">
        <v>840</v>
      </c>
      <c r="AN649" t="s">
        <v>841</v>
      </c>
      <c r="AO649" t="s">
        <v>1844</v>
      </c>
      <c r="AP649" t="s">
        <v>1845</v>
      </c>
      <c r="AQ649" t="s">
        <v>74</v>
      </c>
      <c r="AR649" t="s">
        <v>1832</v>
      </c>
      <c r="AS649" t="s">
        <v>1846</v>
      </c>
      <c r="AT649" t="s">
        <v>12729</v>
      </c>
      <c r="AU649">
        <v>2019</v>
      </c>
      <c r="AV649">
        <v>13</v>
      </c>
      <c r="AW649">
        <v>6</v>
      </c>
      <c r="AX649" t="s">
        <v>74</v>
      </c>
      <c r="AY649" t="s">
        <v>74</v>
      </c>
      <c r="AZ649" t="s">
        <v>74</v>
      </c>
      <c r="BA649" t="s">
        <v>74</v>
      </c>
      <c r="BB649">
        <v>1583</v>
      </c>
      <c r="BC649">
        <v>1596</v>
      </c>
      <c r="BD649" t="s">
        <v>74</v>
      </c>
      <c r="BE649" t="s">
        <v>12747</v>
      </c>
      <c r="BF649" t="str">
        <f>HYPERLINK("http://dx.doi.org/10.5194/tc-13-1583-2019","http://dx.doi.org/10.5194/tc-13-1583-2019")</f>
        <v>http://dx.doi.org/10.5194/tc-13-1583-2019</v>
      </c>
      <c r="BG649" t="s">
        <v>74</v>
      </c>
      <c r="BH649" t="s">
        <v>74</v>
      </c>
      <c r="BI649">
        <v>14</v>
      </c>
      <c r="BJ649" t="s">
        <v>310</v>
      </c>
      <c r="BK649" t="s">
        <v>101</v>
      </c>
      <c r="BL649" t="s">
        <v>311</v>
      </c>
      <c r="BM649" t="s">
        <v>12748</v>
      </c>
      <c r="BN649" t="s">
        <v>74</v>
      </c>
      <c r="BO649" t="s">
        <v>12749</v>
      </c>
      <c r="BP649" t="s">
        <v>74</v>
      </c>
      <c r="BQ649" t="s">
        <v>74</v>
      </c>
      <c r="BR649" t="s">
        <v>103</v>
      </c>
      <c r="BS649" t="s">
        <v>12750</v>
      </c>
      <c r="BT649" t="str">
        <f>HYPERLINK("https%3A%2F%2Fwww.webofscience.com%2Fwos%2Fwoscc%2Ffull-record%2FWOS:000470765500001","View Full Record in Web of Science")</f>
        <v>View Full Record in Web of Science</v>
      </c>
    </row>
    <row r="650" spans="1:72" x14ac:dyDescent="0.15">
      <c r="A650" t="s">
        <v>72</v>
      </c>
      <c r="B650" t="s">
        <v>12751</v>
      </c>
      <c r="C650" t="s">
        <v>74</v>
      </c>
      <c r="D650" t="s">
        <v>74</v>
      </c>
      <c r="E650" t="s">
        <v>74</v>
      </c>
      <c r="F650" t="s">
        <v>12752</v>
      </c>
      <c r="G650" t="s">
        <v>74</v>
      </c>
      <c r="H650" t="s">
        <v>74</v>
      </c>
      <c r="I650" t="s">
        <v>12753</v>
      </c>
      <c r="J650" t="s">
        <v>1373</v>
      </c>
      <c r="K650" t="s">
        <v>74</v>
      </c>
      <c r="L650" t="s">
        <v>74</v>
      </c>
      <c r="M650" t="s">
        <v>78</v>
      </c>
      <c r="N650" t="s">
        <v>108</v>
      </c>
      <c r="O650" t="s">
        <v>74</v>
      </c>
      <c r="P650" t="s">
        <v>74</v>
      </c>
      <c r="Q650" t="s">
        <v>74</v>
      </c>
      <c r="R650" t="s">
        <v>74</v>
      </c>
      <c r="S650" t="s">
        <v>74</v>
      </c>
      <c r="T650" t="s">
        <v>74</v>
      </c>
      <c r="U650" t="s">
        <v>12754</v>
      </c>
      <c r="V650" t="s">
        <v>12755</v>
      </c>
      <c r="W650" t="s">
        <v>12756</v>
      </c>
      <c r="X650" t="s">
        <v>12757</v>
      </c>
      <c r="Y650" t="s">
        <v>12758</v>
      </c>
      <c r="Z650" t="s">
        <v>12759</v>
      </c>
      <c r="AA650" t="s">
        <v>12760</v>
      </c>
      <c r="AB650" t="s">
        <v>12761</v>
      </c>
      <c r="AC650" t="s">
        <v>12762</v>
      </c>
      <c r="AD650" t="s">
        <v>12763</v>
      </c>
      <c r="AE650" t="s">
        <v>12764</v>
      </c>
      <c r="AF650" t="s">
        <v>74</v>
      </c>
      <c r="AG650">
        <v>35</v>
      </c>
      <c r="AH650">
        <v>74</v>
      </c>
      <c r="AI650">
        <v>84</v>
      </c>
      <c r="AJ650">
        <v>3</v>
      </c>
      <c r="AK650">
        <v>48</v>
      </c>
      <c r="AL650" t="s">
        <v>998</v>
      </c>
      <c r="AM650" t="s">
        <v>657</v>
      </c>
      <c r="AN650" t="s">
        <v>999</v>
      </c>
      <c r="AO650" t="s">
        <v>1385</v>
      </c>
      <c r="AP650" t="s">
        <v>74</v>
      </c>
      <c r="AQ650" t="s">
        <v>74</v>
      </c>
      <c r="AR650" t="s">
        <v>1386</v>
      </c>
      <c r="AS650" t="s">
        <v>1387</v>
      </c>
      <c r="AT650" t="s">
        <v>12729</v>
      </c>
      <c r="AU650">
        <v>2019</v>
      </c>
      <c r="AV650">
        <v>10</v>
      </c>
      <c r="AW650" t="s">
        <v>74</v>
      </c>
      <c r="AX650" t="s">
        <v>74</v>
      </c>
      <c r="AY650" t="s">
        <v>74</v>
      </c>
      <c r="AZ650" t="s">
        <v>74</v>
      </c>
      <c r="BA650" t="s">
        <v>74</v>
      </c>
      <c r="BB650" t="s">
        <v>74</v>
      </c>
      <c r="BC650" t="s">
        <v>74</v>
      </c>
      <c r="BD650">
        <v>2451</v>
      </c>
      <c r="BE650" t="s">
        <v>12765</v>
      </c>
      <c r="BF650" t="str">
        <f>HYPERLINK("http://dx.doi.org/10.1038/s41467-019-09973-6","http://dx.doi.org/10.1038/s41467-019-09973-6")</f>
        <v>http://dx.doi.org/10.1038/s41467-019-09973-6</v>
      </c>
      <c r="BG650" t="s">
        <v>74</v>
      </c>
      <c r="BH650" t="s">
        <v>74</v>
      </c>
      <c r="BI650">
        <v>8</v>
      </c>
      <c r="BJ650" t="s">
        <v>1004</v>
      </c>
      <c r="BK650" t="s">
        <v>101</v>
      </c>
      <c r="BL650" t="s">
        <v>1005</v>
      </c>
      <c r="BM650" t="s">
        <v>12766</v>
      </c>
      <c r="BN650">
        <v>31165724</v>
      </c>
      <c r="BO650" t="s">
        <v>1197</v>
      </c>
      <c r="BP650" t="s">
        <v>74</v>
      </c>
      <c r="BQ650" t="s">
        <v>74</v>
      </c>
      <c r="BR650" t="s">
        <v>103</v>
      </c>
      <c r="BS650" t="s">
        <v>12767</v>
      </c>
      <c r="BT650" t="str">
        <f>HYPERLINK("https%3A%2F%2Fwww.webofscience.com%2Fwos%2Fwoscc%2Ffull-record%2FWOS:000470083300001","View Full Record in Web of Science")</f>
        <v>View Full Record in Web of Science</v>
      </c>
    </row>
    <row r="651" spans="1:72" x14ac:dyDescent="0.15">
      <c r="A651" t="s">
        <v>72</v>
      </c>
      <c r="B651" t="s">
        <v>12768</v>
      </c>
      <c r="C651" t="s">
        <v>74</v>
      </c>
      <c r="D651" t="s">
        <v>74</v>
      </c>
      <c r="E651" t="s">
        <v>74</v>
      </c>
      <c r="F651" t="s">
        <v>12769</v>
      </c>
      <c r="G651" t="s">
        <v>74</v>
      </c>
      <c r="H651" t="s">
        <v>74</v>
      </c>
      <c r="I651" t="s">
        <v>12770</v>
      </c>
      <c r="J651" t="s">
        <v>855</v>
      </c>
      <c r="K651" t="s">
        <v>74</v>
      </c>
      <c r="L651" t="s">
        <v>74</v>
      </c>
      <c r="M651" t="s">
        <v>78</v>
      </c>
      <c r="N651" t="s">
        <v>108</v>
      </c>
      <c r="O651" t="s">
        <v>74</v>
      </c>
      <c r="P651" t="s">
        <v>74</v>
      </c>
      <c r="Q651" t="s">
        <v>74</v>
      </c>
      <c r="R651" t="s">
        <v>74</v>
      </c>
      <c r="S651" t="s">
        <v>74</v>
      </c>
      <c r="T651" t="s">
        <v>12771</v>
      </c>
      <c r="U651" t="s">
        <v>12772</v>
      </c>
      <c r="V651" t="s">
        <v>12773</v>
      </c>
      <c r="W651" t="s">
        <v>12774</v>
      </c>
      <c r="X651" t="s">
        <v>12775</v>
      </c>
      <c r="Y651" t="s">
        <v>12776</v>
      </c>
      <c r="Z651" t="s">
        <v>12777</v>
      </c>
      <c r="AA651" t="s">
        <v>12778</v>
      </c>
      <c r="AB651" t="s">
        <v>12779</v>
      </c>
      <c r="AC651" t="s">
        <v>12780</v>
      </c>
      <c r="AD651" t="s">
        <v>12781</v>
      </c>
      <c r="AE651" t="s">
        <v>12782</v>
      </c>
      <c r="AF651" t="s">
        <v>74</v>
      </c>
      <c r="AG651">
        <v>116</v>
      </c>
      <c r="AH651">
        <v>38</v>
      </c>
      <c r="AI651">
        <v>38</v>
      </c>
      <c r="AJ651">
        <v>3</v>
      </c>
      <c r="AK651">
        <v>18</v>
      </c>
      <c r="AL651" t="s">
        <v>868</v>
      </c>
      <c r="AM651" t="s">
        <v>869</v>
      </c>
      <c r="AN651" t="s">
        <v>870</v>
      </c>
      <c r="AO651" t="s">
        <v>74</v>
      </c>
      <c r="AP651" t="s">
        <v>871</v>
      </c>
      <c r="AQ651" t="s">
        <v>74</v>
      </c>
      <c r="AR651" t="s">
        <v>872</v>
      </c>
      <c r="AS651" t="s">
        <v>873</v>
      </c>
      <c r="AT651" t="s">
        <v>12729</v>
      </c>
      <c r="AU651">
        <v>2019</v>
      </c>
      <c r="AV651">
        <v>6</v>
      </c>
      <c r="AW651" t="s">
        <v>74</v>
      </c>
      <c r="AX651" t="s">
        <v>74</v>
      </c>
      <c r="AY651" t="s">
        <v>74</v>
      </c>
      <c r="AZ651" t="s">
        <v>74</v>
      </c>
      <c r="BA651" t="s">
        <v>74</v>
      </c>
      <c r="BB651" t="s">
        <v>74</v>
      </c>
      <c r="BC651" t="s">
        <v>74</v>
      </c>
      <c r="BD651">
        <v>297</v>
      </c>
      <c r="BE651" t="s">
        <v>12783</v>
      </c>
      <c r="BF651" t="str">
        <f>HYPERLINK("http://dx.doi.org/10.3389/fmars.2019.00297","http://dx.doi.org/10.3389/fmars.2019.00297")</f>
        <v>http://dx.doi.org/10.3389/fmars.2019.00297</v>
      </c>
      <c r="BG651" t="s">
        <v>74</v>
      </c>
      <c r="BH651" t="s">
        <v>74</v>
      </c>
      <c r="BI651">
        <v>15</v>
      </c>
      <c r="BJ651" t="s">
        <v>876</v>
      </c>
      <c r="BK651" t="s">
        <v>101</v>
      </c>
      <c r="BL651" t="s">
        <v>877</v>
      </c>
      <c r="BM651" t="s">
        <v>12784</v>
      </c>
      <c r="BN651" t="s">
        <v>74</v>
      </c>
      <c r="BO651" t="s">
        <v>2548</v>
      </c>
      <c r="BP651" t="s">
        <v>74</v>
      </c>
      <c r="BQ651" t="s">
        <v>74</v>
      </c>
      <c r="BR651" t="s">
        <v>103</v>
      </c>
      <c r="BS651" t="s">
        <v>12785</v>
      </c>
      <c r="BT651" t="str">
        <f>HYPERLINK("https%3A%2F%2Fwww.webofscience.com%2Fwos%2Fwoscc%2Ffull-record%2FWOS:000470789400001","View Full Record in Web of Science")</f>
        <v>View Full Record in Web of Science</v>
      </c>
    </row>
    <row r="652" spans="1:72" x14ac:dyDescent="0.15">
      <c r="A652" t="s">
        <v>72</v>
      </c>
      <c r="B652" t="s">
        <v>12786</v>
      </c>
      <c r="C652" t="s">
        <v>74</v>
      </c>
      <c r="D652" t="s">
        <v>74</v>
      </c>
      <c r="E652" t="s">
        <v>74</v>
      </c>
      <c r="F652" t="s">
        <v>12787</v>
      </c>
      <c r="G652" t="s">
        <v>74</v>
      </c>
      <c r="H652" t="s">
        <v>74</v>
      </c>
      <c r="I652" t="s">
        <v>12788</v>
      </c>
      <c r="J652" t="s">
        <v>828</v>
      </c>
      <c r="K652" t="s">
        <v>74</v>
      </c>
      <c r="L652" t="s">
        <v>74</v>
      </c>
      <c r="M652" t="s">
        <v>78</v>
      </c>
      <c r="N652" t="s">
        <v>108</v>
      </c>
      <c r="O652" t="s">
        <v>74</v>
      </c>
      <c r="P652" t="s">
        <v>74</v>
      </c>
      <c r="Q652" t="s">
        <v>74</v>
      </c>
      <c r="R652" t="s">
        <v>74</v>
      </c>
      <c r="S652" t="s">
        <v>74</v>
      </c>
      <c r="T652" t="s">
        <v>74</v>
      </c>
      <c r="U652" t="s">
        <v>12789</v>
      </c>
      <c r="V652" t="s">
        <v>12790</v>
      </c>
      <c r="W652" t="s">
        <v>12791</v>
      </c>
      <c r="X652" t="s">
        <v>2835</v>
      </c>
      <c r="Y652" t="s">
        <v>12792</v>
      </c>
      <c r="Z652" t="s">
        <v>12793</v>
      </c>
      <c r="AA652" t="s">
        <v>12794</v>
      </c>
      <c r="AB652" t="s">
        <v>12795</v>
      </c>
      <c r="AC652" t="s">
        <v>12796</v>
      </c>
      <c r="AD652" t="s">
        <v>12797</v>
      </c>
      <c r="AE652" t="s">
        <v>12798</v>
      </c>
      <c r="AF652" t="s">
        <v>74</v>
      </c>
      <c r="AG652">
        <v>95</v>
      </c>
      <c r="AH652">
        <v>19</v>
      </c>
      <c r="AI652">
        <v>23</v>
      </c>
      <c r="AJ652">
        <v>2</v>
      </c>
      <c r="AK652">
        <v>18</v>
      </c>
      <c r="AL652" t="s">
        <v>839</v>
      </c>
      <c r="AM652" t="s">
        <v>840</v>
      </c>
      <c r="AN652" t="s">
        <v>841</v>
      </c>
      <c r="AO652" t="s">
        <v>842</v>
      </c>
      <c r="AP652" t="s">
        <v>843</v>
      </c>
      <c r="AQ652" t="s">
        <v>74</v>
      </c>
      <c r="AR652" t="s">
        <v>828</v>
      </c>
      <c r="AS652" t="s">
        <v>844</v>
      </c>
      <c r="AT652" t="s">
        <v>12799</v>
      </c>
      <c r="AU652">
        <v>2019</v>
      </c>
      <c r="AV652">
        <v>16</v>
      </c>
      <c r="AW652">
        <v>11</v>
      </c>
      <c r="AX652" t="s">
        <v>74</v>
      </c>
      <c r="AY652" t="s">
        <v>74</v>
      </c>
      <c r="AZ652" t="s">
        <v>74</v>
      </c>
      <c r="BA652" t="s">
        <v>74</v>
      </c>
      <c r="BB652">
        <v>2247</v>
      </c>
      <c r="BC652">
        <v>2268</v>
      </c>
      <c r="BD652" t="s">
        <v>74</v>
      </c>
      <c r="BE652" t="s">
        <v>12800</v>
      </c>
      <c r="BF652" t="str">
        <f>HYPERLINK("http://dx.doi.org/10.5194/bg-16-2247-2019","http://dx.doi.org/10.5194/bg-16-2247-2019")</f>
        <v>http://dx.doi.org/10.5194/bg-16-2247-2019</v>
      </c>
      <c r="BG652" t="s">
        <v>74</v>
      </c>
      <c r="BH652" t="s">
        <v>74</v>
      </c>
      <c r="BI652">
        <v>22</v>
      </c>
      <c r="BJ652" t="s">
        <v>847</v>
      </c>
      <c r="BK652" t="s">
        <v>101</v>
      </c>
      <c r="BL652" t="s">
        <v>848</v>
      </c>
      <c r="BM652" t="s">
        <v>12801</v>
      </c>
      <c r="BN652" t="s">
        <v>74</v>
      </c>
      <c r="BO652" t="s">
        <v>2270</v>
      </c>
      <c r="BP652" t="s">
        <v>74</v>
      </c>
      <c r="BQ652" t="s">
        <v>74</v>
      </c>
      <c r="BR652" t="s">
        <v>103</v>
      </c>
      <c r="BS652" t="s">
        <v>12802</v>
      </c>
      <c r="BT652" t="str">
        <f>HYPERLINK("https%3A%2F%2Fwww.webofscience.com%2Fwos%2Fwoscc%2Ffull-record%2FWOS:000470702100001","View Full Record in Web of Science")</f>
        <v>View Full Record in Web of Science</v>
      </c>
    </row>
    <row r="653" spans="1:72" x14ac:dyDescent="0.15">
      <c r="A653" t="s">
        <v>72</v>
      </c>
      <c r="B653" t="s">
        <v>12803</v>
      </c>
      <c r="C653" t="s">
        <v>74</v>
      </c>
      <c r="D653" t="s">
        <v>74</v>
      </c>
      <c r="E653" t="s">
        <v>74</v>
      </c>
      <c r="F653" t="s">
        <v>12804</v>
      </c>
      <c r="G653" t="s">
        <v>74</v>
      </c>
      <c r="H653" t="s">
        <v>74</v>
      </c>
      <c r="I653" t="s">
        <v>12805</v>
      </c>
      <c r="J653" t="s">
        <v>1832</v>
      </c>
      <c r="K653" t="s">
        <v>74</v>
      </c>
      <c r="L653" t="s">
        <v>74</v>
      </c>
      <c r="M653" t="s">
        <v>78</v>
      </c>
      <c r="N653" t="s">
        <v>108</v>
      </c>
      <c r="O653" t="s">
        <v>74</v>
      </c>
      <c r="P653" t="s">
        <v>74</v>
      </c>
      <c r="Q653" t="s">
        <v>74</v>
      </c>
      <c r="R653" t="s">
        <v>74</v>
      </c>
      <c r="S653" t="s">
        <v>74</v>
      </c>
      <c r="T653" t="s">
        <v>74</v>
      </c>
      <c r="U653" t="s">
        <v>12806</v>
      </c>
      <c r="V653" t="s">
        <v>12807</v>
      </c>
      <c r="W653" t="s">
        <v>12808</v>
      </c>
      <c r="X653" t="s">
        <v>12809</v>
      </c>
      <c r="Y653" t="s">
        <v>12810</v>
      </c>
      <c r="Z653" t="s">
        <v>12811</v>
      </c>
      <c r="AA653" t="s">
        <v>12812</v>
      </c>
      <c r="AB653" t="s">
        <v>12813</v>
      </c>
      <c r="AC653" t="s">
        <v>12814</v>
      </c>
      <c r="AD653" t="s">
        <v>12815</v>
      </c>
      <c r="AE653" t="s">
        <v>12816</v>
      </c>
      <c r="AF653" t="s">
        <v>74</v>
      </c>
      <c r="AG653">
        <v>66</v>
      </c>
      <c r="AH653">
        <v>17</v>
      </c>
      <c r="AI653">
        <v>18</v>
      </c>
      <c r="AJ653">
        <v>0</v>
      </c>
      <c r="AK653">
        <v>20</v>
      </c>
      <c r="AL653" t="s">
        <v>839</v>
      </c>
      <c r="AM653" t="s">
        <v>840</v>
      </c>
      <c r="AN653" t="s">
        <v>841</v>
      </c>
      <c r="AO653" t="s">
        <v>1844</v>
      </c>
      <c r="AP653" t="s">
        <v>1845</v>
      </c>
      <c r="AQ653" t="s">
        <v>74</v>
      </c>
      <c r="AR653" t="s">
        <v>1832</v>
      </c>
      <c r="AS653" t="s">
        <v>1846</v>
      </c>
      <c r="AT653" t="s">
        <v>12799</v>
      </c>
      <c r="AU653">
        <v>2019</v>
      </c>
      <c r="AV653">
        <v>13</v>
      </c>
      <c r="AW653">
        <v>6</v>
      </c>
      <c r="AX653" t="s">
        <v>74</v>
      </c>
      <c r="AY653" t="s">
        <v>74</v>
      </c>
      <c r="AZ653" t="s">
        <v>74</v>
      </c>
      <c r="BA653" t="s">
        <v>74</v>
      </c>
      <c r="BB653">
        <v>1565</v>
      </c>
      <c r="BC653">
        <v>1582</v>
      </c>
      <c r="BD653" t="s">
        <v>74</v>
      </c>
      <c r="BE653" t="s">
        <v>12817</v>
      </c>
      <c r="BF653" t="str">
        <f>HYPERLINK("http://dx.doi.org/10.5194/tc-13-1565-2019","http://dx.doi.org/10.5194/tc-13-1565-2019")</f>
        <v>http://dx.doi.org/10.5194/tc-13-1565-2019</v>
      </c>
      <c r="BG653" t="s">
        <v>74</v>
      </c>
      <c r="BH653" t="s">
        <v>74</v>
      </c>
      <c r="BI653">
        <v>18</v>
      </c>
      <c r="BJ653" t="s">
        <v>310</v>
      </c>
      <c r="BK653" t="s">
        <v>101</v>
      </c>
      <c r="BL653" t="s">
        <v>311</v>
      </c>
      <c r="BM653" t="s">
        <v>12818</v>
      </c>
      <c r="BN653" t="s">
        <v>74</v>
      </c>
      <c r="BO653" t="s">
        <v>2565</v>
      </c>
      <c r="BP653" t="s">
        <v>74</v>
      </c>
      <c r="BQ653" t="s">
        <v>74</v>
      </c>
      <c r="BR653" t="s">
        <v>103</v>
      </c>
      <c r="BS653" t="s">
        <v>12819</v>
      </c>
      <c r="BT653" t="str">
        <f>HYPERLINK("https%3A%2F%2Fwww.webofscience.com%2Fwos%2Fwoscc%2Ffull-record%2FWOS:000470703300001","View Full Record in Web of Science")</f>
        <v>View Full Record in Web of Science</v>
      </c>
    </row>
    <row r="654" spans="1:72" x14ac:dyDescent="0.15">
      <c r="A654" t="s">
        <v>72</v>
      </c>
      <c r="B654" t="s">
        <v>12820</v>
      </c>
      <c r="C654" t="s">
        <v>74</v>
      </c>
      <c r="D654" t="s">
        <v>74</v>
      </c>
      <c r="E654" t="s">
        <v>74</v>
      </c>
      <c r="F654" t="s">
        <v>12821</v>
      </c>
      <c r="G654" t="s">
        <v>74</v>
      </c>
      <c r="H654" t="s">
        <v>74</v>
      </c>
      <c r="I654" t="s">
        <v>12822</v>
      </c>
      <c r="J654" t="s">
        <v>855</v>
      </c>
      <c r="K654" t="s">
        <v>74</v>
      </c>
      <c r="L654" t="s">
        <v>74</v>
      </c>
      <c r="M654" t="s">
        <v>78</v>
      </c>
      <c r="N654" t="s">
        <v>108</v>
      </c>
      <c r="O654" t="s">
        <v>74</v>
      </c>
      <c r="P654" t="s">
        <v>74</v>
      </c>
      <c r="Q654" t="s">
        <v>74</v>
      </c>
      <c r="R654" t="s">
        <v>74</v>
      </c>
      <c r="S654" t="s">
        <v>74</v>
      </c>
      <c r="T654" t="s">
        <v>12823</v>
      </c>
      <c r="U654" t="s">
        <v>12824</v>
      </c>
      <c r="V654" t="s">
        <v>12825</v>
      </c>
      <c r="W654" t="s">
        <v>12826</v>
      </c>
      <c r="X654" t="s">
        <v>12827</v>
      </c>
      <c r="Y654" t="s">
        <v>12828</v>
      </c>
      <c r="Z654" t="s">
        <v>12829</v>
      </c>
      <c r="AA654" t="s">
        <v>74</v>
      </c>
      <c r="AB654" t="s">
        <v>12830</v>
      </c>
      <c r="AC654" t="s">
        <v>12831</v>
      </c>
      <c r="AD654" t="s">
        <v>10005</v>
      </c>
      <c r="AE654" t="s">
        <v>12832</v>
      </c>
      <c r="AF654" t="s">
        <v>74</v>
      </c>
      <c r="AG654">
        <v>77</v>
      </c>
      <c r="AH654">
        <v>32</v>
      </c>
      <c r="AI654">
        <v>35</v>
      </c>
      <c r="AJ654">
        <v>2</v>
      </c>
      <c r="AK654">
        <v>33</v>
      </c>
      <c r="AL654" t="s">
        <v>868</v>
      </c>
      <c r="AM654" t="s">
        <v>869</v>
      </c>
      <c r="AN654" t="s">
        <v>870</v>
      </c>
      <c r="AO654" t="s">
        <v>74</v>
      </c>
      <c r="AP654" t="s">
        <v>871</v>
      </c>
      <c r="AQ654" t="s">
        <v>74</v>
      </c>
      <c r="AR654" t="s">
        <v>872</v>
      </c>
      <c r="AS654" t="s">
        <v>873</v>
      </c>
      <c r="AT654" t="s">
        <v>12799</v>
      </c>
      <c r="AU654">
        <v>2019</v>
      </c>
      <c r="AV654">
        <v>6</v>
      </c>
      <c r="AW654" t="s">
        <v>74</v>
      </c>
      <c r="AX654" t="s">
        <v>74</v>
      </c>
      <c r="AY654" t="s">
        <v>74</v>
      </c>
      <c r="AZ654" t="s">
        <v>74</v>
      </c>
      <c r="BA654" t="s">
        <v>74</v>
      </c>
      <c r="BB654" t="s">
        <v>74</v>
      </c>
      <c r="BC654" t="s">
        <v>74</v>
      </c>
      <c r="BD654">
        <v>286</v>
      </c>
      <c r="BE654" t="s">
        <v>12833</v>
      </c>
      <c r="BF654" t="str">
        <f>HYPERLINK("http://dx.doi.org/10.3389/fmars.2019.00286","http://dx.doi.org/10.3389/fmars.2019.00286")</f>
        <v>http://dx.doi.org/10.3389/fmars.2019.00286</v>
      </c>
      <c r="BG654" t="s">
        <v>74</v>
      </c>
      <c r="BH654" t="s">
        <v>74</v>
      </c>
      <c r="BI654">
        <v>17</v>
      </c>
      <c r="BJ654" t="s">
        <v>876</v>
      </c>
      <c r="BK654" t="s">
        <v>101</v>
      </c>
      <c r="BL654" t="s">
        <v>877</v>
      </c>
      <c r="BM654" t="s">
        <v>12834</v>
      </c>
      <c r="BN654" t="s">
        <v>74</v>
      </c>
      <c r="BO654" t="s">
        <v>366</v>
      </c>
      <c r="BP654" t="s">
        <v>74</v>
      </c>
      <c r="BQ654" t="s">
        <v>74</v>
      </c>
      <c r="BR654" t="s">
        <v>103</v>
      </c>
      <c r="BS654" t="s">
        <v>12835</v>
      </c>
      <c r="BT654" t="str">
        <f>HYPERLINK("https%3A%2F%2Fwww.webofscience.com%2Fwos%2Fwoscc%2Ffull-record%2FWOS:000470012600001","View Full Record in Web of Science")</f>
        <v>View Full Record in Web of Science</v>
      </c>
    </row>
    <row r="655" spans="1:72" x14ac:dyDescent="0.15">
      <c r="A655" t="s">
        <v>72</v>
      </c>
      <c r="B655" t="s">
        <v>12836</v>
      </c>
      <c r="C655" t="s">
        <v>74</v>
      </c>
      <c r="D655" t="s">
        <v>74</v>
      </c>
      <c r="E655" t="s">
        <v>74</v>
      </c>
      <c r="F655" t="s">
        <v>12837</v>
      </c>
      <c r="G655" t="s">
        <v>74</v>
      </c>
      <c r="H655" t="s">
        <v>74</v>
      </c>
      <c r="I655" t="s">
        <v>12838</v>
      </c>
      <c r="J655" t="s">
        <v>855</v>
      </c>
      <c r="K655" t="s">
        <v>74</v>
      </c>
      <c r="L655" t="s">
        <v>74</v>
      </c>
      <c r="M655" t="s">
        <v>78</v>
      </c>
      <c r="N655" t="s">
        <v>79</v>
      </c>
      <c r="O655" t="s">
        <v>74</v>
      </c>
      <c r="P655" t="s">
        <v>74</v>
      </c>
      <c r="Q655" t="s">
        <v>74</v>
      </c>
      <c r="R655" t="s">
        <v>74</v>
      </c>
      <c r="S655" t="s">
        <v>74</v>
      </c>
      <c r="T655" t="s">
        <v>12839</v>
      </c>
      <c r="U655" t="s">
        <v>12840</v>
      </c>
      <c r="V655" t="s">
        <v>12841</v>
      </c>
      <c r="W655" t="s">
        <v>12842</v>
      </c>
      <c r="X655" t="s">
        <v>12843</v>
      </c>
      <c r="Y655" t="s">
        <v>12844</v>
      </c>
      <c r="Z655" t="s">
        <v>12845</v>
      </c>
      <c r="AA655" t="s">
        <v>12846</v>
      </c>
      <c r="AB655" t="s">
        <v>12847</v>
      </c>
      <c r="AC655" t="s">
        <v>12848</v>
      </c>
      <c r="AD655" t="s">
        <v>12849</v>
      </c>
      <c r="AE655" t="s">
        <v>12850</v>
      </c>
      <c r="AF655" t="s">
        <v>74</v>
      </c>
      <c r="AG655">
        <v>158</v>
      </c>
      <c r="AH655">
        <v>79</v>
      </c>
      <c r="AI655">
        <v>82</v>
      </c>
      <c r="AJ655">
        <v>3</v>
      </c>
      <c r="AK655">
        <v>54</v>
      </c>
      <c r="AL655" t="s">
        <v>868</v>
      </c>
      <c r="AM655" t="s">
        <v>869</v>
      </c>
      <c r="AN655" t="s">
        <v>870</v>
      </c>
      <c r="AO655" t="s">
        <v>74</v>
      </c>
      <c r="AP655" t="s">
        <v>871</v>
      </c>
      <c r="AQ655" t="s">
        <v>74</v>
      </c>
      <c r="AR655" t="s">
        <v>872</v>
      </c>
      <c r="AS655" t="s">
        <v>873</v>
      </c>
      <c r="AT655" t="s">
        <v>12799</v>
      </c>
      <c r="AU655">
        <v>2019</v>
      </c>
      <c r="AV655">
        <v>6</v>
      </c>
      <c r="AW655" t="s">
        <v>74</v>
      </c>
      <c r="AX655" t="s">
        <v>74</v>
      </c>
      <c r="AY655" t="s">
        <v>74</v>
      </c>
      <c r="AZ655" t="s">
        <v>74</v>
      </c>
      <c r="BA655" t="s">
        <v>74</v>
      </c>
      <c r="BB655" t="s">
        <v>74</v>
      </c>
      <c r="BC655" t="s">
        <v>74</v>
      </c>
      <c r="BD655">
        <v>257</v>
      </c>
      <c r="BE655" t="s">
        <v>12851</v>
      </c>
      <c r="BF655" t="str">
        <f>HYPERLINK("http://dx.doi.org/10.3389/fmars.2019.00257","http://dx.doi.org/10.3389/fmars.2019.00257")</f>
        <v>http://dx.doi.org/10.3389/fmars.2019.00257</v>
      </c>
      <c r="BG655" t="s">
        <v>74</v>
      </c>
      <c r="BH655" t="s">
        <v>74</v>
      </c>
      <c r="BI655">
        <v>24</v>
      </c>
      <c r="BJ655" t="s">
        <v>876</v>
      </c>
      <c r="BK655" t="s">
        <v>101</v>
      </c>
      <c r="BL655" t="s">
        <v>877</v>
      </c>
      <c r="BM655" t="s">
        <v>12852</v>
      </c>
      <c r="BN655" t="s">
        <v>74</v>
      </c>
      <c r="BO655" t="s">
        <v>313</v>
      </c>
      <c r="BP655" t="s">
        <v>74</v>
      </c>
      <c r="BQ655" t="s">
        <v>74</v>
      </c>
      <c r="BR655" t="s">
        <v>103</v>
      </c>
      <c r="BS655" t="s">
        <v>12853</v>
      </c>
      <c r="BT655" t="str">
        <f>HYPERLINK("https%3A%2F%2Fwww.webofscience.com%2Fwos%2Fwoscc%2Ffull-record%2FWOS:000470011800001","View Full Record in Web of Science")</f>
        <v>View Full Record in Web of Science</v>
      </c>
    </row>
    <row r="656" spans="1:72" x14ac:dyDescent="0.15">
      <c r="A656" t="s">
        <v>72</v>
      </c>
      <c r="B656" t="s">
        <v>12854</v>
      </c>
      <c r="C656" t="s">
        <v>74</v>
      </c>
      <c r="D656" t="s">
        <v>74</v>
      </c>
      <c r="E656" t="s">
        <v>74</v>
      </c>
      <c r="F656" t="s">
        <v>12855</v>
      </c>
      <c r="G656" t="s">
        <v>74</v>
      </c>
      <c r="H656" t="s">
        <v>74</v>
      </c>
      <c r="I656" t="s">
        <v>12856</v>
      </c>
      <c r="J656" t="s">
        <v>7319</v>
      </c>
      <c r="K656" t="s">
        <v>74</v>
      </c>
      <c r="L656" t="s">
        <v>74</v>
      </c>
      <c r="M656" t="s">
        <v>78</v>
      </c>
      <c r="N656" t="s">
        <v>108</v>
      </c>
      <c r="O656" t="s">
        <v>74</v>
      </c>
      <c r="P656" t="s">
        <v>74</v>
      </c>
      <c r="Q656" t="s">
        <v>74</v>
      </c>
      <c r="R656" t="s">
        <v>74</v>
      </c>
      <c r="S656" t="s">
        <v>74</v>
      </c>
      <c r="T656" t="s">
        <v>12857</v>
      </c>
      <c r="U656" t="s">
        <v>12858</v>
      </c>
      <c r="V656" t="s">
        <v>12859</v>
      </c>
      <c r="W656" t="s">
        <v>12860</v>
      </c>
      <c r="X656" t="s">
        <v>12861</v>
      </c>
      <c r="Y656" t="s">
        <v>12862</v>
      </c>
      <c r="Z656" t="s">
        <v>12863</v>
      </c>
      <c r="AA656" t="s">
        <v>12864</v>
      </c>
      <c r="AB656" t="s">
        <v>12865</v>
      </c>
      <c r="AC656" t="s">
        <v>12866</v>
      </c>
      <c r="AD656" t="s">
        <v>12867</v>
      </c>
      <c r="AE656" t="s">
        <v>12868</v>
      </c>
      <c r="AF656" t="s">
        <v>74</v>
      </c>
      <c r="AG656">
        <v>53</v>
      </c>
      <c r="AH656">
        <v>13</v>
      </c>
      <c r="AI656">
        <v>13</v>
      </c>
      <c r="AJ656">
        <v>0</v>
      </c>
      <c r="AK656">
        <v>8</v>
      </c>
      <c r="AL656" t="s">
        <v>868</v>
      </c>
      <c r="AM656" t="s">
        <v>869</v>
      </c>
      <c r="AN656" t="s">
        <v>870</v>
      </c>
      <c r="AO656" t="s">
        <v>74</v>
      </c>
      <c r="AP656" t="s">
        <v>7332</v>
      </c>
      <c r="AQ656" t="s">
        <v>74</v>
      </c>
      <c r="AR656" t="s">
        <v>7333</v>
      </c>
      <c r="AS656" t="s">
        <v>7334</v>
      </c>
      <c r="AT656" t="s">
        <v>12799</v>
      </c>
      <c r="AU656">
        <v>2019</v>
      </c>
      <c r="AV656">
        <v>7</v>
      </c>
      <c r="AW656" t="s">
        <v>74</v>
      </c>
      <c r="AX656" t="s">
        <v>74</v>
      </c>
      <c r="AY656" t="s">
        <v>74</v>
      </c>
      <c r="AZ656" t="s">
        <v>74</v>
      </c>
      <c r="BA656" t="s">
        <v>74</v>
      </c>
      <c r="BB656" t="s">
        <v>74</v>
      </c>
      <c r="BC656" t="s">
        <v>74</v>
      </c>
      <c r="BD656">
        <v>129</v>
      </c>
      <c r="BE656" t="s">
        <v>12869</v>
      </c>
      <c r="BF656" t="str">
        <f>HYPERLINK("http://dx.doi.org/10.3389/feart.2019.00129","http://dx.doi.org/10.3389/feart.2019.00129")</f>
        <v>http://dx.doi.org/10.3389/feart.2019.00129</v>
      </c>
      <c r="BG656" t="s">
        <v>74</v>
      </c>
      <c r="BH656" t="s">
        <v>74</v>
      </c>
      <c r="BI656">
        <v>18</v>
      </c>
      <c r="BJ656" t="s">
        <v>471</v>
      </c>
      <c r="BK656" t="s">
        <v>101</v>
      </c>
      <c r="BL656" t="s">
        <v>472</v>
      </c>
      <c r="BM656" t="s">
        <v>12870</v>
      </c>
      <c r="BN656" t="s">
        <v>74</v>
      </c>
      <c r="BO656" t="s">
        <v>3939</v>
      </c>
      <c r="BP656" t="s">
        <v>74</v>
      </c>
      <c r="BQ656" t="s">
        <v>74</v>
      </c>
      <c r="BR656" t="s">
        <v>103</v>
      </c>
      <c r="BS656" t="s">
        <v>12871</v>
      </c>
      <c r="BT656" t="str">
        <f>HYPERLINK("https%3A%2F%2Fwww.webofscience.com%2Fwos%2Fwoscc%2Ffull-record%2FWOS:000470005200001","View Full Record in Web of Science")</f>
        <v>View Full Record in Web of Science</v>
      </c>
    </row>
    <row r="657" spans="1:72" x14ac:dyDescent="0.15">
      <c r="A657" t="s">
        <v>72</v>
      </c>
      <c r="B657" t="s">
        <v>12872</v>
      </c>
      <c r="C657" t="s">
        <v>74</v>
      </c>
      <c r="D657" t="s">
        <v>74</v>
      </c>
      <c r="E657" t="s">
        <v>74</v>
      </c>
      <c r="F657" t="s">
        <v>12873</v>
      </c>
      <c r="G657" t="s">
        <v>74</v>
      </c>
      <c r="H657" t="s">
        <v>74</v>
      </c>
      <c r="I657" t="s">
        <v>12874</v>
      </c>
      <c r="J657" t="s">
        <v>12875</v>
      </c>
      <c r="K657" t="s">
        <v>74</v>
      </c>
      <c r="L657" t="s">
        <v>74</v>
      </c>
      <c r="M657" t="s">
        <v>78</v>
      </c>
      <c r="N657" t="s">
        <v>79</v>
      </c>
      <c r="O657" t="s">
        <v>74</v>
      </c>
      <c r="P657" t="s">
        <v>74</v>
      </c>
      <c r="Q657" t="s">
        <v>74</v>
      </c>
      <c r="R657" t="s">
        <v>74</v>
      </c>
      <c r="S657" t="s">
        <v>74</v>
      </c>
      <c r="T657" t="s">
        <v>12876</v>
      </c>
      <c r="U657" t="s">
        <v>12877</v>
      </c>
      <c r="V657" t="s">
        <v>12878</v>
      </c>
      <c r="W657" t="s">
        <v>12879</v>
      </c>
      <c r="X657" t="s">
        <v>742</v>
      </c>
      <c r="Y657" t="s">
        <v>12880</v>
      </c>
      <c r="Z657" t="s">
        <v>12881</v>
      </c>
      <c r="AA657" t="s">
        <v>74</v>
      </c>
      <c r="AB657" t="s">
        <v>74</v>
      </c>
      <c r="AC657" t="s">
        <v>12882</v>
      </c>
      <c r="AD657" t="s">
        <v>12882</v>
      </c>
      <c r="AE657" t="s">
        <v>12883</v>
      </c>
      <c r="AF657" t="s">
        <v>74</v>
      </c>
      <c r="AG657">
        <v>89</v>
      </c>
      <c r="AH657">
        <v>89</v>
      </c>
      <c r="AI657">
        <v>100</v>
      </c>
      <c r="AJ657">
        <v>13</v>
      </c>
      <c r="AK657">
        <v>130</v>
      </c>
      <c r="AL657" t="s">
        <v>2723</v>
      </c>
      <c r="AM657" t="s">
        <v>657</v>
      </c>
      <c r="AN657" t="s">
        <v>2724</v>
      </c>
      <c r="AO657" t="s">
        <v>12884</v>
      </c>
      <c r="AP657" t="s">
        <v>12885</v>
      </c>
      <c r="AQ657" t="s">
        <v>74</v>
      </c>
      <c r="AR657" t="s">
        <v>12886</v>
      </c>
      <c r="AS657" t="s">
        <v>12887</v>
      </c>
      <c r="AT657" t="s">
        <v>12888</v>
      </c>
      <c r="AU657">
        <v>2019</v>
      </c>
      <c r="AV657">
        <v>377</v>
      </c>
      <c r="AW657">
        <v>2146</v>
      </c>
      <c r="AX657" t="s">
        <v>74</v>
      </c>
      <c r="AY657" t="s">
        <v>74</v>
      </c>
      <c r="AZ657" t="s">
        <v>74</v>
      </c>
      <c r="BA657" t="s">
        <v>74</v>
      </c>
      <c r="BB657" t="s">
        <v>74</v>
      </c>
      <c r="BC657" t="s">
        <v>74</v>
      </c>
      <c r="BD657">
        <v>20180161</v>
      </c>
      <c r="BE657" t="s">
        <v>12889</v>
      </c>
      <c r="BF657" t="str">
        <f>HYPERLINK("http://dx.doi.org/10.1098/rsta.2018.0161","http://dx.doi.org/10.1098/rsta.2018.0161")</f>
        <v>http://dx.doi.org/10.1098/rsta.2018.0161</v>
      </c>
      <c r="BG657" t="s">
        <v>74</v>
      </c>
      <c r="BH657" t="s">
        <v>74</v>
      </c>
      <c r="BI657">
        <v>17</v>
      </c>
      <c r="BJ657" t="s">
        <v>1004</v>
      </c>
      <c r="BK657" t="s">
        <v>101</v>
      </c>
      <c r="BL657" t="s">
        <v>1005</v>
      </c>
      <c r="BM657" t="s">
        <v>12890</v>
      </c>
      <c r="BN657">
        <v>30982450</v>
      </c>
      <c r="BO657" t="s">
        <v>1465</v>
      </c>
      <c r="BP657" t="s">
        <v>74</v>
      </c>
      <c r="BQ657" t="s">
        <v>74</v>
      </c>
      <c r="BR657" t="s">
        <v>103</v>
      </c>
      <c r="BS657" t="s">
        <v>12891</v>
      </c>
      <c r="BT657" t="str">
        <f>HYPERLINK("https%3A%2F%2Fwww.webofscience.com%2Fwos%2Fwoscc%2Ffull-record%2FWOS:000466382900001","View Full Record in Web of Science")</f>
        <v>View Full Record in Web of Science</v>
      </c>
    </row>
    <row r="658" spans="1:72" x14ac:dyDescent="0.15">
      <c r="A658" t="s">
        <v>72</v>
      </c>
      <c r="B658" t="s">
        <v>12892</v>
      </c>
      <c r="C658" t="s">
        <v>74</v>
      </c>
      <c r="D658" t="s">
        <v>74</v>
      </c>
      <c r="E658" t="s">
        <v>74</v>
      </c>
      <c r="F658" t="s">
        <v>12893</v>
      </c>
      <c r="G658" t="s">
        <v>74</v>
      </c>
      <c r="H658" t="s">
        <v>74</v>
      </c>
      <c r="I658" t="s">
        <v>12894</v>
      </c>
      <c r="J658" t="s">
        <v>3630</v>
      </c>
      <c r="K658" t="s">
        <v>74</v>
      </c>
      <c r="L658" t="s">
        <v>74</v>
      </c>
      <c r="M658" t="s">
        <v>78</v>
      </c>
      <c r="N658" t="s">
        <v>108</v>
      </c>
      <c r="O658" t="s">
        <v>74</v>
      </c>
      <c r="P658" t="s">
        <v>74</v>
      </c>
      <c r="Q658" t="s">
        <v>74</v>
      </c>
      <c r="R658" t="s">
        <v>74</v>
      </c>
      <c r="S658" t="s">
        <v>74</v>
      </c>
      <c r="T658" t="s">
        <v>12895</v>
      </c>
      <c r="U658" t="s">
        <v>12896</v>
      </c>
      <c r="V658" t="s">
        <v>12897</v>
      </c>
      <c r="W658" t="s">
        <v>12898</v>
      </c>
      <c r="X658" t="s">
        <v>4249</v>
      </c>
      <c r="Y658" t="s">
        <v>12899</v>
      </c>
      <c r="Z658" t="s">
        <v>12900</v>
      </c>
      <c r="AA658" t="s">
        <v>12901</v>
      </c>
      <c r="AB658" t="s">
        <v>12902</v>
      </c>
      <c r="AC658" t="s">
        <v>12903</v>
      </c>
      <c r="AD658" t="s">
        <v>2948</v>
      </c>
      <c r="AE658" t="s">
        <v>12904</v>
      </c>
      <c r="AF658" t="s">
        <v>74</v>
      </c>
      <c r="AG658">
        <v>40</v>
      </c>
      <c r="AH658">
        <v>5</v>
      </c>
      <c r="AI658">
        <v>7</v>
      </c>
      <c r="AJ658">
        <v>0</v>
      </c>
      <c r="AK658">
        <v>13</v>
      </c>
      <c r="AL658" t="s">
        <v>3615</v>
      </c>
      <c r="AM658" t="s">
        <v>3616</v>
      </c>
      <c r="AN658" t="s">
        <v>3617</v>
      </c>
      <c r="AO658" t="s">
        <v>74</v>
      </c>
      <c r="AP658" t="s">
        <v>3643</v>
      </c>
      <c r="AQ658" t="s">
        <v>74</v>
      </c>
      <c r="AR658" t="s">
        <v>3644</v>
      </c>
      <c r="AS658" t="s">
        <v>3645</v>
      </c>
      <c r="AT658" t="s">
        <v>12905</v>
      </c>
      <c r="AU658">
        <v>2019</v>
      </c>
      <c r="AV658">
        <v>11</v>
      </c>
      <c r="AW658">
        <v>12</v>
      </c>
      <c r="AX658" t="s">
        <v>74</v>
      </c>
      <c r="AY658" t="s">
        <v>74</v>
      </c>
      <c r="AZ658" t="s">
        <v>74</v>
      </c>
      <c r="BA658" t="s">
        <v>74</v>
      </c>
      <c r="BB658" t="s">
        <v>74</v>
      </c>
      <c r="BC658" t="s">
        <v>74</v>
      </c>
      <c r="BD658">
        <v>1488</v>
      </c>
      <c r="BE658" t="s">
        <v>12906</v>
      </c>
      <c r="BF658" t="str">
        <f>HYPERLINK("http://dx.doi.org/10.3390/rs11121488","http://dx.doi.org/10.3390/rs11121488")</f>
        <v>http://dx.doi.org/10.3390/rs11121488</v>
      </c>
      <c r="BG658" t="s">
        <v>74</v>
      </c>
      <c r="BH658" t="s">
        <v>74</v>
      </c>
      <c r="BI658">
        <v>14</v>
      </c>
      <c r="BJ658" t="s">
        <v>3647</v>
      </c>
      <c r="BK658" t="s">
        <v>101</v>
      </c>
      <c r="BL658" t="s">
        <v>3648</v>
      </c>
      <c r="BM658" t="s">
        <v>12907</v>
      </c>
      <c r="BN658" t="s">
        <v>74</v>
      </c>
      <c r="BO658" t="s">
        <v>366</v>
      </c>
      <c r="BP658" t="s">
        <v>74</v>
      </c>
      <c r="BQ658" t="s">
        <v>74</v>
      </c>
      <c r="BR658" t="s">
        <v>103</v>
      </c>
      <c r="BS658" t="s">
        <v>12908</v>
      </c>
      <c r="BT658" t="str">
        <f>HYPERLINK("https%3A%2F%2Fwww.webofscience.com%2Fwos%2Fwoscc%2Ffull-record%2FWOS:000473794600094","View Full Record in Web of Science")</f>
        <v>View Full Record in Web of Science</v>
      </c>
    </row>
    <row r="659" spans="1:72" x14ac:dyDescent="0.15">
      <c r="A659" t="s">
        <v>72</v>
      </c>
      <c r="B659" t="s">
        <v>12909</v>
      </c>
      <c r="C659" t="s">
        <v>74</v>
      </c>
      <c r="D659" t="s">
        <v>74</v>
      </c>
      <c r="E659" t="s">
        <v>74</v>
      </c>
      <c r="F659" t="s">
        <v>12910</v>
      </c>
      <c r="G659" t="s">
        <v>74</v>
      </c>
      <c r="H659" t="s">
        <v>74</v>
      </c>
      <c r="I659" t="s">
        <v>12911</v>
      </c>
      <c r="J659" t="s">
        <v>3630</v>
      </c>
      <c r="K659" t="s">
        <v>74</v>
      </c>
      <c r="L659" t="s">
        <v>74</v>
      </c>
      <c r="M659" t="s">
        <v>78</v>
      </c>
      <c r="N659" t="s">
        <v>108</v>
      </c>
      <c r="O659" t="s">
        <v>74</v>
      </c>
      <c r="P659" t="s">
        <v>74</v>
      </c>
      <c r="Q659" t="s">
        <v>74</v>
      </c>
      <c r="R659" t="s">
        <v>74</v>
      </c>
      <c r="S659" t="s">
        <v>74</v>
      </c>
      <c r="T659" t="s">
        <v>12912</v>
      </c>
      <c r="U659" t="s">
        <v>12913</v>
      </c>
      <c r="V659" t="s">
        <v>12914</v>
      </c>
      <c r="W659" t="s">
        <v>12915</v>
      </c>
      <c r="X659" t="s">
        <v>12916</v>
      </c>
      <c r="Y659" t="s">
        <v>12917</v>
      </c>
      <c r="Z659" t="s">
        <v>12918</v>
      </c>
      <c r="AA659" t="s">
        <v>74</v>
      </c>
      <c r="AB659" t="s">
        <v>74</v>
      </c>
      <c r="AC659" t="s">
        <v>12919</v>
      </c>
      <c r="AD659" t="s">
        <v>2948</v>
      </c>
      <c r="AE659" t="s">
        <v>12920</v>
      </c>
      <c r="AF659" t="s">
        <v>74</v>
      </c>
      <c r="AG659">
        <v>32</v>
      </c>
      <c r="AH659">
        <v>12</v>
      </c>
      <c r="AI659">
        <v>14</v>
      </c>
      <c r="AJ659">
        <v>4</v>
      </c>
      <c r="AK659">
        <v>17</v>
      </c>
      <c r="AL659" t="s">
        <v>3615</v>
      </c>
      <c r="AM659" t="s">
        <v>3616</v>
      </c>
      <c r="AN659" t="s">
        <v>3617</v>
      </c>
      <c r="AO659" t="s">
        <v>74</v>
      </c>
      <c r="AP659" t="s">
        <v>3643</v>
      </c>
      <c r="AQ659" t="s">
        <v>74</v>
      </c>
      <c r="AR659" t="s">
        <v>3644</v>
      </c>
      <c r="AS659" t="s">
        <v>3645</v>
      </c>
      <c r="AT659" t="s">
        <v>12905</v>
      </c>
      <c r="AU659">
        <v>2019</v>
      </c>
      <c r="AV659">
        <v>11</v>
      </c>
      <c r="AW659">
        <v>12</v>
      </c>
      <c r="AX659" t="s">
        <v>74</v>
      </c>
      <c r="AY659" t="s">
        <v>74</v>
      </c>
      <c r="AZ659" t="s">
        <v>74</v>
      </c>
      <c r="BA659" t="s">
        <v>74</v>
      </c>
      <c r="BB659" t="s">
        <v>74</v>
      </c>
      <c r="BC659" t="s">
        <v>74</v>
      </c>
      <c r="BD659">
        <v>1490</v>
      </c>
      <c r="BE659" t="s">
        <v>12921</v>
      </c>
      <c r="BF659" t="str">
        <f>HYPERLINK("http://dx.doi.org/10.3390/rs11121490","http://dx.doi.org/10.3390/rs11121490")</f>
        <v>http://dx.doi.org/10.3390/rs11121490</v>
      </c>
      <c r="BG659" t="s">
        <v>74</v>
      </c>
      <c r="BH659" t="s">
        <v>74</v>
      </c>
      <c r="BI659">
        <v>22</v>
      </c>
      <c r="BJ659" t="s">
        <v>3647</v>
      </c>
      <c r="BK659" t="s">
        <v>101</v>
      </c>
      <c r="BL659" t="s">
        <v>3648</v>
      </c>
      <c r="BM659" t="s">
        <v>12907</v>
      </c>
      <c r="BN659" t="s">
        <v>74</v>
      </c>
      <c r="BO659" t="s">
        <v>366</v>
      </c>
      <c r="BP659" t="s">
        <v>74</v>
      </c>
      <c r="BQ659" t="s">
        <v>74</v>
      </c>
      <c r="BR659" t="s">
        <v>103</v>
      </c>
      <c r="BS659" t="s">
        <v>12922</v>
      </c>
      <c r="BT659" t="str">
        <f>HYPERLINK("https%3A%2F%2Fwww.webofscience.com%2Fwos%2Fwoscc%2Ffull-record%2FWOS:000473794600096","View Full Record in Web of Science")</f>
        <v>View Full Record in Web of Science</v>
      </c>
    </row>
    <row r="660" spans="1:72" x14ac:dyDescent="0.15">
      <c r="A660" t="s">
        <v>72</v>
      </c>
      <c r="B660" t="s">
        <v>12923</v>
      </c>
      <c r="C660" t="s">
        <v>74</v>
      </c>
      <c r="D660" t="s">
        <v>74</v>
      </c>
      <c r="E660" t="s">
        <v>74</v>
      </c>
      <c r="F660" t="s">
        <v>12924</v>
      </c>
      <c r="G660" t="s">
        <v>74</v>
      </c>
      <c r="H660" t="s">
        <v>74</v>
      </c>
      <c r="I660" t="s">
        <v>12925</v>
      </c>
      <c r="J660" t="s">
        <v>3630</v>
      </c>
      <c r="K660" t="s">
        <v>74</v>
      </c>
      <c r="L660" t="s">
        <v>74</v>
      </c>
      <c r="M660" t="s">
        <v>78</v>
      </c>
      <c r="N660" t="s">
        <v>108</v>
      </c>
      <c r="O660" t="s">
        <v>74</v>
      </c>
      <c r="P660" t="s">
        <v>74</v>
      </c>
      <c r="Q660" t="s">
        <v>74</v>
      </c>
      <c r="R660" t="s">
        <v>74</v>
      </c>
      <c r="S660" t="s">
        <v>74</v>
      </c>
      <c r="T660" t="s">
        <v>12926</v>
      </c>
      <c r="U660" t="s">
        <v>12927</v>
      </c>
      <c r="V660" t="s">
        <v>12928</v>
      </c>
      <c r="W660" t="s">
        <v>12929</v>
      </c>
      <c r="X660" t="s">
        <v>12930</v>
      </c>
      <c r="Y660" t="s">
        <v>12931</v>
      </c>
      <c r="Z660" t="s">
        <v>12932</v>
      </c>
      <c r="AA660" t="s">
        <v>12933</v>
      </c>
      <c r="AB660" t="s">
        <v>12934</v>
      </c>
      <c r="AC660" t="s">
        <v>12935</v>
      </c>
      <c r="AD660" t="s">
        <v>12935</v>
      </c>
      <c r="AE660" t="s">
        <v>12936</v>
      </c>
      <c r="AF660" t="s">
        <v>74</v>
      </c>
      <c r="AG660">
        <v>48</v>
      </c>
      <c r="AH660">
        <v>7</v>
      </c>
      <c r="AI660">
        <v>7</v>
      </c>
      <c r="AJ660">
        <v>0</v>
      </c>
      <c r="AK660">
        <v>8</v>
      </c>
      <c r="AL660" t="s">
        <v>3615</v>
      </c>
      <c r="AM660" t="s">
        <v>3616</v>
      </c>
      <c r="AN660" t="s">
        <v>3617</v>
      </c>
      <c r="AO660" t="s">
        <v>74</v>
      </c>
      <c r="AP660" t="s">
        <v>3643</v>
      </c>
      <c r="AQ660" t="s">
        <v>74</v>
      </c>
      <c r="AR660" t="s">
        <v>3644</v>
      </c>
      <c r="AS660" t="s">
        <v>3645</v>
      </c>
      <c r="AT660" t="s">
        <v>12905</v>
      </c>
      <c r="AU660">
        <v>2019</v>
      </c>
      <c r="AV660">
        <v>11</v>
      </c>
      <c r="AW660">
        <v>12</v>
      </c>
      <c r="AX660" t="s">
        <v>74</v>
      </c>
      <c r="AY660" t="s">
        <v>74</v>
      </c>
      <c r="AZ660" t="s">
        <v>74</v>
      </c>
      <c r="BA660" t="s">
        <v>74</v>
      </c>
      <c r="BB660" t="s">
        <v>74</v>
      </c>
      <c r="BC660" t="s">
        <v>74</v>
      </c>
      <c r="BD660">
        <v>1501</v>
      </c>
      <c r="BE660" t="s">
        <v>12937</v>
      </c>
      <c r="BF660" t="str">
        <f>HYPERLINK("http://dx.doi.org/10.3390/rs11121501","http://dx.doi.org/10.3390/rs11121501")</f>
        <v>http://dx.doi.org/10.3390/rs11121501</v>
      </c>
      <c r="BG660" t="s">
        <v>74</v>
      </c>
      <c r="BH660" t="s">
        <v>74</v>
      </c>
      <c r="BI660">
        <v>23</v>
      </c>
      <c r="BJ660" t="s">
        <v>3647</v>
      </c>
      <c r="BK660" t="s">
        <v>101</v>
      </c>
      <c r="BL660" t="s">
        <v>3648</v>
      </c>
      <c r="BM660" t="s">
        <v>12907</v>
      </c>
      <c r="BN660" t="s">
        <v>74</v>
      </c>
      <c r="BO660" t="s">
        <v>1197</v>
      </c>
      <c r="BP660" t="s">
        <v>74</v>
      </c>
      <c r="BQ660" t="s">
        <v>74</v>
      </c>
      <c r="BR660" t="s">
        <v>103</v>
      </c>
      <c r="BS660" t="s">
        <v>12938</v>
      </c>
      <c r="BT660" t="str">
        <f>HYPERLINK("https%3A%2F%2Fwww.webofscience.com%2Fwos%2Fwoscc%2Ffull-record%2FWOS:000473794600107","View Full Record in Web of Science")</f>
        <v>View Full Record in Web of Science</v>
      </c>
    </row>
    <row r="661" spans="1:72" x14ac:dyDescent="0.15">
      <c r="A661" t="s">
        <v>72</v>
      </c>
      <c r="B661" t="s">
        <v>12939</v>
      </c>
      <c r="C661" t="s">
        <v>74</v>
      </c>
      <c r="D661" t="s">
        <v>74</v>
      </c>
      <c r="E661" t="s">
        <v>74</v>
      </c>
      <c r="F661" t="s">
        <v>12940</v>
      </c>
      <c r="G661" t="s">
        <v>74</v>
      </c>
      <c r="H661" t="s">
        <v>74</v>
      </c>
      <c r="I661" t="s">
        <v>12941</v>
      </c>
      <c r="J661" t="s">
        <v>12942</v>
      </c>
      <c r="K661" t="s">
        <v>74</v>
      </c>
      <c r="L661" t="s">
        <v>74</v>
      </c>
      <c r="M661" t="s">
        <v>78</v>
      </c>
      <c r="N661" t="s">
        <v>108</v>
      </c>
      <c r="O661" t="s">
        <v>74</v>
      </c>
      <c r="P661" t="s">
        <v>74</v>
      </c>
      <c r="Q661" t="s">
        <v>74</v>
      </c>
      <c r="R661" t="s">
        <v>74</v>
      </c>
      <c r="S661" t="s">
        <v>74</v>
      </c>
      <c r="T661" t="s">
        <v>12943</v>
      </c>
      <c r="U661" t="s">
        <v>12944</v>
      </c>
      <c r="V661" t="s">
        <v>12945</v>
      </c>
      <c r="W661" t="s">
        <v>12946</v>
      </c>
      <c r="X661" t="s">
        <v>6427</v>
      </c>
      <c r="Y661" t="s">
        <v>12947</v>
      </c>
      <c r="Z661" t="s">
        <v>12948</v>
      </c>
      <c r="AA661" t="s">
        <v>12949</v>
      </c>
      <c r="AB661" t="s">
        <v>12950</v>
      </c>
      <c r="AC661" t="s">
        <v>12951</v>
      </c>
      <c r="AD661" t="s">
        <v>12952</v>
      </c>
      <c r="AE661" t="s">
        <v>12953</v>
      </c>
      <c r="AF661" t="s">
        <v>74</v>
      </c>
      <c r="AG661">
        <v>38</v>
      </c>
      <c r="AH661">
        <v>17</v>
      </c>
      <c r="AI661">
        <v>19</v>
      </c>
      <c r="AJ661">
        <v>2</v>
      </c>
      <c r="AK661">
        <v>26</v>
      </c>
      <c r="AL661" t="s">
        <v>3615</v>
      </c>
      <c r="AM661" t="s">
        <v>3616</v>
      </c>
      <c r="AN661" t="s">
        <v>3617</v>
      </c>
      <c r="AO661" t="s">
        <v>74</v>
      </c>
      <c r="AP661" t="s">
        <v>12954</v>
      </c>
      <c r="AQ661" t="s">
        <v>74</v>
      </c>
      <c r="AR661" t="s">
        <v>12942</v>
      </c>
      <c r="AS661" t="s">
        <v>12955</v>
      </c>
      <c r="AT661" t="s">
        <v>12905</v>
      </c>
      <c r="AU661">
        <v>2019</v>
      </c>
      <c r="AV661">
        <v>24</v>
      </c>
      <c r="AW661">
        <v>12</v>
      </c>
      <c r="AX661" t="s">
        <v>74</v>
      </c>
      <c r="AY661" t="s">
        <v>74</v>
      </c>
      <c r="AZ661" t="s">
        <v>74</v>
      </c>
      <c r="BA661" t="s">
        <v>74</v>
      </c>
      <c r="BB661" t="s">
        <v>74</v>
      </c>
      <c r="BC661" t="s">
        <v>74</v>
      </c>
      <c r="BD661">
        <v>2229</v>
      </c>
      <c r="BE661" t="s">
        <v>12956</v>
      </c>
      <c r="BF661" t="str">
        <f>HYPERLINK("http://dx.doi.org/10.3390/molecules24122229","http://dx.doi.org/10.3390/molecules24122229")</f>
        <v>http://dx.doi.org/10.3390/molecules24122229</v>
      </c>
      <c r="BG661" t="s">
        <v>74</v>
      </c>
      <c r="BH661" t="s">
        <v>74</v>
      </c>
      <c r="BI661">
        <v>12</v>
      </c>
      <c r="BJ661" t="s">
        <v>12957</v>
      </c>
      <c r="BK661" t="s">
        <v>101</v>
      </c>
      <c r="BL661" t="s">
        <v>12958</v>
      </c>
      <c r="BM661" t="s">
        <v>12959</v>
      </c>
      <c r="BN661">
        <v>31207974</v>
      </c>
      <c r="BO661" t="s">
        <v>6460</v>
      </c>
      <c r="BP661" t="s">
        <v>74</v>
      </c>
      <c r="BQ661" t="s">
        <v>74</v>
      </c>
      <c r="BR661" t="s">
        <v>103</v>
      </c>
      <c r="BS661" t="s">
        <v>12960</v>
      </c>
      <c r="BT661" t="str">
        <f>HYPERLINK("https%3A%2F%2Fwww.webofscience.com%2Fwos%2Fwoscc%2Ffull-record%2FWOS:000473816900035","View Full Record in Web of Science")</f>
        <v>View Full Record in Web of Science</v>
      </c>
    </row>
    <row r="662" spans="1:72" x14ac:dyDescent="0.15">
      <c r="A662" t="s">
        <v>72</v>
      </c>
      <c r="B662" t="s">
        <v>12961</v>
      </c>
      <c r="C662" t="s">
        <v>74</v>
      </c>
      <c r="D662" t="s">
        <v>74</v>
      </c>
      <c r="E662" t="s">
        <v>74</v>
      </c>
      <c r="F662" t="s">
        <v>12962</v>
      </c>
      <c r="G662" t="s">
        <v>74</v>
      </c>
      <c r="H662" t="s">
        <v>74</v>
      </c>
      <c r="I662" t="s">
        <v>12963</v>
      </c>
      <c r="J662" t="s">
        <v>12964</v>
      </c>
      <c r="K662" t="s">
        <v>74</v>
      </c>
      <c r="L662" t="s">
        <v>74</v>
      </c>
      <c r="M662" t="s">
        <v>78</v>
      </c>
      <c r="N662" t="s">
        <v>108</v>
      </c>
      <c r="O662" t="s">
        <v>74</v>
      </c>
      <c r="P662" t="s">
        <v>74</v>
      </c>
      <c r="Q662" t="s">
        <v>74</v>
      </c>
      <c r="R662" t="s">
        <v>74</v>
      </c>
      <c r="S662" t="s">
        <v>74</v>
      </c>
      <c r="T662" t="s">
        <v>12965</v>
      </c>
      <c r="U662" t="s">
        <v>12966</v>
      </c>
      <c r="V662" t="s">
        <v>12967</v>
      </c>
      <c r="W662" t="s">
        <v>12968</v>
      </c>
      <c r="X662" t="s">
        <v>12969</v>
      </c>
      <c r="Y662" t="s">
        <v>12970</v>
      </c>
      <c r="Z662" t="s">
        <v>8680</v>
      </c>
      <c r="AA662" t="s">
        <v>74</v>
      </c>
      <c r="AB662" t="s">
        <v>74</v>
      </c>
      <c r="AC662" t="s">
        <v>12971</v>
      </c>
      <c r="AD662" t="s">
        <v>12972</v>
      </c>
      <c r="AE662" t="s">
        <v>12973</v>
      </c>
      <c r="AF662" t="s">
        <v>74</v>
      </c>
      <c r="AG662">
        <v>40</v>
      </c>
      <c r="AH662">
        <v>25</v>
      </c>
      <c r="AI662">
        <v>26</v>
      </c>
      <c r="AJ662">
        <v>2</v>
      </c>
      <c r="AK662">
        <v>13</v>
      </c>
      <c r="AL662" t="s">
        <v>12974</v>
      </c>
      <c r="AM662" t="s">
        <v>12975</v>
      </c>
      <c r="AN662" t="s">
        <v>12976</v>
      </c>
      <c r="AO662" t="s">
        <v>12977</v>
      </c>
      <c r="AP662" t="s">
        <v>74</v>
      </c>
      <c r="AQ662" t="s">
        <v>74</v>
      </c>
      <c r="AR662" t="s">
        <v>12978</v>
      </c>
      <c r="AS662" t="s">
        <v>12979</v>
      </c>
      <c r="AT662" t="s">
        <v>12980</v>
      </c>
      <c r="AU662">
        <v>2019</v>
      </c>
      <c r="AV662">
        <v>223</v>
      </c>
      <c r="AW662" t="s">
        <v>74</v>
      </c>
      <c r="AX662" t="s">
        <v>74</v>
      </c>
      <c r="AY662" t="s">
        <v>74</v>
      </c>
      <c r="AZ662" t="s">
        <v>74</v>
      </c>
      <c r="BA662" t="s">
        <v>74</v>
      </c>
      <c r="BB662">
        <v>13</v>
      </c>
      <c r="BC662">
        <v>21</v>
      </c>
      <c r="BD662" t="s">
        <v>74</v>
      </c>
      <c r="BE662" t="s">
        <v>12981</v>
      </c>
      <c r="BF662" t="str">
        <f>HYPERLINK("http://dx.doi.org/10.1016/j.micres.2019.03.009","http://dx.doi.org/10.1016/j.micres.2019.03.009")</f>
        <v>http://dx.doi.org/10.1016/j.micres.2019.03.009</v>
      </c>
      <c r="BG662" t="s">
        <v>74</v>
      </c>
      <c r="BH662" t="s">
        <v>74</v>
      </c>
      <c r="BI662">
        <v>9</v>
      </c>
      <c r="BJ662" t="s">
        <v>1514</v>
      </c>
      <c r="BK662" t="s">
        <v>101</v>
      </c>
      <c r="BL662" t="s">
        <v>1514</v>
      </c>
      <c r="BM662" t="s">
        <v>12982</v>
      </c>
      <c r="BN662">
        <v>31178046</v>
      </c>
      <c r="BO662" t="s">
        <v>6963</v>
      </c>
      <c r="BP662" t="s">
        <v>74</v>
      </c>
      <c r="BQ662" t="s">
        <v>74</v>
      </c>
      <c r="BR662" t="s">
        <v>103</v>
      </c>
      <c r="BS662" t="s">
        <v>12983</v>
      </c>
      <c r="BT662" t="str">
        <f>HYPERLINK("https%3A%2F%2Fwww.webofscience.com%2Fwos%2Fwoscc%2Ffull-record%2FWOS:000525937200002","View Full Record in Web of Science")</f>
        <v>View Full Record in Web of Science</v>
      </c>
    </row>
    <row r="663" spans="1:72" x14ac:dyDescent="0.15">
      <c r="A663" t="s">
        <v>72</v>
      </c>
      <c r="B663" t="s">
        <v>12984</v>
      </c>
      <c r="C663" t="s">
        <v>74</v>
      </c>
      <c r="D663" t="s">
        <v>74</v>
      </c>
      <c r="E663" t="s">
        <v>74</v>
      </c>
      <c r="F663" t="s">
        <v>12985</v>
      </c>
      <c r="G663" t="s">
        <v>74</v>
      </c>
      <c r="H663" t="s">
        <v>74</v>
      </c>
      <c r="I663" t="s">
        <v>12986</v>
      </c>
      <c r="J663" t="s">
        <v>12987</v>
      </c>
      <c r="K663" t="s">
        <v>74</v>
      </c>
      <c r="L663" t="s">
        <v>74</v>
      </c>
      <c r="M663" t="s">
        <v>78</v>
      </c>
      <c r="N663" t="s">
        <v>108</v>
      </c>
      <c r="O663" t="s">
        <v>74</v>
      </c>
      <c r="P663" t="s">
        <v>74</v>
      </c>
      <c r="Q663" t="s">
        <v>74</v>
      </c>
      <c r="R663" t="s">
        <v>74</v>
      </c>
      <c r="S663" t="s">
        <v>74</v>
      </c>
      <c r="T663" t="s">
        <v>74</v>
      </c>
      <c r="U663" t="s">
        <v>12988</v>
      </c>
      <c r="V663" t="s">
        <v>74</v>
      </c>
      <c r="W663" t="s">
        <v>12989</v>
      </c>
      <c r="X663" t="s">
        <v>12990</v>
      </c>
      <c r="Y663" t="s">
        <v>12991</v>
      </c>
      <c r="Z663" t="s">
        <v>74</v>
      </c>
      <c r="AA663" t="s">
        <v>12992</v>
      </c>
      <c r="AB663" t="s">
        <v>12993</v>
      </c>
      <c r="AC663" t="s">
        <v>74</v>
      </c>
      <c r="AD663" t="s">
        <v>74</v>
      </c>
      <c r="AE663" t="s">
        <v>74</v>
      </c>
      <c r="AF663" t="s">
        <v>74</v>
      </c>
      <c r="AG663">
        <v>59</v>
      </c>
      <c r="AH663">
        <v>1</v>
      </c>
      <c r="AI663">
        <v>1</v>
      </c>
      <c r="AJ663">
        <v>0</v>
      </c>
      <c r="AK663">
        <v>2</v>
      </c>
      <c r="AL663" t="s">
        <v>3084</v>
      </c>
      <c r="AM663" t="s">
        <v>93</v>
      </c>
      <c r="AN663" t="s">
        <v>3085</v>
      </c>
      <c r="AO663" t="s">
        <v>12994</v>
      </c>
      <c r="AP663" t="s">
        <v>12995</v>
      </c>
      <c r="AQ663" t="s">
        <v>74</v>
      </c>
      <c r="AR663" t="s">
        <v>12996</v>
      </c>
      <c r="AS663" t="s">
        <v>12997</v>
      </c>
      <c r="AT663" t="s">
        <v>6722</v>
      </c>
      <c r="AU663">
        <v>2019</v>
      </c>
      <c r="AV663">
        <v>60</v>
      </c>
      <c r="AW663">
        <v>3</v>
      </c>
      <c r="AX663" t="s">
        <v>74</v>
      </c>
      <c r="AY663" t="s">
        <v>74</v>
      </c>
      <c r="AZ663" t="s">
        <v>74</v>
      </c>
      <c r="BA663" t="s">
        <v>74</v>
      </c>
      <c r="BB663">
        <v>13</v>
      </c>
      <c r="BC663">
        <v>19</v>
      </c>
      <c r="BD663" t="s">
        <v>74</v>
      </c>
      <c r="BE663" t="s">
        <v>74</v>
      </c>
      <c r="BF663" t="s">
        <v>74</v>
      </c>
      <c r="BG663" t="s">
        <v>74</v>
      </c>
      <c r="BH663" t="s">
        <v>74</v>
      </c>
      <c r="BI663">
        <v>7</v>
      </c>
      <c r="BJ663" t="s">
        <v>12998</v>
      </c>
      <c r="BK663" t="s">
        <v>101</v>
      </c>
      <c r="BL663" t="s">
        <v>12998</v>
      </c>
      <c r="BM663" t="s">
        <v>12999</v>
      </c>
      <c r="BN663" t="s">
        <v>74</v>
      </c>
      <c r="BO663" t="s">
        <v>74</v>
      </c>
      <c r="BP663" t="s">
        <v>74</v>
      </c>
      <c r="BQ663" t="s">
        <v>74</v>
      </c>
      <c r="BR663" t="s">
        <v>103</v>
      </c>
      <c r="BS663" t="s">
        <v>13000</v>
      </c>
      <c r="BT663" t="str">
        <f>HYPERLINK("https%3A%2F%2Fwww.webofscience.com%2Fwos%2Fwoscc%2Ffull-record%2FWOS:000493402300036","View Full Record in Web of Science")</f>
        <v>View Full Record in Web of Science</v>
      </c>
    </row>
    <row r="664" spans="1:72" x14ac:dyDescent="0.15">
      <c r="A664" t="s">
        <v>72</v>
      </c>
      <c r="B664" t="s">
        <v>13001</v>
      </c>
      <c r="C664" t="s">
        <v>74</v>
      </c>
      <c r="D664" t="s">
        <v>74</v>
      </c>
      <c r="E664" t="s">
        <v>74</v>
      </c>
      <c r="F664" t="s">
        <v>13002</v>
      </c>
      <c r="G664" t="s">
        <v>74</v>
      </c>
      <c r="H664" t="s">
        <v>74</v>
      </c>
      <c r="I664" t="s">
        <v>13003</v>
      </c>
      <c r="J664" t="s">
        <v>8578</v>
      </c>
      <c r="K664" t="s">
        <v>74</v>
      </c>
      <c r="L664" t="s">
        <v>74</v>
      </c>
      <c r="M664" t="s">
        <v>78</v>
      </c>
      <c r="N664" t="s">
        <v>108</v>
      </c>
      <c r="O664" t="s">
        <v>74</v>
      </c>
      <c r="P664" t="s">
        <v>74</v>
      </c>
      <c r="Q664" t="s">
        <v>74</v>
      </c>
      <c r="R664" t="s">
        <v>74</v>
      </c>
      <c r="S664" t="s">
        <v>74</v>
      </c>
      <c r="T664" t="s">
        <v>13004</v>
      </c>
      <c r="U664" t="s">
        <v>13005</v>
      </c>
      <c r="V664" t="s">
        <v>13006</v>
      </c>
      <c r="W664" t="s">
        <v>13007</v>
      </c>
      <c r="X664" t="s">
        <v>74</v>
      </c>
      <c r="Y664" t="s">
        <v>13008</v>
      </c>
      <c r="Z664" t="s">
        <v>13009</v>
      </c>
      <c r="AA664" t="s">
        <v>74</v>
      </c>
      <c r="AB664" t="s">
        <v>74</v>
      </c>
      <c r="AC664" t="s">
        <v>13010</v>
      </c>
      <c r="AD664" t="s">
        <v>3082</v>
      </c>
      <c r="AE664" t="s">
        <v>13011</v>
      </c>
      <c r="AF664" t="s">
        <v>74</v>
      </c>
      <c r="AG664">
        <v>68</v>
      </c>
      <c r="AH664">
        <v>4</v>
      </c>
      <c r="AI664">
        <v>6</v>
      </c>
      <c r="AJ664">
        <v>0</v>
      </c>
      <c r="AK664">
        <v>18</v>
      </c>
      <c r="AL664" t="s">
        <v>3084</v>
      </c>
      <c r="AM664" t="s">
        <v>93</v>
      </c>
      <c r="AN664" t="s">
        <v>3085</v>
      </c>
      <c r="AO664" t="s">
        <v>8588</v>
      </c>
      <c r="AP664" t="s">
        <v>8589</v>
      </c>
      <c r="AQ664" t="s">
        <v>74</v>
      </c>
      <c r="AR664" t="s">
        <v>8590</v>
      </c>
      <c r="AS664" t="s">
        <v>8591</v>
      </c>
      <c r="AT664" t="s">
        <v>6722</v>
      </c>
      <c r="AU664">
        <v>2019</v>
      </c>
      <c r="AV664">
        <v>41</v>
      </c>
      <c r="AW664">
        <v>3</v>
      </c>
      <c r="AX664" t="s">
        <v>74</v>
      </c>
      <c r="AY664" t="s">
        <v>74</v>
      </c>
      <c r="AZ664" t="s">
        <v>74</v>
      </c>
      <c r="BA664" t="s">
        <v>74</v>
      </c>
      <c r="BB664">
        <v>281</v>
      </c>
      <c r="BC664">
        <v>291</v>
      </c>
      <c r="BD664" t="s">
        <v>74</v>
      </c>
      <c r="BE664" t="s">
        <v>13012</v>
      </c>
      <c r="BF664" t="str">
        <f>HYPERLINK("http://dx.doi.org/10.1093/plankt/fbz014","http://dx.doi.org/10.1093/plankt/fbz014")</f>
        <v>http://dx.doi.org/10.1093/plankt/fbz014</v>
      </c>
      <c r="BG664" t="s">
        <v>74</v>
      </c>
      <c r="BH664" t="s">
        <v>74</v>
      </c>
      <c r="BI664">
        <v>11</v>
      </c>
      <c r="BJ664" t="s">
        <v>3596</v>
      </c>
      <c r="BK664" t="s">
        <v>101</v>
      </c>
      <c r="BL664" t="s">
        <v>3596</v>
      </c>
      <c r="BM664" t="s">
        <v>13013</v>
      </c>
      <c r="BN664" t="s">
        <v>74</v>
      </c>
      <c r="BO664" t="s">
        <v>74</v>
      </c>
      <c r="BP664" t="s">
        <v>74</v>
      </c>
      <c r="BQ664" t="s">
        <v>74</v>
      </c>
      <c r="BR664" t="s">
        <v>103</v>
      </c>
      <c r="BS664" t="s">
        <v>13014</v>
      </c>
      <c r="BT664" t="str">
        <f>HYPERLINK("https%3A%2F%2Fwww.webofscience.com%2Fwos%2Fwoscc%2Ffull-record%2FWOS:000493395200007","View Full Record in Web of Science")</f>
        <v>View Full Record in Web of Science</v>
      </c>
    </row>
    <row r="665" spans="1:72" x14ac:dyDescent="0.15">
      <c r="A665" t="s">
        <v>72</v>
      </c>
      <c r="B665" t="s">
        <v>13015</v>
      </c>
      <c r="C665" t="s">
        <v>74</v>
      </c>
      <c r="D665" t="s">
        <v>74</v>
      </c>
      <c r="E665" t="s">
        <v>74</v>
      </c>
      <c r="F665" t="s">
        <v>13016</v>
      </c>
      <c r="G665" t="s">
        <v>74</v>
      </c>
      <c r="H665" t="s">
        <v>74</v>
      </c>
      <c r="I665" t="s">
        <v>13017</v>
      </c>
      <c r="J665" t="s">
        <v>8578</v>
      </c>
      <c r="K665" t="s">
        <v>74</v>
      </c>
      <c r="L665" t="s">
        <v>74</v>
      </c>
      <c r="M665" t="s">
        <v>78</v>
      </c>
      <c r="N665" t="s">
        <v>108</v>
      </c>
      <c r="O665" t="s">
        <v>74</v>
      </c>
      <c r="P665" t="s">
        <v>74</v>
      </c>
      <c r="Q665" t="s">
        <v>74</v>
      </c>
      <c r="R665" t="s">
        <v>74</v>
      </c>
      <c r="S665" t="s">
        <v>74</v>
      </c>
      <c r="T665" t="s">
        <v>13018</v>
      </c>
      <c r="U665" t="s">
        <v>13019</v>
      </c>
      <c r="V665" t="s">
        <v>13020</v>
      </c>
      <c r="W665" t="s">
        <v>13021</v>
      </c>
      <c r="X665" t="s">
        <v>13022</v>
      </c>
      <c r="Y665" t="s">
        <v>13023</v>
      </c>
      <c r="Z665" t="s">
        <v>13024</v>
      </c>
      <c r="AA665" t="s">
        <v>13025</v>
      </c>
      <c r="AB665" t="s">
        <v>13026</v>
      </c>
      <c r="AC665" t="s">
        <v>13027</v>
      </c>
      <c r="AD665" t="s">
        <v>13028</v>
      </c>
      <c r="AE665" t="s">
        <v>13029</v>
      </c>
      <c r="AF665" t="s">
        <v>74</v>
      </c>
      <c r="AG665">
        <v>36</v>
      </c>
      <c r="AH665">
        <v>5</v>
      </c>
      <c r="AI665">
        <v>5</v>
      </c>
      <c r="AJ665">
        <v>1</v>
      </c>
      <c r="AK665">
        <v>15</v>
      </c>
      <c r="AL665" t="s">
        <v>3084</v>
      </c>
      <c r="AM665" t="s">
        <v>93</v>
      </c>
      <c r="AN665" t="s">
        <v>3085</v>
      </c>
      <c r="AO665" t="s">
        <v>8588</v>
      </c>
      <c r="AP665" t="s">
        <v>8589</v>
      </c>
      <c r="AQ665" t="s">
        <v>74</v>
      </c>
      <c r="AR665" t="s">
        <v>8590</v>
      </c>
      <c r="AS665" t="s">
        <v>8591</v>
      </c>
      <c r="AT665" t="s">
        <v>6722</v>
      </c>
      <c r="AU665">
        <v>2019</v>
      </c>
      <c r="AV665">
        <v>41</v>
      </c>
      <c r="AW665">
        <v>3</v>
      </c>
      <c r="AX665" t="s">
        <v>74</v>
      </c>
      <c r="AY665" t="s">
        <v>74</v>
      </c>
      <c r="AZ665" t="s">
        <v>74</v>
      </c>
      <c r="BA665" t="s">
        <v>74</v>
      </c>
      <c r="BB665">
        <v>329</v>
      </c>
      <c r="BC665">
        <v>348</v>
      </c>
      <c r="BD665" t="s">
        <v>74</v>
      </c>
      <c r="BE665" t="s">
        <v>13030</v>
      </c>
      <c r="BF665" t="str">
        <f>HYPERLINK("http://dx.doi.org/10.1093/plankt/fbz017","http://dx.doi.org/10.1093/plankt/fbz017")</f>
        <v>http://dx.doi.org/10.1093/plankt/fbz017</v>
      </c>
      <c r="BG665" t="s">
        <v>74</v>
      </c>
      <c r="BH665" t="s">
        <v>74</v>
      </c>
      <c r="BI665">
        <v>20</v>
      </c>
      <c r="BJ665" t="s">
        <v>3596</v>
      </c>
      <c r="BK665" t="s">
        <v>101</v>
      </c>
      <c r="BL665" t="s">
        <v>3596</v>
      </c>
      <c r="BM665" t="s">
        <v>13013</v>
      </c>
      <c r="BN665" t="s">
        <v>74</v>
      </c>
      <c r="BO665" t="s">
        <v>1648</v>
      </c>
      <c r="BP665" t="s">
        <v>74</v>
      </c>
      <c r="BQ665" t="s">
        <v>74</v>
      </c>
      <c r="BR665" t="s">
        <v>103</v>
      </c>
      <c r="BS665" t="s">
        <v>13031</v>
      </c>
      <c r="BT665" t="str">
        <f>HYPERLINK("https%3A%2F%2Fwww.webofscience.com%2Fwos%2Fwoscc%2Ffull-record%2FWOS:000493395200010","View Full Record in Web of Science")</f>
        <v>View Full Record in Web of Science</v>
      </c>
    </row>
    <row r="666" spans="1:72" x14ac:dyDescent="0.15">
      <c r="A666" t="s">
        <v>72</v>
      </c>
      <c r="B666" t="s">
        <v>13032</v>
      </c>
      <c r="C666" t="s">
        <v>74</v>
      </c>
      <c r="D666" t="s">
        <v>74</v>
      </c>
      <c r="E666" t="s">
        <v>74</v>
      </c>
      <c r="F666" t="s">
        <v>13033</v>
      </c>
      <c r="G666" t="s">
        <v>74</v>
      </c>
      <c r="H666" t="s">
        <v>74</v>
      </c>
      <c r="I666" t="s">
        <v>13034</v>
      </c>
      <c r="J666" t="s">
        <v>13035</v>
      </c>
      <c r="K666" t="s">
        <v>74</v>
      </c>
      <c r="L666" t="s">
        <v>74</v>
      </c>
      <c r="M666" t="s">
        <v>78</v>
      </c>
      <c r="N666" t="s">
        <v>108</v>
      </c>
      <c r="O666" t="s">
        <v>74</v>
      </c>
      <c r="P666" t="s">
        <v>74</v>
      </c>
      <c r="Q666" t="s">
        <v>74</v>
      </c>
      <c r="R666" t="s">
        <v>74</v>
      </c>
      <c r="S666" t="s">
        <v>74</v>
      </c>
      <c r="T666" t="s">
        <v>13036</v>
      </c>
      <c r="U666" t="s">
        <v>13037</v>
      </c>
      <c r="V666" t="s">
        <v>13038</v>
      </c>
      <c r="W666" t="s">
        <v>13039</v>
      </c>
      <c r="X666" t="s">
        <v>2346</v>
      </c>
      <c r="Y666" t="s">
        <v>13040</v>
      </c>
      <c r="Z666" t="s">
        <v>13041</v>
      </c>
      <c r="AA666" t="s">
        <v>633</v>
      </c>
      <c r="AB666" t="s">
        <v>13042</v>
      </c>
      <c r="AC666" t="s">
        <v>13043</v>
      </c>
      <c r="AD666" t="s">
        <v>13044</v>
      </c>
      <c r="AE666" t="s">
        <v>13045</v>
      </c>
      <c r="AF666" t="s">
        <v>74</v>
      </c>
      <c r="AG666">
        <v>63</v>
      </c>
      <c r="AH666">
        <v>9</v>
      </c>
      <c r="AI666">
        <v>10</v>
      </c>
      <c r="AJ666">
        <v>2</v>
      </c>
      <c r="AK666">
        <v>29</v>
      </c>
      <c r="AL666" t="s">
        <v>92</v>
      </c>
      <c r="AM666" t="s">
        <v>93</v>
      </c>
      <c r="AN666" t="s">
        <v>94</v>
      </c>
      <c r="AO666" t="s">
        <v>13046</v>
      </c>
      <c r="AP666" t="s">
        <v>13047</v>
      </c>
      <c r="AQ666" t="s">
        <v>74</v>
      </c>
      <c r="AR666" t="s">
        <v>13048</v>
      </c>
      <c r="AS666" t="s">
        <v>13049</v>
      </c>
      <c r="AT666" t="s">
        <v>6722</v>
      </c>
      <c r="AU666">
        <v>2019</v>
      </c>
      <c r="AV666">
        <v>133</v>
      </c>
      <c r="AW666" t="s">
        <v>74</v>
      </c>
      <c r="AX666" t="s">
        <v>74</v>
      </c>
      <c r="AY666" t="s">
        <v>74</v>
      </c>
      <c r="AZ666" t="s">
        <v>74</v>
      </c>
      <c r="BA666" t="s">
        <v>74</v>
      </c>
      <c r="BB666">
        <v>165</v>
      </c>
      <c r="BC666">
        <v>173</v>
      </c>
      <c r="BD666" t="s">
        <v>74</v>
      </c>
      <c r="BE666" t="s">
        <v>13050</v>
      </c>
      <c r="BF666" t="str">
        <f>HYPERLINK("http://dx.doi.org/10.1016/j.soilbio.2019.03.011","http://dx.doi.org/10.1016/j.soilbio.2019.03.011")</f>
        <v>http://dx.doi.org/10.1016/j.soilbio.2019.03.011</v>
      </c>
      <c r="BG666" t="s">
        <v>74</v>
      </c>
      <c r="BH666" t="s">
        <v>74</v>
      </c>
      <c r="BI666">
        <v>9</v>
      </c>
      <c r="BJ666" t="s">
        <v>5978</v>
      </c>
      <c r="BK666" t="s">
        <v>101</v>
      </c>
      <c r="BL666" t="s">
        <v>5979</v>
      </c>
      <c r="BM666" t="s">
        <v>13051</v>
      </c>
      <c r="BN666" t="s">
        <v>74</v>
      </c>
      <c r="BO666" t="s">
        <v>74</v>
      </c>
      <c r="BP666" t="s">
        <v>74</v>
      </c>
      <c r="BQ666" t="s">
        <v>74</v>
      </c>
      <c r="BR666" t="s">
        <v>103</v>
      </c>
      <c r="BS666" t="s">
        <v>13052</v>
      </c>
      <c r="BT666" t="str">
        <f>HYPERLINK("https%3A%2F%2Fwww.webofscience.com%2Fwos%2Fwoscc%2Ffull-record%2FWOS:000487001800019","View Full Record in Web of Science")</f>
        <v>View Full Record in Web of Science</v>
      </c>
    </row>
    <row r="667" spans="1:72" x14ac:dyDescent="0.15">
      <c r="A667" t="s">
        <v>72</v>
      </c>
      <c r="B667" t="s">
        <v>13053</v>
      </c>
      <c r="C667" t="s">
        <v>74</v>
      </c>
      <c r="D667" t="s">
        <v>74</v>
      </c>
      <c r="E667" t="s">
        <v>74</v>
      </c>
      <c r="F667" t="s">
        <v>13054</v>
      </c>
      <c r="G667" t="s">
        <v>74</v>
      </c>
      <c r="H667" t="s">
        <v>74</v>
      </c>
      <c r="I667" t="s">
        <v>13055</v>
      </c>
      <c r="J667" t="s">
        <v>13056</v>
      </c>
      <c r="K667" t="s">
        <v>74</v>
      </c>
      <c r="L667" t="s">
        <v>74</v>
      </c>
      <c r="M667" t="s">
        <v>78</v>
      </c>
      <c r="N667" t="s">
        <v>108</v>
      </c>
      <c r="O667" t="s">
        <v>74</v>
      </c>
      <c r="P667" t="s">
        <v>74</v>
      </c>
      <c r="Q667" t="s">
        <v>74</v>
      </c>
      <c r="R667" t="s">
        <v>74</v>
      </c>
      <c r="S667" t="s">
        <v>74</v>
      </c>
      <c r="T667" t="s">
        <v>13057</v>
      </c>
      <c r="U667" t="s">
        <v>13058</v>
      </c>
      <c r="V667" t="s">
        <v>13059</v>
      </c>
      <c r="W667" t="s">
        <v>13060</v>
      </c>
      <c r="X667" t="s">
        <v>13061</v>
      </c>
      <c r="Y667" t="s">
        <v>13062</v>
      </c>
      <c r="Z667" t="s">
        <v>13063</v>
      </c>
      <c r="AA667" t="s">
        <v>13064</v>
      </c>
      <c r="AB667" t="s">
        <v>13065</v>
      </c>
      <c r="AC667" t="s">
        <v>13066</v>
      </c>
      <c r="AD667" t="s">
        <v>13067</v>
      </c>
      <c r="AE667" t="s">
        <v>13068</v>
      </c>
      <c r="AF667" t="s">
        <v>74</v>
      </c>
      <c r="AG667">
        <v>39</v>
      </c>
      <c r="AH667">
        <v>5</v>
      </c>
      <c r="AI667">
        <v>5</v>
      </c>
      <c r="AJ667">
        <v>2</v>
      </c>
      <c r="AK667">
        <v>8</v>
      </c>
      <c r="AL667" t="s">
        <v>13069</v>
      </c>
      <c r="AM667" t="s">
        <v>13070</v>
      </c>
      <c r="AN667" t="s">
        <v>13071</v>
      </c>
      <c r="AO667" t="s">
        <v>13072</v>
      </c>
      <c r="AP667" t="s">
        <v>13073</v>
      </c>
      <c r="AQ667" t="s">
        <v>74</v>
      </c>
      <c r="AR667" t="s">
        <v>13074</v>
      </c>
      <c r="AS667" t="s">
        <v>13075</v>
      </c>
      <c r="AT667" t="s">
        <v>13076</v>
      </c>
      <c r="AU667">
        <v>2019</v>
      </c>
      <c r="AV667" t="s">
        <v>74</v>
      </c>
      <c r="AW667" t="s">
        <v>74</v>
      </c>
      <c r="AX667" t="s">
        <v>74</v>
      </c>
      <c r="AY667" t="s">
        <v>74</v>
      </c>
      <c r="AZ667">
        <v>90</v>
      </c>
      <c r="BA667" t="s">
        <v>74</v>
      </c>
      <c r="BB667">
        <v>1</v>
      </c>
      <c r="BC667">
        <v>10</v>
      </c>
      <c r="BD667" t="s">
        <v>74</v>
      </c>
      <c r="BE667" t="s">
        <v>13077</v>
      </c>
      <c r="BF667" t="str">
        <f>HYPERLINK("http://dx.doi.org/10.2112/SI90-001.1","http://dx.doi.org/10.2112/SI90-001.1")</f>
        <v>http://dx.doi.org/10.2112/SI90-001.1</v>
      </c>
      <c r="BG667" t="s">
        <v>74</v>
      </c>
      <c r="BH667" t="s">
        <v>74</v>
      </c>
      <c r="BI667">
        <v>10</v>
      </c>
      <c r="BJ667" t="s">
        <v>4549</v>
      </c>
      <c r="BK667" t="s">
        <v>101</v>
      </c>
      <c r="BL667" t="s">
        <v>4550</v>
      </c>
      <c r="BM667" t="s">
        <v>13078</v>
      </c>
      <c r="BN667" t="s">
        <v>74</v>
      </c>
      <c r="BO667" t="s">
        <v>74</v>
      </c>
      <c r="BP667" t="s">
        <v>74</v>
      </c>
      <c r="BQ667" t="s">
        <v>74</v>
      </c>
      <c r="BR667" t="s">
        <v>103</v>
      </c>
      <c r="BS667" t="s">
        <v>13079</v>
      </c>
      <c r="BT667" t="str">
        <f>HYPERLINK("https%3A%2F%2Fwww.webofscience.com%2Fwos%2Fwoscc%2Ffull-record%2FWOS:000485714500002","View Full Record in Web of Science")</f>
        <v>View Full Record in Web of Science</v>
      </c>
    </row>
    <row r="668" spans="1:72" x14ac:dyDescent="0.15">
      <c r="A668" t="s">
        <v>72</v>
      </c>
      <c r="B668" t="s">
        <v>13080</v>
      </c>
      <c r="C668" t="s">
        <v>74</v>
      </c>
      <c r="D668" t="s">
        <v>74</v>
      </c>
      <c r="E668" t="s">
        <v>74</v>
      </c>
      <c r="F668" t="s">
        <v>13081</v>
      </c>
      <c r="G668" t="s">
        <v>74</v>
      </c>
      <c r="H668" t="s">
        <v>74</v>
      </c>
      <c r="I668" t="s">
        <v>13082</v>
      </c>
      <c r="J668" t="s">
        <v>13083</v>
      </c>
      <c r="K668" t="s">
        <v>74</v>
      </c>
      <c r="L668" t="s">
        <v>74</v>
      </c>
      <c r="M668" t="s">
        <v>78</v>
      </c>
      <c r="N668" t="s">
        <v>778</v>
      </c>
      <c r="O668" t="s">
        <v>13084</v>
      </c>
      <c r="P668" t="s">
        <v>13085</v>
      </c>
      <c r="Q668" t="s">
        <v>13086</v>
      </c>
      <c r="R668" t="s">
        <v>74</v>
      </c>
      <c r="S668" t="s">
        <v>74</v>
      </c>
      <c r="T668" t="s">
        <v>13087</v>
      </c>
      <c r="U668" t="s">
        <v>13088</v>
      </c>
      <c r="V668" t="s">
        <v>13089</v>
      </c>
      <c r="W668" t="s">
        <v>13090</v>
      </c>
      <c r="X668" t="s">
        <v>13091</v>
      </c>
      <c r="Y668" t="s">
        <v>13092</v>
      </c>
      <c r="Z668" t="s">
        <v>13093</v>
      </c>
      <c r="AA668" t="s">
        <v>13094</v>
      </c>
      <c r="AB668" t="s">
        <v>13095</v>
      </c>
      <c r="AC668" t="s">
        <v>13096</v>
      </c>
      <c r="AD668" t="s">
        <v>13097</v>
      </c>
      <c r="AE668" t="s">
        <v>13098</v>
      </c>
      <c r="AF668" t="s">
        <v>74</v>
      </c>
      <c r="AG668">
        <v>48</v>
      </c>
      <c r="AH668">
        <v>12</v>
      </c>
      <c r="AI668">
        <v>13</v>
      </c>
      <c r="AJ668">
        <v>1</v>
      </c>
      <c r="AK668">
        <v>19</v>
      </c>
      <c r="AL668" t="s">
        <v>438</v>
      </c>
      <c r="AM668" t="s">
        <v>439</v>
      </c>
      <c r="AN668" t="s">
        <v>440</v>
      </c>
      <c r="AO668" t="s">
        <v>13099</v>
      </c>
      <c r="AP668" t="s">
        <v>13100</v>
      </c>
      <c r="AQ668" t="s">
        <v>74</v>
      </c>
      <c r="AR668" t="s">
        <v>13101</v>
      </c>
      <c r="AS668" t="s">
        <v>13102</v>
      </c>
      <c r="AT668" t="s">
        <v>6722</v>
      </c>
      <c r="AU668">
        <v>2019</v>
      </c>
      <c r="AV668">
        <v>20</v>
      </c>
      <c r="AW668" t="s">
        <v>74</v>
      </c>
      <c r="AX668">
        <v>1</v>
      </c>
      <c r="AY668" t="s">
        <v>74</v>
      </c>
      <c r="AZ668" t="s">
        <v>730</v>
      </c>
      <c r="BA668" t="s">
        <v>74</v>
      </c>
      <c r="BB668">
        <v>3</v>
      </c>
      <c r="BC668">
        <v>8</v>
      </c>
      <c r="BD668" t="s">
        <v>74</v>
      </c>
      <c r="BE668" t="s">
        <v>13103</v>
      </c>
      <c r="BF668" t="str">
        <f>HYPERLINK("http://dx.doi.org/10.1016/j.polar.2018.10.002","http://dx.doi.org/10.1016/j.polar.2018.10.002")</f>
        <v>http://dx.doi.org/10.1016/j.polar.2018.10.002</v>
      </c>
      <c r="BG668" t="s">
        <v>74</v>
      </c>
      <c r="BH668" t="s">
        <v>74</v>
      </c>
      <c r="BI668">
        <v>6</v>
      </c>
      <c r="BJ668" t="s">
        <v>847</v>
      </c>
      <c r="BK668" t="s">
        <v>798</v>
      </c>
      <c r="BL668" t="s">
        <v>848</v>
      </c>
      <c r="BM668" t="s">
        <v>13104</v>
      </c>
      <c r="BN668" t="s">
        <v>74</v>
      </c>
      <c r="BO668" t="s">
        <v>537</v>
      </c>
      <c r="BP668" t="s">
        <v>74</v>
      </c>
      <c r="BQ668" t="s">
        <v>74</v>
      </c>
      <c r="BR668" t="s">
        <v>103</v>
      </c>
      <c r="BS668" t="s">
        <v>13105</v>
      </c>
      <c r="BT668" t="str">
        <f>HYPERLINK("https%3A%2F%2Fwww.webofscience.com%2Fwos%2Fwoscc%2Ffull-record%2FWOS:000483368600002","View Full Record in Web of Science")</f>
        <v>View Full Record in Web of Science</v>
      </c>
    </row>
    <row r="669" spans="1:72" x14ac:dyDescent="0.15">
      <c r="A669" t="s">
        <v>72</v>
      </c>
      <c r="B669" t="s">
        <v>13106</v>
      </c>
      <c r="C669" t="s">
        <v>74</v>
      </c>
      <c r="D669" t="s">
        <v>74</v>
      </c>
      <c r="E669" t="s">
        <v>74</v>
      </c>
      <c r="F669" t="s">
        <v>13107</v>
      </c>
      <c r="G669" t="s">
        <v>74</v>
      </c>
      <c r="H669" t="s">
        <v>74</v>
      </c>
      <c r="I669" t="s">
        <v>13108</v>
      </c>
      <c r="J669" t="s">
        <v>13083</v>
      </c>
      <c r="K669" t="s">
        <v>74</v>
      </c>
      <c r="L669" t="s">
        <v>74</v>
      </c>
      <c r="M669" t="s">
        <v>78</v>
      </c>
      <c r="N669" t="s">
        <v>778</v>
      </c>
      <c r="O669" t="s">
        <v>13084</v>
      </c>
      <c r="P669" t="s">
        <v>13085</v>
      </c>
      <c r="Q669" t="s">
        <v>13086</v>
      </c>
      <c r="R669" t="s">
        <v>74</v>
      </c>
      <c r="S669" t="s">
        <v>74</v>
      </c>
      <c r="T669" t="s">
        <v>13109</v>
      </c>
      <c r="U669" t="s">
        <v>13110</v>
      </c>
      <c r="V669" t="s">
        <v>13111</v>
      </c>
      <c r="W669" t="s">
        <v>13112</v>
      </c>
      <c r="X669" t="s">
        <v>13113</v>
      </c>
      <c r="Y669" t="s">
        <v>13114</v>
      </c>
      <c r="Z669" t="s">
        <v>13115</v>
      </c>
      <c r="AA669" t="s">
        <v>13116</v>
      </c>
      <c r="AB669" t="s">
        <v>13117</v>
      </c>
      <c r="AC669" t="s">
        <v>13118</v>
      </c>
      <c r="AD669" t="s">
        <v>13119</v>
      </c>
      <c r="AE669" t="s">
        <v>13120</v>
      </c>
      <c r="AF669" t="s">
        <v>74</v>
      </c>
      <c r="AG669">
        <v>267</v>
      </c>
      <c r="AH669">
        <v>32</v>
      </c>
      <c r="AI669">
        <v>36</v>
      </c>
      <c r="AJ669">
        <v>2</v>
      </c>
      <c r="AK669">
        <v>28</v>
      </c>
      <c r="AL669" t="s">
        <v>438</v>
      </c>
      <c r="AM669" t="s">
        <v>439</v>
      </c>
      <c r="AN669" t="s">
        <v>440</v>
      </c>
      <c r="AO669" t="s">
        <v>13099</v>
      </c>
      <c r="AP669" t="s">
        <v>13100</v>
      </c>
      <c r="AQ669" t="s">
        <v>74</v>
      </c>
      <c r="AR669" t="s">
        <v>13101</v>
      </c>
      <c r="AS669" t="s">
        <v>13102</v>
      </c>
      <c r="AT669" t="s">
        <v>6722</v>
      </c>
      <c r="AU669">
        <v>2019</v>
      </c>
      <c r="AV669">
        <v>20</v>
      </c>
      <c r="AW669" t="s">
        <v>74</v>
      </c>
      <c r="AX669">
        <v>1</v>
      </c>
      <c r="AY669" t="s">
        <v>74</v>
      </c>
      <c r="AZ669" t="s">
        <v>730</v>
      </c>
      <c r="BA669" t="s">
        <v>74</v>
      </c>
      <c r="BB669">
        <v>19</v>
      </c>
      <c r="BC669">
        <v>34</v>
      </c>
      <c r="BD669" t="s">
        <v>74</v>
      </c>
      <c r="BE669" t="s">
        <v>13121</v>
      </c>
      <c r="BF669" t="str">
        <f>HYPERLINK("http://dx.doi.org/10.1016/j.polar.2018.10.001","http://dx.doi.org/10.1016/j.polar.2018.10.001")</f>
        <v>http://dx.doi.org/10.1016/j.polar.2018.10.001</v>
      </c>
      <c r="BG669" t="s">
        <v>74</v>
      </c>
      <c r="BH669" t="s">
        <v>74</v>
      </c>
      <c r="BI669">
        <v>16</v>
      </c>
      <c r="BJ669" t="s">
        <v>847</v>
      </c>
      <c r="BK669" t="s">
        <v>798</v>
      </c>
      <c r="BL669" t="s">
        <v>848</v>
      </c>
      <c r="BM669" t="s">
        <v>13104</v>
      </c>
      <c r="BN669" t="s">
        <v>74</v>
      </c>
      <c r="BO669" t="s">
        <v>74</v>
      </c>
      <c r="BP669" t="s">
        <v>74</v>
      </c>
      <c r="BQ669" t="s">
        <v>74</v>
      </c>
      <c r="BR669" t="s">
        <v>103</v>
      </c>
      <c r="BS669" t="s">
        <v>13122</v>
      </c>
      <c r="BT669" t="str">
        <f>HYPERLINK("https%3A%2F%2Fwww.webofscience.com%2Fwos%2Fwoscc%2Ffull-record%2FWOS:000483368600004","View Full Record in Web of Science")</f>
        <v>View Full Record in Web of Science</v>
      </c>
    </row>
    <row r="670" spans="1:72" x14ac:dyDescent="0.15">
      <c r="A670" t="s">
        <v>72</v>
      </c>
      <c r="B670" t="s">
        <v>13123</v>
      </c>
      <c r="C670" t="s">
        <v>74</v>
      </c>
      <c r="D670" t="s">
        <v>74</v>
      </c>
      <c r="E670" t="s">
        <v>74</v>
      </c>
      <c r="F670" t="s">
        <v>13124</v>
      </c>
      <c r="G670" t="s">
        <v>74</v>
      </c>
      <c r="H670" t="s">
        <v>74</v>
      </c>
      <c r="I670" t="s">
        <v>13125</v>
      </c>
      <c r="J670" t="s">
        <v>13083</v>
      </c>
      <c r="K670" t="s">
        <v>74</v>
      </c>
      <c r="L670" t="s">
        <v>74</v>
      </c>
      <c r="M670" t="s">
        <v>78</v>
      </c>
      <c r="N670" t="s">
        <v>778</v>
      </c>
      <c r="O670" t="s">
        <v>13084</v>
      </c>
      <c r="P670" t="s">
        <v>13085</v>
      </c>
      <c r="Q670" t="s">
        <v>13086</v>
      </c>
      <c r="R670" t="s">
        <v>74</v>
      </c>
      <c r="S670" t="s">
        <v>74</v>
      </c>
      <c r="T670" t="s">
        <v>13126</v>
      </c>
      <c r="U670" t="s">
        <v>13127</v>
      </c>
      <c r="V670" t="s">
        <v>13128</v>
      </c>
      <c r="W670" t="s">
        <v>13129</v>
      </c>
      <c r="X670" t="s">
        <v>13130</v>
      </c>
      <c r="Y670" t="s">
        <v>13131</v>
      </c>
      <c r="Z670" t="s">
        <v>13132</v>
      </c>
      <c r="AA670" t="s">
        <v>13133</v>
      </c>
      <c r="AB670" t="s">
        <v>13134</v>
      </c>
      <c r="AC670" t="s">
        <v>13135</v>
      </c>
      <c r="AD670" t="s">
        <v>13136</v>
      </c>
      <c r="AE670" t="s">
        <v>13137</v>
      </c>
      <c r="AF670" t="s">
        <v>74</v>
      </c>
      <c r="AG670">
        <v>79</v>
      </c>
      <c r="AH670">
        <v>3</v>
      </c>
      <c r="AI670">
        <v>4</v>
      </c>
      <c r="AJ670">
        <v>0</v>
      </c>
      <c r="AK670">
        <v>13</v>
      </c>
      <c r="AL670" t="s">
        <v>438</v>
      </c>
      <c r="AM670" t="s">
        <v>439</v>
      </c>
      <c r="AN670" t="s">
        <v>440</v>
      </c>
      <c r="AO670" t="s">
        <v>13099</v>
      </c>
      <c r="AP670" t="s">
        <v>13100</v>
      </c>
      <c r="AQ670" t="s">
        <v>74</v>
      </c>
      <c r="AR670" t="s">
        <v>13101</v>
      </c>
      <c r="AS670" t="s">
        <v>13102</v>
      </c>
      <c r="AT670" t="s">
        <v>6722</v>
      </c>
      <c r="AU670">
        <v>2019</v>
      </c>
      <c r="AV670">
        <v>20</v>
      </c>
      <c r="AW670" t="s">
        <v>74</v>
      </c>
      <c r="AX670">
        <v>1</v>
      </c>
      <c r="AY670" t="s">
        <v>74</v>
      </c>
      <c r="AZ670" t="s">
        <v>730</v>
      </c>
      <c r="BA670" t="s">
        <v>74</v>
      </c>
      <c r="BB670">
        <v>35</v>
      </c>
      <c r="BC670">
        <v>44</v>
      </c>
      <c r="BD670" t="s">
        <v>74</v>
      </c>
      <c r="BE670" t="s">
        <v>13138</v>
      </c>
      <c r="BF670" t="str">
        <f>HYPERLINK("http://dx.doi.org/10.1016/j.polar.2018.12.004","http://dx.doi.org/10.1016/j.polar.2018.12.004")</f>
        <v>http://dx.doi.org/10.1016/j.polar.2018.12.004</v>
      </c>
      <c r="BG670" t="s">
        <v>74</v>
      </c>
      <c r="BH670" t="s">
        <v>74</v>
      </c>
      <c r="BI670">
        <v>10</v>
      </c>
      <c r="BJ670" t="s">
        <v>847</v>
      </c>
      <c r="BK670" t="s">
        <v>798</v>
      </c>
      <c r="BL670" t="s">
        <v>848</v>
      </c>
      <c r="BM670" t="s">
        <v>13104</v>
      </c>
      <c r="BN670" t="s">
        <v>74</v>
      </c>
      <c r="BO670" t="s">
        <v>537</v>
      </c>
      <c r="BP670" t="s">
        <v>74</v>
      </c>
      <c r="BQ670" t="s">
        <v>74</v>
      </c>
      <c r="BR670" t="s">
        <v>103</v>
      </c>
      <c r="BS670" t="s">
        <v>13139</v>
      </c>
      <c r="BT670" t="str">
        <f>HYPERLINK("https%3A%2F%2Fwww.webofscience.com%2Fwos%2Fwoscc%2Ffull-record%2FWOS:000483368600005","View Full Record in Web of Science")</f>
        <v>View Full Record in Web of Science</v>
      </c>
    </row>
    <row r="671" spans="1:72" x14ac:dyDescent="0.15">
      <c r="A671" t="s">
        <v>72</v>
      </c>
      <c r="B671" t="s">
        <v>13140</v>
      </c>
      <c r="C671" t="s">
        <v>74</v>
      </c>
      <c r="D671" t="s">
        <v>74</v>
      </c>
      <c r="E671" t="s">
        <v>74</v>
      </c>
      <c r="F671" t="s">
        <v>13141</v>
      </c>
      <c r="G671" t="s">
        <v>74</v>
      </c>
      <c r="H671" t="s">
        <v>74</v>
      </c>
      <c r="I671" t="s">
        <v>13142</v>
      </c>
      <c r="J671" t="s">
        <v>13083</v>
      </c>
      <c r="K671" t="s">
        <v>74</v>
      </c>
      <c r="L671" t="s">
        <v>74</v>
      </c>
      <c r="M671" t="s">
        <v>78</v>
      </c>
      <c r="N671" t="s">
        <v>778</v>
      </c>
      <c r="O671" t="s">
        <v>13084</v>
      </c>
      <c r="P671" t="s">
        <v>13085</v>
      </c>
      <c r="Q671" t="s">
        <v>13086</v>
      </c>
      <c r="R671" t="s">
        <v>74</v>
      </c>
      <c r="S671" t="s">
        <v>74</v>
      </c>
      <c r="T671" t="s">
        <v>13143</v>
      </c>
      <c r="U671" t="s">
        <v>13144</v>
      </c>
      <c r="V671" t="s">
        <v>13145</v>
      </c>
      <c r="W671" t="s">
        <v>13146</v>
      </c>
      <c r="X671" t="s">
        <v>13147</v>
      </c>
      <c r="Y671" t="s">
        <v>13148</v>
      </c>
      <c r="Z671" t="s">
        <v>13149</v>
      </c>
      <c r="AA671" t="s">
        <v>13150</v>
      </c>
      <c r="AB671" t="s">
        <v>13151</v>
      </c>
      <c r="AC671" t="s">
        <v>13152</v>
      </c>
      <c r="AD671" t="s">
        <v>13153</v>
      </c>
      <c r="AE671" t="s">
        <v>13154</v>
      </c>
      <c r="AF671" t="s">
        <v>74</v>
      </c>
      <c r="AG671">
        <v>62</v>
      </c>
      <c r="AH671">
        <v>3</v>
      </c>
      <c r="AI671">
        <v>3</v>
      </c>
      <c r="AJ671">
        <v>1</v>
      </c>
      <c r="AK671">
        <v>11</v>
      </c>
      <c r="AL671" t="s">
        <v>438</v>
      </c>
      <c r="AM671" t="s">
        <v>439</v>
      </c>
      <c r="AN671" t="s">
        <v>440</v>
      </c>
      <c r="AO671" t="s">
        <v>13099</v>
      </c>
      <c r="AP671" t="s">
        <v>13100</v>
      </c>
      <c r="AQ671" t="s">
        <v>74</v>
      </c>
      <c r="AR671" t="s">
        <v>13101</v>
      </c>
      <c r="AS671" t="s">
        <v>13102</v>
      </c>
      <c r="AT671" t="s">
        <v>6722</v>
      </c>
      <c r="AU671">
        <v>2019</v>
      </c>
      <c r="AV671">
        <v>20</v>
      </c>
      <c r="AW671" t="s">
        <v>74</v>
      </c>
      <c r="AX671">
        <v>1</v>
      </c>
      <c r="AY671" t="s">
        <v>74</v>
      </c>
      <c r="AZ671" t="s">
        <v>730</v>
      </c>
      <c r="BA671" t="s">
        <v>74</v>
      </c>
      <c r="BB671">
        <v>45</v>
      </c>
      <c r="BC671">
        <v>54</v>
      </c>
      <c r="BD671" t="s">
        <v>74</v>
      </c>
      <c r="BE671" t="s">
        <v>13155</v>
      </c>
      <c r="BF671" t="str">
        <f>HYPERLINK("http://dx.doi.org/10.1016/j.polar.2018.11.007","http://dx.doi.org/10.1016/j.polar.2018.11.007")</f>
        <v>http://dx.doi.org/10.1016/j.polar.2018.11.007</v>
      </c>
      <c r="BG671" t="s">
        <v>74</v>
      </c>
      <c r="BH671" t="s">
        <v>74</v>
      </c>
      <c r="BI671">
        <v>10</v>
      </c>
      <c r="BJ671" t="s">
        <v>847</v>
      </c>
      <c r="BK671" t="s">
        <v>798</v>
      </c>
      <c r="BL671" t="s">
        <v>848</v>
      </c>
      <c r="BM671" t="s">
        <v>13104</v>
      </c>
      <c r="BN671" t="s">
        <v>74</v>
      </c>
      <c r="BO671" t="s">
        <v>537</v>
      </c>
      <c r="BP671" t="s">
        <v>74</v>
      </c>
      <c r="BQ671" t="s">
        <v>74</v>
      </c>
      <c r="BR671" t="s">
        <v>103</v>
      </c>
      <c r="BS671" t="s">
        <v>13156</v>
      </c>
      <c r="BT671" t="str">
        <f>HYPERLINK("https%3A%2F%2Fwww.webofscience.com%2Fwos%2Fwoscc%2Ffull-record%2FWOS:000483368600006","View Full Record in Web of Science")</f>
        <v>View Full Record in Web of Science</v>
      </c>
    </row>
    <row r="672" spans="1:72" x14ac:dyDescent="0.15">
      <c r="A672" t="s">
        <v>72</v>
      </c>
      <c r="B672" t="s">
        <v>13157</v>
      </c>
      <c r="C672" t="s">
        <v>74</v>
      </c>
      <c r="D672" t="s">
        <v>74</v>
      </c>
      <c r="E672" t="s">
        <v>74</v>
      </c>
      <c r="F672" t="s">
        <v>13158</v>
      </c>
      <c r="G672" t="s">
        <v>74</v>
      </c>
      <c r="H672" t="s">
        <v>74</v>
      </c>
      <c r="I672" t="s">
        <v>13159</v>
      </c>
      <c r="J672" t="s">
        <v>13083</v>
      </c>
      <c r="K672" t="s">
        <v>74</v>
      </c>
      <c r="L672" t="s">
        <v>74</v>
      </c>
      <c r="M672" t="s">
        <v>78</v>
      </c>
      <c r="N672" t="s">
        <v>778</v>
      </c>
      <c r="O672" t="s">
        <v>13084</v>
      </c>
      <c r="P672" t="s">
        <v>13085</v>
      </c>
      <c r="Q672" t="s">
        <v>13086</v>
      </c>
      <c r="R672" t="s">
        <v>74</v>
      </c>
      <c r="S672" t="s">
        <v>74</v>
      </c>
      <c r="T672" t="s">
        <v>13160</v>
      </c>
      <c r="U672" t="s">
        <v>13161</v>
      </c>
      <c r="V672" t="s">
        <v>13162</v>
      </c>
      <c r="W672" t="s">
        <v>13163</v>
      </c>
      <c r="X672" t="s">
        <v>13164</v>
      </c>
      <c r="Y672" t="s">
        <v>13165</v>
      </c>
      <c r="Z672" t="s">
        <v>13115</v>
      </c>
      <c r="AA672" t="s">
        <v>13166</v>
      </c>
      <c r="AB672" t="s">
        <v>13167</v>
      </c>
      <c r="AC672" t="s">
        <v>13168</v>
      </c>
      <c r="AD672" t="s">
        <v>13169</v>
      </c>
      <c r="AE672" t="s">
        <v>13170</v>
      </c>
      <c r="AF672" t="s">
        <v>74</v>
      </c>
      <c r="AG672">
        <v>45</v>
      </c>
      <c r="AH672">
        <v>1</v>
      </c>
      <c r="AI672">
        <v>2</v>
      </c>
      <c r="AJ672">
        <v>0</v>
      </c>
      <c r="AK672">
        <v>5</v>
      </c>
      <c r="AL672" t="s">
        <v>438</v>
      </c>
      <c r="AM672" t="s">
        <v>439</v>
      </c>
      <c r="AN672" t="s">
        <v>440</v>
      </c>
      <c r="AO672" t="s">
        <v>13099</v>
      </c>
      <c r="AP672" t="s">
        <v>13100</v>
      </c>
      <c r="AQ672" t="s">
        <v>74</v>
      </c>
      <c r="AR672" t="s">
        <v>13101</v>
      </c>
      <c r="AS672" t="s">
        <v>13102</v>
      </c>
      <c r="AT672" t="s">
        <v>6722</v>
      </c>
      <c r="AU672">
        <v>2019</v>
      </c>
      <c r="AV672">
        <v>20</v>
      </c>
      <c r="AW672" t="s">
        <v>74</v>
      </c>
      <c r="AX672">
        <v>1</v>
      </c>
      <c r="AY672" t="s">
        <v>74</v>
      </c>
      <c r="AZ672" t="s">
        <v>730</v>
      </c>
      <c r="BA672" t="s">
        <v>74</v>
      </c>
      <c r="BB672">
        <v>55</v>
      </c>
      <c r="BC672">
        <v>62</v>
      </c>
      <c r="BD672" t="s">
        <v>74</v>
      </c>
      <c r="BE672" t="s">
        <v>13171</v>
      </c>
      <c r="BF672" t="str">
        <f>HYPERLINK("http://dx.doi.org/10.1016/j.polar.2018.10.005","http://dx.doi.org/10.1016/j.polar.2018.10.005")</f>
        <v>http://dx.doi.org/10.1016/j.polar.2018.10.005</v>
      </c>
      <c r="BG672" t="s">
        <v>74</v>
      </c>
      <c r="BH672" t="s">
        <v>74</v>
      </c>
      <c r="BI672">
        <v>8</v>
      </c>
      <c r="BJ672" t="s">
        <v>847</v>
      </c>
      <c r="BK672" t="s">
        <v>798</v>
      </c>
      <c r="BL672" t="s">
        <v>848</v>
      </c>
      <c r="BM672" t="s">
        <v>13104</v>
      </c>
      <c r="BN672" t="s">
        <v>74</v>
      </c>
      <c r="BO672" t="s">
        <v>537</v>
      </c>
      <c r="BP672" t="s">
        <v>74</v>
      </c>
      <c r="BQ672" t="s">
        <v>74</v>
      </c>
      <c r="BR672" t="s">
        <v>103</v>
      </c>
      <c r="BS672" t="s">
        <v>13172</v>
      </c>
      <c r="BT672" t="str">
        <f>HYPERLINK("https%3A%2F%2Fwww.webofscience.com%2Fwos%2Fwoscc%2Ffull-record%2FWOS:000483368600007","View Full Record in Web of Science")</f>
        <v>View Full Record in Web of Science</v>
      </c>
    </row>
    <row r="673" spans="1:72" x14ac:dyDescent="0.15">
      <c r="A673" t="s">
        <v>72</v>
      </c>
      <c r="B673" t="s">
        <v>13173</v>
      </c>
      <c r="C673" t="s">
        <v>74</v>
      </c>
      <c r="D673" t="s">
        <v>74</v>
      </c>
      <c r="E673" t="s">
        <v>74</v>
      </c>
      <c r="F673" t="s">
        <v>13174</v>
      </c>
      <c r="G673" t="s">
        <v>74</v>
      </c>
      <c r="H673" t="s">
        <v>74</v>
      </c>
      <c r="I673" t="s">
        <v>13175</v>
      </c>
      <c r="J673" t="s">
        <v>13083</v>
      </c>
      <c r="K673" t="s">
        <v>74</v>
      </c>
      <c r="L673" t="s">
        <v>74</v>
      </c>
      <c r="M673" t="s">
        <v>78</v>
      </c>
      <c r="N673" t="s">
        <v>778</v>
      </c>
      <c r="O673" t="s">
        <v>13084</v>
      </c>
      <c r="P673" t="s">
        <v>13085</v>
      </c>
      <c r="Q673" t="s">
        <v>13086</v>
      </c>
      <c r="R673" t="s">
        <v>74</v>
      </c>
      <c r="S673" t="s">
        <v>74</v>
      </c>
      <c r="T673" t="s">
        <v>13176</v>
      </c>
      <c r="U673" t="s">
        <v>13177</v>
      </c>
      <c r="V673" t="s">
        <v>13178</v>
      </c>
      <c r="W673" t="s">
        <v>13179</v>
      </c>
      <c r="X673" t="s">
        <v>13180</v>
      </c>
      <c r="Y673" t="s">
        <v>13181</v>
      </c>
      <c r="Z673" t="s">
        <v>13182</v>
      </c>
      <c r="AA673" t="s">
        <v>13183</v>
      </c>
      <c r="AB673" t="s">
        <v>13184</v>
      </c>
      <c r="AC673" t="s">
        <v>13185</v>
      </c>
      <c r="AD673" t="s">
        <v>13186</v>
      </c>
      <c r="AE673" t="s">
        <v>13187</v>
      </c>
      <c r="AF673" t="s">
        <v>74</v>
      </c>
      <c r="AG673">
        <v>61</v>
      </c>
      <c r="AH673">
        <v>6</v>
      </c>
      <c r="AI673">
        <v>6</v>
      </c>
      <c r="AJ673">
        <v>1</v>
      </c>
      <c r="AK673">
        <v>26</v>
      </c>
      <c r="AL673" t="s">
        <v>438</v>
      </c>
      <c r="AM673" t="s">
        <v>439</v>
      </c>
      <c r="AN673" t="s">
        <v>440</v>
      </c>
      <c r="AO673" t="s">
        <v>13099</v>
      </c>
      <c r="AP673" t="s">
        <v>13100</v>
      </c>
      <c r="AQ673" t="s">
        <v>74</v>
      </c>
      <c r="AR673" t="s">
        <v>13101</v>
      </c>
      <c r="AS673" t="s">
        <v>13102</v>
      </c>
      <c r="AT673" t="s">
        <v>6722</v>
      </c>
      <c r="AU673">
        <v>2019</v>
      </c>
      <c r="AV673">
        <v>20</v>
      </c>
      <c r="AW673" t="s">
        <v>74</v>
      </c>
      <c r="AX673">
        <v>1</v>
      </c>
      <c r="AY673" t="s">
        <v>74</v>
      </c>
      <c r="AZ673" t="s">
        <v>730</v>
      </c>
      <c r="BA673" t="s">
        <v>74</v>
      </c>
      <c r="BB673">
        <v>63</v>
      </c>
      <c r="BC673">
        <v>74</v>
      </c>
      <c r="BD673" t="s">
        <v>74</v>
      </c>
      <c r="BE673" t="s">
        <v>13188</v>
      </c>
      <c r="BF673" t="str">
        <f>HYPERLINK("http://dx.doi.org/10.1016/j.polar.2018.12.006","http://dx.doi.org/10.1016/j.polar.2018.12.006")</f>
        <v>http://dx.doi.org/10.1016/j.polar.2018.12.006</v>
      </c>
      <c r="BG673" t="s">
        <v>74</v>
      </c>
      <c r="BH673" t="s">
        <v>74</v>
      </c>
      <c r="BI673">
        <v>12</v>
      </c>
      <c r="BJ673" t="s">
        <v>847</v>
      </c>
      <c r="BK673" t="s">
        <v>798</v>
      </c>
      <c r="BL673" t="s">
        <v>848</v>
      </c>
      <c r="BM673" t="s">
        <v>13104</v>
      </c>
      <c r="BN673" t="s">
        <v>74</v>
      </c>
      <c r="BO673" t="s">
        <v>13189</v>
      </c>
      <c r="BP673" t="s">
        <v>74</v>
      </c>
      <c r="BQ673" t="s">
        <v>74</v>
      </c>
      <c r="BR673" t="s">
        <v>103</v>
      </c>
      <c r="BS673" t="s">
        <v>13190</v>
      </c>
      <c r="BT673" t="str">
        <f>HYPERLINK("https%3A%2F%2Fwww.webofscience.com%2Fwos%2Fwoscc%2Ffull-record%2FWOS:000483368600008","View Full Record in Web of Science")</f>
        <v>View Full Record in Web of Science</v>
      </c>
    </row>
    <row r="674" spans="1:72" x14ac:dyDescent="0.15">
      <c r="A674" t="s">
        <v>72</v>
      </c>
      <c r="B674" t="s">
        <v>13191</v>
      </c>
      <c r="C674" t="s">
        <v>74</v>
      </c>
      <c r="D674" t="s">
        <v>74</v>
      </c>
      <c r="E674" t="s">
        <v>74</v>
      </c>
      <c r="F674" t="s">
        <v>13192</v>
      </c>
      <c r="G674" t="s">
        <v>74</v>
      </c>
      <c r="H674" t="s">
        <v>74</v>
      </c>
      <c r="I674" t="s">
        <v>13193</v>
      </c>
      <c r="J674" t="s">
        <v>13083</v>
      </c>
      <c r="K674" t="s">
        <v>74</v>
      </c>
      <c r="L674" t="s">
        <v>74</v>
      </c>
      <c r="M674" t="s">
        <v>78</v>
      </c>
      <c r="N674" t="s">
        <v>778</v>
      </c>
      <c r="O674" t="s">
        <v>13084</v>
      </c>
      <c r="P674" t="s">
        <v>13085</v>
      </c>
      <c r="Q674" t="s">
        <v>13086</v>
      </c>
      <c r="R674" t="s">
        <v>74</v>
      </c>
      <c r="S674" t="s">
        <v>74</v>
      </c>
      <c r="T674" t="s">
        <v>13194</v>
      </c>
      <c r="U674" t="s">
        <v>13195</v>
      </c>
      <c r="V674" t="s">
        <v>13196</v>
      </c>
      <c r="W674" t="s">
        <v>13197</v>
      </c>
      <c r="X674" t="s">
        <v>13198</v>
      </c>
      <c r="Y674" t="s">
        <v>13199</v>
      </c>
      <c r="Z674" t="s">
        <v>13200</v>
      </c>
      <c r="AA674" t="s">
        <v>13201</v>
      </c>
      <c r="AB674" t="s">
        <v>13202</v>
      </c>
      <c r="AC674" t="s">
        <v>13203</v>
      </c>
      <c r="AD674" t="s">
        <v>13204</v>
      </c>
      <c r="AE674" t="s">
        <v>13205</v>
      </c>
      <c r="AF674" t="s">
        <v>74</v>
      </c>
      <c r="AG674">
        <v>80</v>
      </c>
      <c r="AH674">
        <v>55</v>
      </c>
      <c r="AI674">
        <v>58</v>
      </c>
      <c r="AJ674">
        <v>10</v>
      </c>
      <c r="AK674">
        <v>88</v>
      </c>
      <c r="AL674" t="s">
        <v>438</v>
      </c>
      <c r="AM674" t="s">
        <v>439</v>
      </c>
      <c r="AN674" t="s">
        <v>440</v>
      </c>
      <c r="AO674" t="s">
        <v>13099</v>
      </c>
      <c r="AP674" t="s">
        <v>13100</v>
      </c>
      <c r="AQ674" t="s">
        <v>74</v>
      </c>
      <c r="AR674" t="s">
        <v>13101</v>
      </c>
      <c r="AS674" t="s">
        <v>13102</v>
      </c>
      <c r="AT674" t="s">
        <v>6722</v>
      </c>
      <c r="AU674">
        <v>2019</v>
      </c>
      <c r="AV674">
        <v>20</v>
      </c>
      <c r="AW674" t="s">
        <v>74</v>
      </c>
      <c r="AX674">
        <v>1</v>
      </c>
      <c r="AY674" t="s">
        <v>74</v>
      </c>
      <c r="AZ674" t="s">
        <v>730</v>
      </c>
      <c r="BA674" t="s">
        <v>74</v>
      </c>
      <c r="BB674">
        <v>75</v>
      </c>
      <c r="BC674">
        <v>83</v>
      </c>
      <c r="BD674" t="s">
        <v>74</v>
      </c>
      <c r="BE674" t="s">
        <v>13206</v>
      </c>
      <c r="BF674" t="str">
        <f>HYPERLINK("http://dx.doi.org/10.1016/j.polar.2018.10.004","http://dx.doi.org/10.1016/j.polar.2018.10.004")</f>
        <v>http://dx.doi.org/10.1016/j.polar.2018.10.004</v>
      </c>
      <c r="BG674" t="s">
        <v>74</v>
      </c>
      <c r="BH674" t="s">
        <v>74</v>
      </c>
      <c r="BI674">
        <v>9</v>
      </c>
      <c r="BJ674" t="s">
        <v>847</v>
      </c>
      <c r="BK674" t="s">
        <v>798</v>
      </c>
      <c r="BL674" t="s">
        <v>848</v>
      </c>
      <c r="BM674" t="s">
        <v>13104</v>
      </c>
      <c r="BN674" t="s">
        <v>74</v>
      </c>
      <c r="BO674" t="s">
        <v>537</v>
      </c>
      <c r="BP674" t="s">
        <v>74</v>
      </c>
      <c r="BQ674" t="s">
        <v>74</v>
      </c>
      <c r="BR674" t="s">
        <v>103</v>
      </c>
      <c r="BS674" t="s">
        <v>13207</v>
      </c>
      <c r="BT674" t="str">
        <f>HYPERLINK("https%3A%2F%2Fwww.webofscience.com%2Fwos%2Fwoscc%2Ffull-record%2FWOS:000483368600009","View Full Record in Web of Science")</f>
        <v>View Full Record in Web of Science</v>
      </c>
    </row>
    <row r="675" spans="1:72" x14ac:dyDescent="0.15">
      <c r="A675" t="s">
        <v>72</v>
      </c>
      <c r="B675" t="s">
        <v>13208</v>
      </c>
      <c r="C675" t="s">
        <v>74</v>
      </c>
      <c r="D675" t="s">
        <v>74</v>
      </c>
      <c r="E675" t="s">
        <v>74</v>
      </c>
      <c r="F675" t="s">
        <v>13209</v>
      </c>
      <c r="G675" t="s">
        <v>74</v>
      </c>
      <c r="H675" t="s">
        <v>74</v>
      </c>
      <c r="I675" t="s">
        <v>13210</v>
      </c>
      <c r="J675" t="s">
        <v>13083</v>
      </c>
      <c r="K675" t="s">
        <v>74</v>
      </c>
      <c r="L675" t="s">
        <v>74</v>
      </c>
      <c r="M675" t="s">
        <v>78</v>
      </c>
      <c r="N675" t="s">
        <v>778</v>
      </c>
      <c r="O675" t="s">
        <v>13084</v>
      </c>
      <c r="P675" t="s">
        <v>13085</v>
      </c>
      <c r="Q675" t="s">
        <v>13086</v>
      </c>
      <c r="R675" t="s">
        <v>74</v>
      </c>
      <c r="S675" t="s">
        <v>74</v>
      </c>
      <c r="T675" t="s">
        <v>13211</v>
      </c>
      <c r="U675" t="s">
        <v>13212</v>
      </c>
      <c r="V675" t="s">
        <v>13213</v>
      </c>
      <c r="W675" t="s">
        <v>13214</v>
      </c>
      <c r="X675" t="s">
        <v>13215</v>
      </c>
      <c r="Y675" t="s">
        <v>13216</v>
      </c>
      <c r="Z675" t="s">
        <v>13217</v>
      </c>
      <c r="AA675" t="s">
        <v>13218</v>
      </c>
      <c r="AB675" t="s">
        <v>13219</v>
      </c>
      <c r="AC675" t="s">
        <v>13220</v>
      </c>
      <c r="AD675" t="s">
        <v>13221</v>
      </c>
      <c r="AE675" t="s">
        <v>13222</v>
      </c>
      <c r="AF675" t="s">
        <v>74</v>
      </c>
      <c r="AG675">
        <v>31</v>
      </c>
      <c r="AH675">
        <v>5</v>
      </c>
      <c r="AI675">
        <v>6</v>
      </c>
      <c r="AJ675">
        <v>0</v>
      </c>
      <c r="AK675">
        <v>8</v>
      </c>
      <c r="AL675" t="s">
        <v>438</v>
      </c>
      <c r="AM675" t="s">
        <v>439</v>
      </c>
      <c r="AN675" t="s">
        <v>440</v>
      </c>
      <c r="AO675" t="s">
        <v>13099</v>
      </c>
      <c r="AP675" t="s">
        <v>13100</v>
      </c>
      <c r="AQ675" t="s">
        <v>74</v>
      </c>
      <c r="AR675" t="s">
        <v>13101</v>
      </c>
      <c r="AS675" t="s">
        <v>13102</v>
      </c>
      <c r="AT675" t="s">
        <v>6722</v>
      </c>
      <c r="AU675">
        <v>2019</v>
      </c>
      <c r="AV675">
        <v>20</v>
      </c>
      <c r="AW675" t="s">
        <v>74</v>
      </c>
      <c r="AX675">
        <v>1</v>
      </c>
      <c r="AY675" t="s">
        <v>74</v>
      </c>
      <c r="AZ675" t="s">
        <v>730</v>
      </c>
      <c r="BA675" t="s">
        <v>74</v>
      </c>
      <c r="BB675">
        <v>84</v>
      </c>
      <c r="BC675">
        <v>91</v>
      </c>
      <c r="BD675" t="s">
        <v>74</v>
      </c>
      <c r="BE675" t="s">
        <v>13223</v>
      </c>
      <c r="BF675" t="str">
        <f>HYPERLINK("http://dx.doi.org/10.1016/j.polar.2019.05.002","http://dx.doi.org/10.1016/j.polar.2019.05.002")</f>
        <v>http://dx.doi.org/10.1016/j.polar.2019.05.002</v>
      </c>
      <c r="BG675" t="s">
        <v>74</v>
      </c>
      <c r="BH675" t="s">
        <v>74</v>
      </c>
      <c r="BI675">
        <v>8</v>
      </c>
      <c r="BJ675" t="s">
        <v>847</v>
      </c>
      <c r="BK675" t="s">
        <v>798</v>
      </c>
      <c r="BL675" t="s">
        <v>848</v>
      </c>
      <c r="BM675" t="s">
        <v>13104</v>
      </c>
      <c r="BN675" t="s">
        <v>74</v>
      </c>
      <c r="BO675" t="s">
        <v>537</v>
      </c>
      <c r="BP675" t="s">
        <v>74</v>
      </c>
      <c r="BQ675" t="s">
        <v>74</v>
      </c>
      <c r="BR675" t="s">
        <v>103</v>
      </c>
      <c r="BS675" t="s">
        <v>13224</v>
      </c>
      <c r="BT675" t="str">
        <f>HYPERLINK("https%3A%2F%2Fwww.webofscience.com%2Fwos%2Fwoscc%2Ffull-record%2FWOS:000483368600010","View Full Record in Web of Science")</f>
        <v>View Full Record in Web of Science</v>
      </c>
    </row>
    <row r="676" spans="1:72" x14ac:dyDescent="0.15">
      <c r="A676" t="s">
        <v>72</v>
      </c>
      <c r="B676" t="s">
        <v>13225</v>
      </c>
      <c r="C676" t="s">
        <v>74</v>
      </c>
      <c r="D676" t="s">
        <v>74</v>
      </c>
      <c r="E676" t="s">
        <v>74</v>
      </c>
      <c r="F676" t="s">
        <v>13226</v>
      </c>
      <c r="G676" t="s">
        <v>74</v>
      </c>
      <c r="H676" t="s">
        <v>74</v>
      </c>
      <c r="I676" t="s">
        <v>13227</v>
      </c>
      <c r="J676" t="s">
        <v>13083</v>
      </c>
      <c r="K676" t="s">
        <v>74</v>
      </c>
      <c r="L676" t="s">
        <v>74</v>
      </c>
      <c r="M676" t="s">
        <v>78</v>
      </c>
      <c r="N676" t="s">
        <v>778</v>
      </c>
      <c r="O676" t="s">
        <v>13084</v>
      </c>
      <c r="P676" t="s">
        <v>13085</v>
      </c>
      <c r="Q676" t="s">
        <v>13086</v>
      </c>
      <c r="R676" t="s">
        <v>74</v>
      </c>
      <c r="S676" t="s">
        <v>74</v>
      </c>
      <c r="T676" t="s">
        <v>13228</v>
      </c>
      <c r="U676" t="s">
        <v>13229</v>
      </c>
      <c r="V676" t="s">
        <v>13230</v>
      </c>
      <c r="W676" t="s">
        <v>13231</v>
      </c>
      <c r="X676" t="s">
        <v>13232</v>
      </c>
      <c r="Y676" t="s">
        <v>13233</v>
      </c>
      <c r="Z676" t="s">
        <v>13234</v>
      </c>
      <c r="AA676" t="s">
        <v>13235</v>
      </c>
      <c r="AB676" t="s">
        <v>13236</v>
      </c>
      <c r="AC676" t="s">
        <v>13237</v>
      </c>
      <c r="AD676" t="s">
        <v>13238</v>
      </c>
      <c r="AE676" t="s">
        <v>13239</v>
      </c>
      <c r="AF676" t="s">
        <v>74</v>
      </c>
      <c r="AG676">
        <v>50</v>
      </c>
      <c r="AH676">
        <v>1</v>
      </c>
      <c r="AI676">
        <v>1</v>
      </c>
      <c r="AJ676">
        <v>0</v>
      </c>
      <c r="AK676">
        <v>9</v>
      </c>
      <c r="AL676" t="s">
        <v>438</v>
      </c>
      <c r="AM676" t="s">
        <v>439</v>
      </c>
      <c r="AN676" t="s">
        <v>440</v>
      </c>
      <c r="AO676" t="s">
        <v>13099</v>
      </c>
      <c r="AP676" t="s">
        <v>13100</v>
      </c>
      <c r="AQ676" t="s">
        <v>74</v>
      </c>
      <c r="AR676" t="s">
        <v>13101</v>
      </c>
      <c r="AS676" t="s">
        <v>13102</v>
      </c>
      <c r="AT676" t="s">
        <v>6722</v>
      </c>
      <c r="AU676">
        <v>2019</v>
      </c>
      <c r="AV676">
        <v>20</v>
      </c>
      <c r="AW676" t="s">
        <v>74</v>
      </c>
      <c r="AX676">
        <v>1</v>
      </c>
      <c r="AY676" t="s">
        <v>74</v>
      </c>
      <c r="AZ676" t="s">
        <v>730</v>
      </c>
      <c r="BA676" t="s">
        <v>74</v>
      </c>
      <c r="BB676">
        <v>92</v>
      </c>
      <c r="BC676">
        <v>99</v>
      </c>
      <c r="BD676" t="s">
        <v>74</v>
      </c>
      <c r="BE676" t="s">
        <v>13240</v>
      </c>
      <c r="BF676" t="str">
        <f>HYPERLINK("http://dx.doi.org/10.1016/j.polar.2019.04.004","http://dx.doi.org/10.1016/j.polar.2019.04.004")</f>
        <v>http://dx.doi.org/10.1016/j.polar.2019.04.004</v>
      </c>
      <c r="BG676" t="s">
        <v>74</v>
      </c>
      <c r="BH676" t="s">
        <v>74</v>
      </c>
      <c r="BI676">
        <v>8</v>
      </c>
      <c r="BJ676" t="s">
        <v>847</v>
      </c>
      <c r="BK676" t="s">
        <v>13241</v>
      </c>
      <c r="BL676" t="s">
        <v>848</v>
      </c>
      <c r="BM676" t="s">
        <v>13104</v>
      </c>
      <c r="BN676" t="s">
        <v>74</v>
      </c>
      <c r="BO676" t="s">
        <v>74</v>
      </c>
      <c r="BP676" t="s">
        <v>74</v>
      </c>
      <c r="BQ676" t="s">
        <v>74</v>
      </c>
      <c r="BR676" t="s">
        <v>103</v>
      </c>
      <c r="BS676" t="s">
        <v>13242</v>
      </c>
      <c r="BT676" t="str">
        <f>HYPERLINK("https%3A%2F%2Fwww.webofscience.com%2Fwos%2Fwoscc%2Ffull-record%2FWOS:000483368600011","View Full Record in Web of Science")</f>
        <v>View Full Record in Web of Science</v>
      </c>
    </row>
    <row r="677" spans="1:72" x14ac:dyDescent="0.15">
      <c r="A677" t="s">
        <v>72</v>
      </c>
      <c r="B677" t="s">
        <v>13243</v>
      </c>
      <c r="C677" t="s">
        <v>74</v>
      </c>
      <c r="D677" t="s">
        <v>74</v>
      </c>
      <c r="E677" t="s">
        <v>74</v>
      </c>
      <c r="F677" t="s">
        <v>13244</v>
      </c>
      <c r="G677" t="s">
        <v>74</v>
      </c>
      <c r="H677" t="s">
        <v>74</v>
      </c>
      <c r="I677" t="s">
        <v>13245</v>
      </c>
      <c r="J677" t="s">
        <v>13083</v>
      </c>
      <c r="K677" t="s">
        <v>74</v>
      </c>
      <c r="L677" t="s">
        <v>74</v>
      </c>
      <c r="M677" t="s">
        <v>78</v>
      </c>
      <c r="N677" t="s">
        <v>778</v>
      </c>
      <c r="O677" t="s">
        <v>13084</v>
      </c>
      <c r="P677" t="s">
        <v>13085</v>
      </c>
      <c r="Q677" t="s">
        <v>13086</v>
      </c>
      <c r="R677" t="s">
        <v>74</v>
      </c>
      <c r="S677" t="s">
        <v>74</v>
      </c>
      <c r="T677" t="s">
        <v>13246</v>
      </c>
      <c r="U677" t="s">
        <v>13247</v>
      </c>
      <c r="V677" t="s">
        <v>13248</v>
      </c>
      <c r="W677" t="s">
        <v>13249</v>
      </c>
      <c r="X677" t="s">
        <v>13250</v>
      </c>
      <c r="Y677" t="s">
        <v>13251</v>
      </c>
      <c r="Z677" t="s">
        <v>13252</v>
      </c>
      <c r="AA677" t="s">
        <v>13253</v>
      </c>
      <c r="AB677" t="s">
        <v>13254</v>
      </c>
      <c r="AC677" t="s">
        <v>13255</v>
      </c>
      <c r="AD677" t="s">
        <v>13256</v>
      </c>
      <c r="AE677" t="s">
        <v>13257</v>
      </c>
      <c r="AF677" t="s">
        <v>74</v>
      </c>
      <c r="AG677">
        <v>54</v>
      </c>
      <c r="AH677">
        <v>1</v>
      </c>
      <c r="AI677">
        <v>1</v>
      </c>
      <c r="AJ677">
        <v>3</v>
      </c>
      <c r="AK677">
        <v>12</v>
      </c>
      <c r="AL677" t="s">
        <v>438</v>
      </c>
      <c r="AM677" t="s">
        <v>439</v>
      </c>
      <c r="AN677" t="s">
        <v>440</v>
      </c>
      <c r="AO677" t="s">
        <v>13099</v>
      </c>
      <c r="AP677" t="s">
        <v>13100</v>
      </c>
      <c r="AQ677" t="s">
        <v>74</v>
      </c>
      <c r="AR677" t="s">
        <v>13101</v>
      </c>
      <c r="AS677" t="s">
        <v>13102</v>
      </c>
      <c r="AT677" t="s">
        <v>6722</v>
      </c>
      <c r="AU677">
        <v>2019</v>
      </c>
      <c r="AV677">
        <v>20</v>
      </c>
      <c r="AW677" t="s">
        <v>74</v>
      </c>
      <c r="AX677">
        <v>1</v>
      </c>
      <c r="AY677" t="s">
        <v>74</v>
      </c>
      <c r="AZ677" t="s">
        <v>730</v>
      </c>
      <c r="BA677" t="s">
        <v>74</v>
      </c>
      <c r="BB677">
        <v>100</v>
      </c>
      <c r="BC677">
        <v>106</v>
      </c>
      <c r="BD677" t="s">
        <v>74</v>
      </c>
      <c r="BE677" t="s">
        <v>13258</v>
      </c>
      <c r="BF677" t="str">
        <f>HYPERLINK("http://dx.doi.org/10.1016/j.polar.2019.01.002","http://dx.doi.org/10.1016/j.polar.2019.01.002")</f>
        <v>http://dx.doi.org/10.1016/j.polar.2019.01.002</v>
      </c>
      <c r="BG677" t="s">
        <v>74</v>
      </c>
      <c r="BH677" t="s">
        <v>74</v>
      </c>
      <c r="BI677">
        <v>7</v>
      </c>
      <c r="BJ677" t="s">
        <v>847</v>
      </c>
      <c r="BK677" t="s">
        <v>798</v>
      </c>
      <c r="BL677" t="s">
        <v>848</v>
      </c>
      <c r="BM677" t="s">
        <v>13104</v>
      </c>
      <c r="BN677" t="s">
        <v>74</v>
      </c>
      <c r="BO677" t="s">
        <v>74</v>
      </c>
      <c r="BP677" t="s">
        <v>74</v>
      </c>
      <c r="BQ677" t="s">
        <v>74</v>
      </c>
      <c r="BR677" t="s">
        <v>103</v>
      </c>
      <c r="BS677" t="s">
        <v>13259</v>
      </c>
      <c r="BT677" t="str">
        <f>HYPERLINK("https%3A%2F%2Fwww.webofscience.com%2Fwos%2Fwoscc%2Ffull-record%2FWOS:000483368600012","View Full Record in Web of Science")</f>
        <v>View Full Record in Web of Science</v>
      </c>
    </row>
    <row r="678" spans="1:72" x14ac:dyDescent="0.15">
      <c r="A678" t="s">
        <v>72</v>
      </c>
      <c r="B678" t="s">
        <v>2996</v>
      </c>
      <c r="C678" t="s">
        <v>74</v>
      </c>
      <c r="D678" t="s">
        <v>74</v>
      </c>
      <c r="E678" t="s">
        <v>74</v>
      </c>
      <c r="F678" t="s">
        <v>2997</v>
      </c>
      <c r="G678" t="s">
        <v>74</v>
      </c>
      <c r="H678" t="s">
        <v>74</v>
      </c>
      <c r="I678" t="s">
        <v>13260</v>
      </c>
      <c r="J678" t="s">
        <v>13083</v>
      </c>
      <c r="K678" t="s">
        <v>74</v>
      </c>
      <c r="L678" t="s">
        <v>74</v>
      </c>
      <c r="M678" t="s">
        <v>78</v>
      </c>
      <c r="N678" t="s">
        <v>108</v>
      </c>
      <c r="O678" t="s">
        <v>74</v>
      </c>
      <c r="P678" t="s">
        <v>74</v>
      </c>
      <c r="Q678" t="s">
        <v>74</v>
      </c>
      <c r="R678" t="s">
        <v>74</v>
      </c>
      <c r="S678" t="s">
        <v>74</v>
      </c>
      <c r="T678" t="s">
        <v>13261</v>
      </c>
      <c r="U678" t="s">
        <v>13262</v>
      </c>
      <c r="V678" t="s">
        <v>13263</v>
      </c>
      <c r="W678" t="s">
        <v>13264</v>
      </c>
      <c r="X678" t="s">
        <v>13265</v>
      </c>
      <c r="Y678" t="s">
        <v>13266</v>
      </c>
      <c r="Z678" t="s">
        <v>13267</v>
      </c>
      <c r="AA678" t="s">
        <v>13268</v>
      </c>
      <c r="AB678" t="s">
        <v>13269</v>
      </c>
      <c r="AC678" t="s">
        <v>13270</v>
      </c>
      <c r="AD678" t="s">
        <v>13271</v>
      </c>
      <c r="AE678" t="s">
        <v>13272</v>
      </c>
      <c r="AF678" t="s">
        <v>74</v>
      </c>
      <c r="AG678">
        <v>81</v>
      </c>
      <c r="AH678">
        <v>5</v>
      </c>
      <c r="AI678">
        <v>5</v>
      </c>
      <c r="AJ678">
        <v>0</v>
      </c>
      <c r="AK678">
        <v>5</v>
      </c>
      <c r="AL678" t="s">
        <v>438</v>
      </c>
      <c r="AM678" t="s">
        <v>439</v>
      </c>
      <c r="AN678" t="s">
        <v>440</v>
      </c>
      <c r="AO678" t="s">
        <v>13099</v>
      </c>
      <c r="AP678" t="s">
        <v>13100</v>
      </c>
      <c r="AQ678" t="s">
        <v>74</v>
      </c>
      <c r="AR678" t="s">
        <v>13101</v>
      </c>
      <c r="AS678" t="s">
        <v>13102</v>
      </c>
      <c r="AT678" t="s">
        <v>6722</v>
      </c>
      <c r="AU678">
        <v>2019</v>
      </c>
      <c r="AV678">
        <v>20</v>
      </c>
      <c r="AW678" t="s">
        <v>74</v>
      </c>
      <c r="AX678">
        <v>2</v>
      </c>
      <c r="AY678" t="s">
        <v>74</v>
      </c>
      <c r="AZ678" t="s">
        <v>74</v>
      </c>
      <c r="BA678" t="s">
        <v>74</v>
      </c>
      <c r="BB678">
        <v>117</v>
      </c>
      <c r="BC678">
        <v>128</v>
      </c>
      <c r="BD678" t="s">
        <v>74</v>
      </c>
      <c r="BE678" t="s">
        <v>13273</v>
      </c>
      <c r="BF678" t="str">
        <f>HYPERLINK("http://dx.doi.org/10.1016/j.polar.2019.04.001","http://dx.doi.org/10.1016/j.polar.2019.04.001")</f>
        <v>http://dx.doi.org/10.1016/j.polar.2019.04.001</v>
      </c>
      <c r="BG678" t="s">
        <v>74</v>
      </c>
      <c r="BH678" t="s">
        <v>74</v>
      </c>
      <c r="BI678">
        <v>12</v>
      </c>
      <c r="BJ678" t="s">
        <v>847</v>
      </c>
      <c r="BK678" t="s">
        <v>101</v>
      </c>
      <c r="BL678" t="s">
        <v>848</v>
      </c>
      <c r="BM678" t="s">
        <v>13274</v>
      </c>
      <c r="BN678" t="s">
        <v>74</v>
      </c>
      <c r="BO678" t="s">
        <v>537</v>
      </c>
      <c r="BP678" t="s">
        <v>74</v>
      </c>
      <c r="BQ678" t="s">
        <v>74</v>
      </c>
      <c r="BR678" t="s">
        <v>103</v>
      </c>
      <c r="BS678" t="s">
        <v>13275</v>
      </c>
      <c r="BT678" t="str">
        <f>HYPERLINK("https%3A%2F%2Fwww.webofscience.com%2Fwos%2Fwoscc%2Ffull-record%2FWOS:000483369900002","View Full Record in Web of Science")</f>
        <v>View Full Record in Web of Science</v>
      </c>
    </row>
    <row r="679" spans="1:72" x14ac:dyDescent="0.15">
      <c r="A679" t="s">
        <v>72</v>
      </c>
      <c r="B679" t="s">
        <v>13276</v>
      </c>
      <c r="C679" t="s">
        <v>74</v>
      </c>
      <c r="D679" t="s">
        <v>74</v>
      </c>
      <c r="E679" t="s">
        <v>74</v>
      </c>
      <c r="F679" t="s">
        <v>13277</v>
      </c>
      <c r="G679" t="s">
        <v>74</v>
      </c>
      <c r="H679" t="s">
        <v>74</v>
      </c>
      <c r="I679" t="s">
        <v>13278</v>
      </c>
      <c r="J679" t="s">
        <v>13279</v>
      </c>
      <c r="K679" t="s">
        <v>74</v>
      </c>
      <c r="L679" t="s">
        <v>74</v>
      </c>
      <c r="M679" t="s">
        <v>3578</v>
      </c>
      <c r="N679" t="s">
        <v>108</v>
      </c>
      <c r="O679" t="s">
        <v>74</v>
      </c>
      <c r="P679" t="s">
        <v>74</v>
      </c>
      <c r="Q679" t="s">
        <v>74</v>
      </c>
      <c r="R679" t="s">
        <v>74</v>
      </c>
      <c r="S679" t="s">
        <v>74</v>
      </c>
      <c r="T679" t="s">
        <v>13280</v>
      </c>
      <c r="U679" t="s">
        <v>74</v>
      </c>
      <c r="V679" t="s">
        <v>13281</v>
      </c>
      <c r="W679" t="s">
        <v>13282</v>
      </c>
      <c r="X679" t="s">
        <v>13283</v>
      </c>
      <c r="Y679" t="s">
        <v>13284</v>
      </c>
      <c r="Z679" t="s">
        <v>13285</v>
      </c>
      <c r="AA679" t="s">
        <v>74</v>
      </c>
      <c r="AB679" t="s">
        <v>74</v>
      </c>
      <c r="AC679" t="s">
        <v>74</v>
      </c>
      <c r="AD679" t="s">
        <v>74</v>
      </c>
      <c r="AE679" t="s">
        <v>74</v>
      </c>
      <c r="AF679" t="s">
        <v>74</v>
      </c>
      <c r="AG679">
        <v>22</v>
      </c>
      <c r="AH679">
        <v>0</v>
      </c>
      <c r="AI679">
        <v>0</v>
      </c>
      <c r="AJ679">
        <v>0</v>
      </c>
      <c r="AK679">
        <v>2</v>
      </c>
      <c r="AL679" t="s">
        <v>13286</v>
      </c>
      <c r="AM679" t="s">
        <v>1551</v>
      </c>
      <c r="AN679" t="s">
        <v>13287</v>
      </c>
      <c r="AO679" t="s">
        <v>13288</v>
      </c>
      <c r="AP679" t="s">
        <v>74</v>
      </c>
      <c r="AQ679" t="s">
        <v>74</v>
      </c>
      <c r="AR679" t="s">
        <v>13289</v>
      </c>
      <c r="AS679" t="s">
        <v>13290</v>
      </c>
      <c r="AT679" t="s">
        <v>6722</v>
      </c>
      <c r="AU679">
        <v>2019</v>
      </c>
      <c r="AV679">
        <v>20</v>
      </c>
      <c r="AW679">
        <v>31</v>
      </c>
      <c r="AX679" t="s">
        <v>74</v>
      </c>
      <c r="AY679" t="s">
        <v>74</v>
      </c>
      <c r="AZ679" t="s">
        <v>74</v>
      </c>
      <c r="BA679" t="s">
        <v>74</v>
      </c>
      <c r="BB679">
        <v>89</v>
      </c>
      <c r="BC679">
        <v>111</v>
      </c>
      <c r="BD679" t="s">
        <v>74</v>
      </c>
      <c r="BE679" t="s">
        <v>74</v>
      </c>
      <c r="BF679" t="s">
        <v>74</v>
      </c>
      <c r="BG679" t="s">
        <v>74</v>
      </c>
      <c r="BH679" t="s">
        <v>74</v>
      </c>
      <c r="BI679">
        <v>23</v>
      </c>
      <c r="BJ679" t="s">
        <v>13291</v>
      </c>
      <c r="BK679" t="s">
        <v>486</v>
      </c>
      <c r="BL679" t="s">
        <v>13292</v>
      </c>
      <c r="BM679" t="s">
        <v>13293</v>
      </c>
      <c r="BN679" t="s">
        <v>74</v>
      </c>
      <c r="BO679" t="s">
        <v>74</v>
      </c>
      <c r="BP679" t="s">
        <v>74</v>
      </c>
      <c r="BQ679" t="s">
        <v>74</v>
      </c>
      <c r="BR679" t="s">
        <v>103</v>
      </c>
      <c r="BS679" t="s">
        <v>13294</v>
      </c>
      <c r="BT679" t="str">
        <f>HYPERLINK("https%3A%2F%2Fwww.webofscience.com%2Fwos%2Fwoscc%2Ffull-record%2FWOS:000481568400005","View Full Record in Web of Science")</f>
        <v>View Full Record in Web of Science</v>
      </c>
    </row>
    <row r="680" spans="1:72" x14ac:dyDescent="0.15">
      <c r="A680" t="s">
        <v>72</v>
      </c>
      <c r="B680" t="s">
        <v>13295</v>
      </c>
      <c r="C680" t="s">
        <v>74</v>
      </c>
      <c r="D680" t="s">
        <v>74</v>
      </c>
      <c r="E680" t="s">
        <v>74</v>
      </c>
      <c r="F680" t="s">
        <v>13296</v>
      </c>
      <c r="G680" t="s">
        <v>74</v>
      </c>
      <c r="H680" t="s">
        <v>74</v>
      </c>
      <c r="I680" t="s">
        <v>13297</v>
      </c>
      <c r="J680" t="s">
        <v>13298</v>
      </c>
      <c r="K680" t="s">
        <v>74</v>
      </c>
      <c r="L680" t="s">
        <v>74</v>
      </c>
      <c r="M680" t="s">
        <v>78</v>
      </c>
      <c r="N680" t="s">
        <v>52</v>
      </c>
      <c r="O680" t="s">
        <v>13299</v>
      </c>
      <c r="P680" t="s">
        <v>13300</v>
      </c>
      <c r="Q680" t="s">
        <v>13301</v>
      </c>
      <c r="R680" t="s">
        <v>74</v>
      </c>
      <c r="S680" t="s">
        <v>74</v>
      </c>
      <c r="T680" t="s">
        <v>74</v>
      </c>
      <c r="U680" t="s">
        <v>74</v>
      </c>
      <c r="V680" t="s">
        <v>74</v>
      </c>
      <c r="W680" t="s">
        <v>13302</v>
      </c>
      <c r="X680" t="s">
        <v>13303</v>
      </c>
      <c r="Y680" t="s">
        <v>74</v>
      </c>
      <c r="Z680" t="s">
        <v>13304</v>
      </c>
      <c r="AA680" t="s">
        <v>13305</v>
      </c>
      <c r="AB680" t="s">
        <v>74</v>
      </c>
      <c r="AC680" t="s">
        <v>13306</v>
      </c>
      <c r="AD680" t="s">
        <v>13306</v>
      </c>
      <c r="AE680" t="s">
        <v>13307</v>
      </c>
      <c r="AF680" t="s">
        <v>74</v>
      </c>
      <c r="AG680">
        <v>0</v>
      </c>
      <c r="AH680">
        <v>0</v>
      </c>
      <c r="AI680">
        <v>0</v>
      </c>
      <c r="AJ680">
        <v>0</v>
      </c>
      <c r="AK680">
        <v>1</v>
      </c>
      <c r="AL680" t="s">
        <v>13308</v>
      </c>
      <c r="AM680" t="s">
        <v>1408</v>
      </c>
      <c r="AN680" t="s">
        <v>13309</v>
      </c>
      <c r="AO680" t="s">
        <v>13310</v>
      </c>
      <c r="AP680" t="s">
        <v>13311</v>
      </c>
      <c r="AQ680" t="s">
        <v>74</v>
      </c>
      <c r="AR680" t="s">
        <v>13312</v>
      </c>
      <c r="AS680" t="s">
        <v>13313</v>
      </c>
      <c r="AT680" t="s">
        <v>6722</v>
      </c>
      <c r="AU680">
        <v>2019</v>
      </c>
      <c r="AV680">
        <v>51</v>
      </c>
      <c r="AW680">
        <v>6</v>
      </c>
      <c r="AX680" t="s">
        <v>74</v>
      </c>
      <c r="AY680" t="s">
        <v>8476</v>
      </c>
      <c r="AZ680" t="s">
        <v>74</v>
      </c>
      <c r="BA680">
        <v>1592</v>
      </c>
      <c r="BB680">
        <v>433</v>
      </c>
      <c r="BC680">
        <v>433</v>
      </c>
      <c r="BD680" t="s">
        <v>74</v>
      </c>
      <c r="BE680" t="s">
        <v>13314</v>
      </c>
      <c r="BF680" t="str">
        <f>HYPERLINK("http://dx.doi.org/10.1249/01.mss.0000561794.81449.a2","http://dx.doi.org/10.1249/01.mss.0000561794.81449.a2")</f>
        <v>http://dx.doi.org/10.1249/01.mss.0000561794.81449.a2</v>
      </c>
      <c r="BG680" t="s">
        <v>74</v>
      </c>
      <c r="BH680" t="s">
        <v>74</v>
      </c>
      <c r="BI680">
        <v>1</v>
      </c>
      <c r="BJ680" t="s">
        <v>10037</v>
      </c>
      <c r="BK680" t="s">
        <v>798</v>
      </c>
      <c r="BL680" t="s">
        <v>10037</v>
      </c>
      <c r="BM680" t="s">
        <v>13315</v>
      </c>
      <c r="BN680" t="s">
        <v>74</v>
      </c>
      <c r="BO680" t="s">
        <v>1308</v>
      </c>
      <c r="BP680" t="s">
        <v>74</v>
      </c>
      <c r="BQ680" t="s">
        <v>74</v>
      </c>
      <c r="BR680" t="s">
        <v>103</v>
      </c>
      <c r="BS680" t="s">
        <v>13316</v>
      </c>
      <c r="BT680" t="str">
        <f>HYPERLINK("https%3A%2F%2Fwww.webofscience.com%2Fwos%2Fwoscc%2Ffull-record%2FWOS:000481662801524","View Full Record in Web of Science")</f>
        <v>View Full Record in Web of Science</v>
      </c>
    </row>
    <row r="681" spans="1:72" x14ac:dyDescent="0.15">
      <c r="A681" t="s">
        <v>72</v>
      </c>
      <c r="B681" t="s">
        <v>13317</v>
      </c>
      <c r="C681" t="s">
        <v>74</v>
      </c>
      <c r="D681" t="s">
        <v>74</v>
      </c>
      <c r="E681" t="s">
        <v>74</v>
      </c>
      <c r="F681" t="s">
        <v>13318</v>
      </c>
      <c r="G681" t="s">
        <v>74</v>
      </c>
      <c r="H681" t="s">
        <v>74</v>
      </c>
      <c r="I681" t="s">
        <v>13319</v>
      </c>
      <c r="J681" t="s">
        <v>13320</v>
      </c>
      <c r="K681" t="s">
        <v>74</v>
      </c>
      <c r="L681" t="s">
        <v>74</v>
      </c>
      <c r="M681" t="s">
        <v>78</v>
      </c>
      <c r="N681" t="s">
        <v>108</v>
      </c>
      <c r="O681" t="s">
        <v>74</v>
      </c>
      <c r="P681" t="s">
        <v>74</v>
      </c>
      <c r="Q681" t="s">
        <v>74</v>
      </c>
      <c r="R681" t="s">
        <v>74</v>
      </c>
      <c r="S681" t="s">
        <v>74</v>
      </c>
      <c r="T681" t="s">
        <v>74</v>
      </c>
      <c r="U681" t="s">
        <v>13321</v>
      </c>
      <c r="V681" t="s">
        <v>13322</v>
      </c>
      <c r="W681" t="s">
        <v>13323</v>
      </c>
      <c r="X681" t="s">
        <v>13324</v>
      </c>
      <c r="Y681" t="s">
        <v>13325</v>
      </c>
      <c r="Z681" t="s">
        <v>13326</v>
      </c>
      <c r="AA681" t="s">
        <v>13327</v>
      </c>
      <c r="AB681" t="s">
        <v>13328</v>
      </c>
      <c r="AC681" t="s">
        <v>13329</v>
      </c>
      <c r="AD681" t="s">
        <v>13330</v>
      </c>
      <c r="AE681" t="s">
        <v>13331</v>
      </c>
      <c r="AF681" t="s">
        <v>74</v>
      </c>
      <c r="AG681">
        <v>13</v>
      </c>
      <c r="AH681">
        <v>4</v>
      </c>
      <c r="AI681">
        <v>4</v>
      </c>
      <c r="AJ681">
        <v>0</v>
      </c>
      <c r="AK681">
        <v>3</v>
      </c>
      <c r="AL681" t="s">
        <v>8813</v>
      </c>
      <c r="AM681" t="s">
        <v>4016</v>
      </c>
      <c r="AN681" t="s">
        <v>8814</v>
      </c>
      <c r="AO681" t="s">
        <v>13332</v>
      </c>
      <c r="AP681" t="s">
        <v>13333</v>
      </c>
      <c r="AQ681" t="s">
        <v>74</v>
      </c>
      <c r="AR681" t="s">
        <v>13334</v>
      </c>
      <c r="AS681" t="s">
        <v>13335</v>
      </c>
      <c r="AT681" t="s">
        <v>6722</v>
      </c>
      <c r="AU681">
        <v>2019</v>
      </c>
      <c r="AV681">
        <v>486</v>
      </c>
      <c r="AW681">
        <v>2</v>
      </c>
      <c r="AX681" t="s">
        <v>74</v>
      </c>
      <c r="AY681" t="s">
        <v>74</v>
      </c>
      <c r="AZ681" t="s">
        <v>74</v>
      </c>
      <c r="BA681" t="s">
        <v>74</v>
      </c>
      <c r="BB681">
        <v>659</v>
      </c>
      <c r="BC681">
        <v>662</v>
      </c>
      <c r="BD681" t="s">
        <v>74</v>
      </c>
      <c r="BE681" t="s">
        <v>13336</v>
      </c>
      <c r="BF681" t="str">
        <f>HYPERLINK("http://dx.doi.org/10.1134/S1028334X19060060","http://dx.doi.org/10.1134/S1028334X19060060")</f>
        <v>http://dx.doi.org/10.1134/S1028334X19060060</v>
      </c>
      <c r="BG681" t="s">
        <v>74</v>
      </c>
      <c r="BH681" t="s">
        <v>74</v>
      </c>
      <c r="BI681">
        <v>4</v>
      </c>
      <c r="BJ681" t="s">
        <v>471</v>
      </c>
      <c r="BK681" t="s">
        <v>101</v>
      </c>
      <c r="BL681" t="s">
        <v>472</v>
      </c>
      <c r="BM681" t="s">
        <v>13337</v>
      </c>
      <c r="BN681" t="s">
        <v>74</v>
      </c>
      <c r="BO681" t="s">
        <v>74</v>
      </c>
      <c r="BP681" t="s">
        <v>74</v>
      </c>
      <c r="BQ681" t="s">
        <v>74</v>
      </c>
      <c r="BR681" t="s">
        <v>103</v>
      </c>
      <c r="BS681" t="s">
        <v>13338</v>
      </c>
      <c r="BT681" t="str">
        <f>HYPERLINK("https%3A%2F%2Fwww.webofscience.com%2Fwos%2Fwoscc%2Ffull-record%2FWOS:000479089000017","View Full Record in Web of Science")</f>
        <v>View Full Record in Web of Science</v>
      </c>
    </row>
    <row r="682" spans="1:72" x14ac:dyDescent="0.15">
      <c r="A682" t="s">
        <v>72</v>
      </c>
      <c r="B682" t="s">
        <v>13339</v>
      </c>
      <c r="C682" t="s">
        <v>74</v>
      </c>
      <c r="D682" t="s">
        <v>74</v>
      </c>
      <c r="E682" t="s">
        <v>74</v>
      </c>
      <c r="F682" t="s">
        <v>13340</v>
      </c>
      <c r="G682" t="s">
        <v>74</v>
      </c>
      <c r="H682" t="s">
        <v>74</v>
      </c>
      <c r="I682" t="s">
        <v>13341</v>
      </c>
      <c r="J682" t="s">
        <v>2867</v>
      </c>
      <c r="K682" t="s">
        <v>74</v>
      </c>
      <c r="L682" t="s">
        <v>74</v>
      </c>
      <c r="M682" t="s">
        <v>78</v>
      </c>
      <c r="N682" t="s">
        <v>108</v>
      </c>
      <c r="O682" t="s">
        <v>74</v>
      </c>
      <c r="P682" t="s">
        <v>74</v>
      </c>
      <c r="Q682" t="s">
        <v>74</v>
      </c>
      <c r="R682" t="s">
        <v>74</v>
      </c>
      <c r="S682" t="s">
        <v>74</v>
      </c>
      <c r="T682" t="s">
        <v>13342</v>
      </c>
      <c r="U682" t="s">
        <v>13343</v>
      </c>
      <c r="V682" t="s">
        <v>13344</v>
      </c>
      <c r="W682" t="s">
        <v>13345</v>
      </c>
      <c r="X682" t="s">
        <v>13346</v>
      </c>
      <c r="Y682" t="s">
        <v>13347</v>
      </c>
      <c r="Z682" t="s">
        <v>13348</v>
      </c>
      <c r="AA682" t="s">
        <v>13349</v>
      </c>
      <c r="AB682" t="s">
        <v>13350</v>
      </c>
      <c r="AC682" t="s">
        <v>13351</v>
      </c>
      <c r="AD682" t="s">
        <v>13352</v>
      </c>
      <c r="AE682" t="s">
        <v>13353</v>
      </c>
      <c r="AF682" t="s">
        <v>74</v>
      </c>
      <c r="AG682">
        <v>103</v>
      </c>
      <c r="AH682">
        <v>30</v>
      </c>
      <c r="AI682">
        <v>32</v>
      </c>
      <c r="AJ682">
        <v>2</v>
      </c>
      <c r="AK682">
        <v>22</v>
      </c>
      <c r="AL682" t="s">
        <v>1140</v>
      </c>
      <c r="AM682" t="s">
        <v>1141</v>
      </c>
      <c r="AN682" t="s">
        <v>1142</v>
      </c>
      <c r="AO682" t="s">
        <v>2879</v>
      </c>
      <c r="AP682" t="s">
        <v>74</v>
      </c>
      <c r="AQ682" t="s">
        <v>74</v>
      </c>
      <c r="AR682" t="s">
        <v>2880</v>
      </c>
      <c r="AS682" t="s">
        <v>2881</v>
      </c>
      <c r="AT682" t="s">
        <v>6722</v>
      </c>
      <c r="AU682">
        <v>2019</v>
      </c>
      <c r="AV682">
        <v>9</v>
      </c>
      <c r="AW682">
        <v>12</v>
      </c>
      <c r="AX682" t="s">
        <v>74</v>
      </c>
      <c r="AY682" t="s">
        <v>74</v>
      </c>
      <c r="AZ682" t="s">
        <v>74</v>
      </c>
      <c r="BA682" t="s">
        <v>74</v>
      </c>
      <c r="BB682">
        <v>7157</v>
      </c>
      <c r="BC682">
        <v>7172</v>
      </c>
      <c r="BD682" t="s">
        <v>74</v>
      </c>
      <c r="BE682" t="s">
        <v>13354</v>
      </c>
      <c r="BF682" t="str">
        <f>HYPERLINK("http://dx.doi.org/10.1002/ece3.5287","http://dx.doi.org/10.1002/ece3.5287")</f>
        <v>http://dx.doi.org/10.1002/ece3.5287</v>
      </c>
      <c r="BG682" t="s">
        <v>74</v>
      </c>
      <c r="BH682" t="s">
        <v>74</v>
      </c>
      <c r="BI682">
        <v>16</v>
      </c>
      <c r="BJ682" t="s">
        <v>2883</v>
      </c>
      <c r="BK682" t="s">
        <v>101</v>
      </c>
      <c r="BL682" t="s">
        <v>2884</v>
      </c>
      <c r="BM682" t="s">
        <v>13355</v>
      </c>
      <c r="BN682">
        <v>31380040</v>
      </c>
      <c r="BO682" t="s">
        <v>2313</v>
      </c>
      <c r="BP682" t="s">
        <v>74</v>
      </c>
      <c r="BQ682" t="s">
        <v>74</v>
      </c>
      <c r="BR682" t="s">
        <v>103</v>
      </c>
      <c r="BS682" t="s">
        <v>13356</v>
      </c>
      <c r="BT682" t="str">
        <f>HYPERLINK("https%3A%2F%2Fwww.webofscience.com%2Fwos%2Fwoscc%2Ffull-record%2FWOS:000478648300032","View Full Record in Web of Science")</f>
        <v>View Full Record in Web of Science</v>
      </c>
    </row>
    <row r="683" spans="1:72" x14ac:dyDescent="0.15">
      <c r="A683" t="s">
        <v>72</v>
      </c>
      <c r="B683" t="s">
        <v>13357</v>
      </c>
      <c r="C683" t="s">
        <v>74</v>
      </c>
      <c r="D683" t="s">
        <v>74</v>
      </c>
      <c r="E683" t="s">
        <v>74</v>
      </c>
      <c r="F683" t="s">
        <v>13358</v>
      </c>
      <c r="G683" t="s">
        <v>74</v>
      </c>
      <c r="H683" t="s">
        <v>74</v>
      </c>
      <c r="I683" t="s">
        <v>13359</v>
      </c>
      <c r="J683" t="s">
        <v>13360</v>
      </c>
      <c r="K683" t="s">
        <v>74</v>
      </c>
      <c r="L683" t="s">
        <v>74</v>
      </c>
      <c r="M683" t="s">
        <v>78</v>
      </c>
      <c r="N683" t="s">
        <v>108</v>
      </c>
      <c r="O683" t="s">
        <v>74</v>
      </c>
      <c r="P683" t="s">
        <v>74</v>
      </c>
      <c r="Q683" t="s">
        <v>74</v>
      </c>
      <c r="R683" t="s">
        <v>74</v>
      </c>
      <c r="S683" t="s">
        <v>74</v>
      </c>
      <c r="T683" t="s">
        <v>13361</v>
      </c>
      <c r="U683" t="s">
        <v>74</v>
      </c>
      <c r="V683" t="s">
        <v>13362</v>
      </c>
      <c r="W683" t="s">
        <v>13363</v>
      </c>
      <c r="X683" t="s">
        <v>13364</v>
      </c>
      <c r="Y683" t="s">
        <v>13365</v>
      </c>
      <c r="Z683" t="s">
        <v>13366</v>
      </c>
      <c r="AA683" t="s">
        <v>74</v>
      </c>
      <c r="AB683" t="s">
        <v>74</v>
      </c>
      <c r="AC683" t="s">
        <v>13367</v>
      </c>
      <c r="AD683" t="s">
        <v>13368</v>
      </c>
      <c r="AE683" t="s">
        <v>13369</v>
      </c>
      <c r="AF683" t="s">
        <v>74</v>
      </c>
      <c r="AG683">
        <v>12</v>
      </c>
      <c r="AH683">
        <v>0</v>
      </c>
      <c r="AI683">
        <v>0</v>
      </c>
      <c r="AJ683">
        <v>0</v>
      </c>
      <c r="AK683">
        <v>5</v>
      </c>
      <c r="AL683" t="s">
        <v>154</v>
      </c>
      <c r="AM683" t="s">
        <v>4016</v>
      </c>
      <c r="AN683" t="s">
        <v>4040</v>
      </c>
      <c r="AO683" t="s">
        <v>13370</v>
      </c>
      <c r="AP683" t="s">
        <v>13371</v>
      </c>
      <c r="AQ683" t="s">
        <v>74</v>
      </c>
      <c r="AR683" t="s">
        <v>13372</v>
      </c>
      <c r="AS683" t="s">
        <v>13373</v>
      </c>
      <c r="AT683" t="s">
        <v>6722</v>
      </c>
      <c r="AU683">
        <v>2019</v>
      </c>
      <c r="AV683">
        <v>62</v>
      </c>
      <c r="AW683">
        <v>3</v>
      </c>
      <c r="AX683" t="s">
        <v>74</v>
      </c>
      <c r="AY683" t="s">
        <v>74</v>
      </c>
      <c r="AZ683" t="s">
        <v>74</v>
      </c>
      <c r="BA683" t="s">
        <v>74</v>
      </c>
      <c r="BB683">
        <v>274</v>
      </c>
      <c r="BC683">
        <v>281</v>
      </c>
      <c r="BD683" t="s">
        <v>74</v>
      </c>
      <c r="BE683" t="s">
        <v>13374</v>
      </c>
      <c r="BF683" t="str">
        <f>HYPERLINK("http://dx.doi.org/10.1007/s11018-019-01616-y","http://dx.doi.org/10.1007/s11018-019-01616-y")</f>
        <v>http://dx.doi.org/10.1007/s11018-019-01616-y</v>
      </c>
      <c r="BG683" t="s">
        <v>74</v>
      </c>
      <c r="BH683" t="s">
        <v>74</v>
      </c>
      <c r="BI683">
        <v>8</v>
      </c>
      <c r="BJ683" t="s">
        <v>13375</v>
      </c>
      <c r="BK683" t="s">
        <v>2978</v>
      </c>
      <c r="BL683" t="s">
        <v>13376</v>
      </c>
      <c r="BM683" t="s">
        <v>13377</v>
      </c>
      <c r="BN683" t="s">
        <v>74</v>
      </c>
      <c r="BO683" t="s">
        <v>74</v>
      </c>
      <c r="BP683" t="s">
        <v>74</v>
      </c>
      <c r="BQ683" t="s">
        <v>74</v>
      </c>
      <c r="BR683" t="s">
        <v>103</v>
      </c>
      <c r="BS683" t="s">
        <v>13378</v>
      </c>
      <c r="BT683" t="str">
        <f>HYPERLINK("https%3A%2F%2Fwww.webofscience.com%2Fwos%2Fwoscc%2Ffull-record%2FWOS:000478763700013","View Full Record in Web of Science")</f>
        <v>View Full Record in Web of Science</v>
      </c>
    </row>
    <row r="684" spans="1:72" x14ac:dyDescent="0.15">
      <c r="A684" t="s">
        <v>72</v>
      </c>
      <c r="B684" t="s">
        <v>13379</v>
      </c>
      <c r="C684" t="s">
        <v>74</v>
      </c>
      <c r="D684" t="s">
        <v>74</v>
      </c>
      <c r="E684" t="s">
        <v>74</v>
      </c>
      <c r="F684" t="s">
        <v>13380</v>
      </c>
      <c r="G684" t="s">
        <v>74</v>
      </c>
      <c r="H684" t="s">
        <v>74</v>
      </c>
      <c r="I684" t="s">
        <v>13381</v>
      </c>
      <c r="J684" t="s">
        <v>13382</v>
      </c>
      <c r="K684" t="s">
        <v>74</v>
      </c>
      <c r="L684" t="s">
        <v>74</v>
      </c>
      <c r="M684" t="s">
        <v>78</v>
      </c>
      <c r="N684" t="s">
        <v>108</v>
      </c>
      <c r="O684" t="s">
        <v>74</v>
      </c>
      <c r="P684" t="s">
        <v>74</v>
      </c>
      <c r="Q684" t="s">
        <v>74</v>
      </c>
      <c r="R684" t="s">
        <v>74</v>
      </c>
      <c r="S684" t="s">
        <v>74</v>
      </c>
      <c r="T684" t="s">
        <v>13383</v>
      </c>
      <c r="U684" t="s">
        <v>13384</v>
      </c>
      <c r="V684" t="s">
        <v>13385</v>
      </c>
      <c r="W684" t="s">
        <v>13386</v>
      </c>
      <c r="X684" t="s">
        <v>13387</v>
      </c>
      <c r="Y684" t="s">
        <v>13388</v>
      </c>
      <c r="Z684" t="s">
        <v>13389</v>
      </c>
      <c r="AA684" t="s">
        <v>13390</v>
      </c>
      <c r="AB684" t="s">
        <v>13391</v>
      </c>
      <c r="AC684" t="s">
        <v>74</v>
      </c>
      <c r="AD684" t="s">
        <v>74</v>
      </c>
      <c r="AE684" t="s">
        <v>74</v>
      </c>
      <c r="AF684" t="s">
        <v>74</v>
      </c>
      <c r="AG684">
        <v>38</v>
      </c>
      <c r="AH684">
        <v>4</v>
      </c>
      <c r="AI684">
        <v>5</v>
      </c>
      <c r="AJ684">
        <v>0</v>
      </c>
      <c r="AK684">
        <v>4</v>
      </c>
      <c r="AL684" t="s">
        <v>13392</v>
      </c>
      <c r="AM684" t="s">
        <v>13393</v>
      </c>
      <c r="AN684" t="s">
        <v>13394</v>
      </c>
      <c r="AO684" t="s">
        <v>13395</v>
      </c>
      <c r="AP684" t="s">
        <v>13396</v>
      </c>
      <c r="AQ684" t="s">
        <v>74</v>
      </c>
      <c r="AR684" t="s">
        <v>13397</v>
      </c>
      <c r="AS684" t="s">
        <v>13398</v>
      </c>
      <c r="AT684" t="s">
        <v>6722</v>
      </c>
      <c r="AU684">
        <v>2019</v>
      </c>
      <c r="AV684">
        <v>6</v>
      </c>
      <c r="AW684">
        <v>2</v>
      </c>
      <c r="AX684" t="s">
        <v>74</v>
      </c>
      <c r="AY684" t="s">
        <v>74</v>
      </c>
      <c r="AZ684" t="s">
        <v>74</v>
      </c>
      <c r="BA684" t="s">
        <v>74</v>
      </c>
      <c r="BB684">
        <v>413</v>
      </c>
      <c r="BC684">
        <v>431</v>
      </c>
      <c r="BD684" t="s">
        <v>74</v>
      </c>
      <c r="BE684" t="s">
        <v>13399</v>
      </c>
      <c r="BF684" t="str">
        <f>HYPERLINK("http://dx.doi.org/10.1007/s40710-019-00368-9","http://dx.doi.org/10.1007/s40710-019-00368-9")</f>
        <v>http://dx.doi.org/10.1007/s40710-019-00368-9</v>
      </c>
      <c r="BG684" t="s">
        <v>74</v>
      </c>
      <c r="BH684" t="s">
        <v>74</v>
      </c>
      <c r="BI684">
        <v>19</v>
      </c>
      <c r="BJ684" t="s">
        <v>13400</v>
      </c>
      <c r="BK684" t="s">
        <v>2978</v>
      </c>
      <c r="BL684" t="s">
        <v>13401</v>
      </c>
      <c r="BM684" t="s">
        <v>13402</v>
      </c>
      <c r="BN684" t="s">
        <v>74</v>
      </c>
      <c r="BO684" t="s">
        <v>74</v>
      </c>
      <c r="BP684" t="s">
        <v>74</v>
      </c>
      <c r="BQ684" t="s">
        <v>74</v>
      </c>
      <c r="BR684" t="s">
        <v>103</v>
      </c>
      <c r="BS684" t="s">
        <v>13403</v>
      </c>
      <c r="BT684" t="str">
        <f>HYPERLINK("https%3A%2F%2Fwww.webofscience.com%2Fwos%2Fwoscc%2Ffull-record%2FWOS:000478752900005","View Full Record in Web of Science")</f>
        <v>View Full Record in Web of Science</v>
      </c>
    </row>
    <row r="685" spans="1:72" x14ac:dyDescent="0.15">
      <c r="A685" t="s">
        <v>72</v>
      </c>
      <c r="B685" t="s">
        <v>13404</v>
      </c>
      <c r="C685" t="s">
        <v>74</v>
      </c>
      <c r="D685" t="s">
        <v>74</v>
      </c>
      <c r="E685" t="s">
        <v>74</v>
      </c>
      <c r="F685" t="s">
        <v>13405</v>
      </c>
      <c r="G685" t="s">
        <v>74</v>
      </c>
      <c r="H685" t="s">
        <v>74</v>
      </c>
      <c r="I685" t="s">
        <v>13406</v>
      </c>
      <c r="J685" t="s">
        <v>13407</v>
      </c>
      <c r="K685" t="s">
        <v>74</v>
      </c>
      <c r="L685" t="s">
        <v>74</v>
      </c>
      <c r="M685" t="s">
        <v>78</v>
      </c>
      <c r="N685" t="s">
        <v>108</v>
      </c>
      <c r="O685" t="s">
        <v>74</v>
      </c>
      <c r="P685" t="s">
        <v>74</v>
      </c>
      <c r="Q685" t="s">
        <v>74</v>
      </c>
      <c r="R685" t="s">
        <v>74</v>
      </c>
      <c r="S685" t="s">
        <v>74</v>
      </c>
      <c r="T685" t="s">
        <v>13408</v>
      </c>
      <c r="U685" t="s">
        <v>13409</v>
      </c>
      <c r="V685" t="s">
        <v>13410</v>
      </c>
      <c r="W685" t="s">
        <v>13411</v>
      </c>
      <c r="X685" t="s">
        <v>742</v>
      </c>
      <c r="Y685" t="s">
        <v>13412</v>
      </c>
      <c r="Z685" t="s">
        <v>13413</v>
      </c>
      <c r="AA685" t="s">
        <v>74</v>
      </c>
      <c r="AB685" t="s">
        <v>13414</v>
      </c>
      <c r="AC685" t="s">
        <v>13415</v>
      </c>
      <c r="AD685" t="s">
        <v>13416</v>
      </c>
      <c r="AE685" t="s">
        <v>13417</v>
      </c>
      <c r="AF685" t="s">
        <v>74</v>
      </c>
      <c r="AG685">
        <v>70</v>
      </c>
      <c r="AH685">
        <v>25</v>
      </c>
      <c r="AI685">
        <v>28</v>
      </c>
      <c r="AJ685">
        <v>1</v>
      </c>
      <c r="AK685">
        <v>24</v>
      </c>
      <c r="AL685" t="s">
        <v>1140</v>
      </c>
      <c r="AM685" t="s">
        <v>1141</v>
      </c>
      <c r="AN685" t="s">
        <v>1142</v>
      </c>
      <c r="AO685" t="s">
        <v>13418</v>
      </c>
      <c r="AP685" t="s">
        <v>13419</v>
      </c>
      <c r="AQ685" t="s">
        <v>74</v>
      </c>
      <c r="AR685" t="s">
        <v>13420</v>
      </c>
      <c r="AS685" t="s">
        <v>13421</v>
      </c>
      <c r="AT685" t="s">
        <v>6722</v>
      </c>
      <c r="AU685">
        <v>2019</v>
      </c>
      <c r="AV685">
        <v>55</v>
      </c>
      <c r="AW685">
        <v>3</v>
      </c>
      <c r="AX685" t="s">
        <v>74</v>
      </c>
      <c r="AY685" t="s">
        <v>74</v>
      </c>
      <c r="AZ685" t="s">
        <v>74</v>
      </c>
      <c r="BA685" t="s">
        <v>74</v>
      </c>
      <c r="BB685">
        <v>663</v>
      </c>
      <c r="BC685">
        <v>675</v>
      </c>
      <c r="BD685" t="s">
        <v>74</v>
      </c>
      <c r="BE685" t="s">
        <v>13422</v>
      </c>
      <c r="BF685" t="str">
        <f>HYPERLINK("http://dx.doi.org/10.1111/jpy.12839","http://dx.doi.org/10.1111/jpy.12839")</f>
        <v>http://dx.doi.org/10.1111/jpy.12839</v>
      </c>
      <c r="BG685" t="s">
        <v>74</v>
      </c>
      <c r="BH685" t="s">
        <v>74</v>
      </c>
      <c r="BI685">
        <v>13</v>
      </c>
      <c r="BJ685" t="s">
        <v>1283</v>
      </c>
      <c r="BK685" t="s">
        <v>101</v>
      </c>
      <c r="BL685" t="s">
        <v>1283</v>
      </c>
      <c r="BM685" t="s">
        <v>13423</v>
      </c>
      <c r="BN685">
        <v>30685888</v>
      </c>
      <c r="BO685" t="s">
        <v>74</v>
      </c>
      <c r="BP685" t="s">
        <v>74</v>
      </c>
      <c r="BQ685" t="s">
        <v>74</v>
      </c>
      <c r="BR685" t="s">
        <v>103</v>
      </c>
      <c r="BS685" t="s">
        <v>13424</v>
      </c>
      <c r="BT685" t="str">
        <f>HYPERLINK("https%3A%2F%2Fwww.webofscience.com%2Fwos%2Fwoscc%2Ffull-record%2FWOS:000477913900013","View Full Record in Web of Science")</f>
        <v>View Full Record in Web of Science</v>
      </c>
    </row>
    <row r="686" spans="1:72" x14ac:dyDescent="0.15">
      <c r="A686" t="s">
        <v>72</v>
      </c>
      <c r="B686" t="s">
        <v>13425</v>
      </c>
      <c r="C686" t="s">
        <v>74</v>
      </c>
      <c r="D686" t="s">
        <v>74</v>
      </c>
      <c r="E686" t="s">
        <v>74</v>
      </c>
      <c r="F686" t="s">
        <v>13426</v>
      </c>
      <c r="G686" t="s">
        <v>74</v>
      </c>
      <c r="H686" t="s">
        <v>74</v>
      </c>
      <c r="I686" t="s">
        <v>13427</v>
      </c>
      <c r="J686" t="s">
        <v>10667</v>
      </c>
      <c r="K686" t="s">
        <v>74</v>
      </c>
      <c r="L686" t="s">
        <v>74</v>
      </c>
      <c r="M686" t="s">
        <v>78</v>
      </c>
      <c r="N686" t="s">
        <v>108</v>
      </c>
      <c r="O686" t="s">
        <v>74</v>
      </c>
      <c r="P686" t="s">
        <v>74</v>
      </c>
      <c r="Q686" t="s">
        <v>74</v>
      </c>
      <c r="R686" t="s">
        <v>74</v>
      </c>
      <c r="S686" t="s">
        <v>74</v>
      </c>
      <c r="T686" t="s">
        <v>13428</v>
      </c>
      <c r="U686" t="s">
        <v>13429</v>
      </c>
      <c r="V686" t="s">
        <v>13430</v>
      </c>
      <c r="W686" t="s">
        <v>13431</v>
      </c>
      <c r="X686" t="s">
        <v>13432</v>
      </c>
      <c r="Y686" t="s">
        <v>13433</v>
      </c>
      <c r="Z686" t="s">
        <v>13434</v>
      </c>
      <c r="AA686" t="s">
        <v>13435</v>
      </c>
      <c r="AB686" t="s">
        <v>13436</v>
      </c>
      <c r="AC686" t="s">
        <v>13437</v>
      </c>
      <c r="AD686" t="s">
        <v>13438</v>
      </c>
      <c r="AE686" t="s">
        <v>13439</v>
      </c>
      <c r="AF686" t="s">
        <v>74</v>
      </c>
      <c r="AG686">
        <v>99</v>
      </c>
      <c r="AH686">
        <v>20</v>
      </c>
      <c r="AI686">
        <v>21</v>
      </c>
      <c r="AJ686">
        <v>1</v>
      </c>
      <c r="AK686">
        <v>10</v>
      </c>
      <c r="AL686" t="s">
        <v>182</v>
      </c>
      <c r="AM686" t="s">
        <v>183</v>
      </c>
      <c r="AN686" t="s">
        <v>184</v>
      </c>
      <c r="AO686" t="s">
        <v>10679</v>
      </c>
      <c r="AP686" t="s">
        <v>74</v>
      </c>
      <c r="AQ686" t="s">
        <v>74</v>
      </c>
      <c r="AR686" t="s">
        <v>10680</v>
      </c>
      <c r="AS686" t="s">
        <v>10681</v>
      </c>
      <c r="AT686" t="s">
        <v>6722</v>
      </c>
      <c r="AU686">
        <v>2019</v>
      </c>
      <c r="AV686">
        <v>20</v>
      </c>
      <c r="AW686">
        <v>6</v>
      </c>
      <c r="AX686" t="s">
        <v>74</v>
      </c>
      <c r="AY686" t="s">
        <v>74</v>
      </c>
      <c r="AZ686" t="s">
        <v>74</v>
      </c>
      <c r="BA686" t="s">
        <v>74</v>
      </c>
      <c r="BB686">
        <v>2786</v>
      </c>
      <c r="BC686">
        <v>2807</v>
      </c>
      <c r="BD686" t="s">
        <v>74</v>
      </c>
      <c r="BE686" t="s">
        <v>13440</v>
      </c>
      <c r="BF686" t="str">
        <f>HYPERLINK("http://dx.doi.org/10.1029/2018GC008126","http://dx.doi.org/10.1029/2018GC008126")</f>
        <v>http://dx.doi.org/10.1029/2018GC008126</v>
      </c>
      <c r="BG686" t="s">
        <v>74</v>
      </c>
      <c r="BH686" t="s">
        <v>74</v>
      </c>
      <c r="BI686">
        <v>22</v>
      </c>
      <c r="BJ686" t="s">
        <v>190</v>
      </c>
      <c r="BK686" t="s">
        <v>101</v>
      </c>
      <c r="BL686" t="s">
        <v>190</v>
      </c>
      <c r="BM686" t="s">
        <v>13441</v>
      </c>
      <c r="BN686" t="s">
        <v>74</v>
      </c>
      <c r="BO686" t="s">
        <v>2337</v>
      </c>
      <c r="BP686" t="s">
        <v>74</v>
      </c>
      <c r="BQ686" t="s">
        <v>74</v>
      </c>
      <c r="BR686" t="s">
        <v>103</v>
      </c>
      <c r="BS686" t="s">
        <v>13442</v>
      </c>
      <c r="BT686" t="str">
        <f>HYPERLINK("https%3A%2F%2Fwww.webofscience.com%2Fwos%2Fwoscc%2Ffull-record%2FWOS:000477582400014","View Full Record in Web of Science")</f>
        <v>View Full Record in Web of Science</v>
      </c>
    </row>
    <row r="687" spans="1:72" x14ac:dyDescent="0.15">
      <c r="A687" t="s">
        <v>72</v>
      </c>
      <c r="B687" t="s">
        <v>13443</v>
      </c>
      <c r="C687" t="s">
        <v>74</v>
      </c>
      <c r="D687" t="s">
        <v>74</v>
      </c>
      <c r="E687" t="s">
        <v>74</v>
      </c>
      <c r="F687" t="s">
        <v>13444</v>
      </c>
      <c r="G687" t="s">
        <v>74</v>
      </c>
      <c r="H687" t="s">
        <v>74</v>
      </c>
      <c r="I687" t="s">
        <v>13445</v>
      </c>
      <c r="J687" t="s">
        <v>10667</v>
      </c>
      <c r="K687" t="s">
        <v>74</v>
      </c>
      <c r="L687" t="s">
        <v>74</v>
      </c>
      <c r="M687" t="s">
        <v>78</v>
      </c>
      <c r="N687" t="s">
        <v>108</v>
      </c>
      <c r="O687" t="s">
        <v>74</v>
      </c>
      <c r="P687" t="s">
        <v>74</v>
      </c>
      <c r="Q687" t="s">
        <v>74</v>
      </c>
      <c r="R687" t="s">
        <v>74</v>
      </c>
      <c r="S687" t="s">
        <v>74</v>
      </c>
      <c r="T687" t="s">
        <v>13446</v>
      </c>
      <c r="U687" t="s">
        <v>13447</v>
      </c>
      <c r="V687" t="s">
        <v>13448</v>
      </c>
      <c r="W687" t="s">
        <v>13449</v>
      </c>
      <c r="X687" t="s">
        <v>13450</v>
      </c>
      <c r="Y687" t="s">
        <v>13451</v>
      </c>
      <c r="Z687" t="s">
        <v>13452</v>
      </c>
      <c r="AA687" t="s">
        <v>13453</v>
      </c>
      <c r="AB687" t="s">
        <v>13454</v>
      </c>
      <c r="AC687" t="s">
        <v>13455</v>
      </c>
      <c r="AD687" t="s">
        <v>13456</v>
      </c>
      <c r="AE687" t="s">
        <v>13457</v>
      </c>
      <c r="AF687" t="s">
        <v>74</v>
      </c>
      <c r="AG687">
        <v>78</v>
      </c>
      <c r="AH687">
        <v>10</v>
      </c>
      <c r="AI687">
        <v>15</v>
      </c>
      <c r="AJ687">
        <v>3</v>
      </c>
      <c r="AK687">
        <v>27</v>
      </c>
      <c r="AL687" t="s">
        <v>182</v>
      </c>
      <c r="AM687" t="s">
        <v>183</v>
      </c>
      <c r="AN687" t="s">
        <v>184</v>
      </c>
      <c r="AO687" t="s">
        <v>74</v>
      </c>
      <c r="AP687" t="s">
        <v>10679</v>
      </c>
      <c r="AQ687" t="s">
        <v>74</v>
      </c>
      <c r="AR687" t="s">
        <v>10680</v>
      </c>
      <c r="AS687" t="s">
        <v>10681</v>
      </c>
      <c r="AT687" t="s">
        <v>6722</v>
      </c>
      <c r="AU687">
        <v>2019</v>
      </c>
      <c r="AV687">
        <v>20</v>
      </c>
      <c r="AW687">
        <v>6</v>
      </c>
      <c r="AX687" t="s">
        <v>74</v>
      </c>
      <c r="AY687" t="s">
        <v>74</v>
      </c>
      <c r="AZ687" t="s">
        <v>74</v>
      </c>
      <c r="BA687" t="s">
        <v>74</v>
      </c>
      <c r="BB687">
        <v>2808</v>
      </c>
      <c r="BC687">
        <v>2826</v>
      </c>
      <c r="BD687" t="s">
        <v>74</v>
      </c>
      <c r="BE687" t="s">
        <v>13458</v>
      </c>
      <c r="BF687" t="str">
        <f>HYPERLINK("http://dx.doi.org/10.1029/2019GC008212","http://dx.doi.org/10.1029/2019GC008212")</f>
        <v>http://dx.doi.org/10.1029/2019GC008212</v>
      </c>
      <c r="BG687" t="s">
        <v>74</v>
      </c>
      <c r="BH687" t="s">
        <v>74</v>
      </c>
      <c r="BI687">
        <v>19</v>
      </c>
      <c r="BJ687" t="s">
        <v>190</v>
      </c>
      <c r="BK687" t="s">
        <v>101</v>
      </c>
      <c r="BL687" t="s">
        <v>190</v>
      </c>
      <c r="BM687" t="s">
        <v>13441</v>
      </c>
      <c r="BN687" t="s">
        <v>74</v>
      </c>
      <c r="BO687" t="s">
        <v>261</v>
      </c>
      <c r="BP687" t="s">
        <v>74</v>
      </c>
      <c r="BQ687" t="s">
        <v>74</v>
      </c>
      <c r="BR687" t="s">
        <v>103</v>
      </c>
      <c r="BS687" t="s">
        <v>13459</v>
      </c>
      <c r="BT687" t="str">
        <f>HYPERLINK("https%3A%2F%2Fwww.webofscience.com%2Fwos%2Fwoscc%2Ffull-record%2FWOS:000477582400015","View Full Record in Web of Science")</f>
        <v>View Full Record in Web of Science</v>
      </c>
    </row>
    <row r="688" spans="1:72" x14ac:dyDescent="0.15">
      <c r="A688" t="s">
        <v>72</v>
      </c>
      <c r="B688" t="s">
        <v>13460</v>
      </c>
      <c r="C688" t="s">
        <v>74</v>
      </c>
      <c r="D688" t="s">
        <v>74</v>
      </c>
      <c r="E688" t="s">
        <v>74</v>
      </c>
      <c r="F688" t="s">
        <v>13461</v>
      </c>
      <c r="G688" t="s">
        <v>74</v>
      </c>
      <c r="H688" t="s">
        <v>74</v>
      </c>
      <c r="I688" t="s">
        <v>13462</v>
      </c>
      <c r="J688" t="s">
        <v>10667</v>
      </c>
      <c r="K688" t="s">
        <v>74</v>
      </c>
      <c r="L688" t="s">
        <v>74</v>
      </c>
      <c r="M688" t="s">
        <v>78</v>
      </c>
      <c r="N688" t="s">
        <v>108</v>
      </c>
      <c r="O688" t="s">
        <v>74</v>
      </c>
      <c r="P688" t="s">
        <v>74</v>
      </c>
      <c r="Q688" t="s">
        <v>74</v>
      </c>
      <c r="R688" t="s">
        <v>74</v>
      </c>
      <c r="S688" t="s">
        <v>74</v>
      </c>
      <c r="T688" t="s">
        <v>13463</v>
      </c>
      <c r="U688" t="s">
        <v>13464</v>
      </c>
      <c r="V688" t="s">
        <v>13465</v>
      </c>
      <c r="W688" t="s">
        <v>13466</v>
      </c>
      <c r="X688" t="s">
        <v>13467</v>
      </c>
      <c r="Y688" t="s">
        <v>13468</v>
      </c>
      <c r="Z688" t="s">
        <v>13469</v>
      </c>
      <c r="AA688" t="s">
        <v>74</v>
      </c>
      <c r="AB688" t="s">
        <v>13470</v>
      </c>
      <c r="AC688" t="s">
        <v>74</v>
      </c>
      <c r="AD688" t="s">
        <v>74</v>
      </c>
      <c r="AE688" t="s">
        <v>74</v>
      </c>
      <c r="AF688" t="s">
        <v>74</v>
      </c>
      <c r="AG688">
        <v>127</v>
      </c>
      <c r="AH688">
        <v>18</v>
      </c>
      <c r="AI688">
        <v>20</v>
      </c>
      <c r="AJ688">
        <v>2</v>
      </c>
      <c r="AK688">
        <v>34</v>
      </c>
      <c r="AL688" t="s">
        <v>182</v>
      </c>
      <c r="AM688" t="s">
        <v>183</v>
      </c>
      <c r="AN688" t="s">
        <v>184</v>
      </c>
      <c r="AO688" t="s">
        <v>10679</v>
      </c>
      <c r="AP688" t="s">
        <v>74</v>
      </c>
      <c r="AQ688" t="s">
        <v>74</v>
      </c>
      <c r="AR688" t="s">
        <v>10680</v>
      </c>
      <c r="AS688" t="s">
        <v>10681</v>
      </c>
      <c r="AT688" t="s">
        <v>6722</v>
      </c>
      <c r="AU688">
        <v>2019</v>
      </c>
      <c r="AV688">
        <v>20</v>
      </c>
      <c r="AW688">
        <v>6</v>
      </c>
      <c r="AX688" t="s">
        <v>74</v>
      </c>
      <c r="AY688" t="s">
        <v>74</v>
      </c>
      <c r="AZ688" t="s">
        <v>74</v>
      </c>
      <c r="BA688" t="s">
        <v>74</v>
      </c>
      <c r="BB688">
        <v>3090</v>
      </c>
      <c r="BC688">
        <v>3112</v>
      </c>
      <c r="BD688" t="s">
        <v>74</v>
      </c>
      <c r="BE688" t="s">
        <v>13471</v>
      </c>
      <c r="BF688" t="str">
        <f>HYPERLINK("http://dx.doi.org/10.1029/2019GC008332","http://dx.doi.org/10.1029/2019GC008332")</f>
        <v>http://dx.doi.org/10.1029/2019GC008332</v>
      </c>
      <c r="BG688" t="s">
        <v>74</v>
      </c>
      <c r="BH688" t="s">
        <v>74</v>
      </c>
      <c r="BI688">
        <v>23</v>
      </c>
      <c r="BJ688" t="s">
        <v>190</v>
      </c>
      <c r="BK688" t="s">
        <v>101</v>
      </c>
      <c r="BL688" t="s">
        <v>190</v>
      </c>
      <c r="BM688" t="s">
        <v>13441</v>
      </c>
      <c r="BN688" t="s">
        <v>74</v>
      </c>
      <c r="BO688" t="s">
        <v>74</v>
      </c>
      <c r="BP688" t="s">
        <v>74</v>
      </c>
      <c r="BQ688" t="s">
        <v>74</v>
      </c>
      <c r="BR688" t="s">
        <v>103</v>
      </c>
      <c r="BS688" t="s">
        <v>13472</v>
      </c>
      <c r="BT688" t="str">
        <f>HYPERLINK("https%3A%2F%2Fwww.webofscience.com%2Fwos%2Fwoscc%2Ffull-record%2FWOS:000477582400029","View Full Record in Web of Science")</f>
        <v>View Full Record in Web of Science</v>
      </c>
    </row>
    <row r="689" spans="1:72" x14ac:dyDescent="0.15">
      <c r="A689" t="s">
        <v>72</v>
      </c>
      <c r="B689" t="s">
        <v>13473</v>
      </c>
      <c r="C689" t="s">
        <v>74</v>
      </c>
      <c r="D689" t="s">
        <v>74</v>
      </c>
      <c r="E689" t="s">
        <v>74</v>
      </c>
      <c r="F689" t="s">
        <v>13474</v>
      </c>
      <c r="G689" t="s">
        <v>74</v>
      </c>
      <c r="H689" t="s">
        <v>74</v>
      </c>
      <c r="I689" t="s">
        <v>13475</v>
      </c>
      <c r="J689" t="s">
        <v>3380</v>
      </c>
      <c r="K689" t="s">
        <v>74</v>
      </c>
      <c r="L689" t="s">
        <v>74</v>
      </c>
      <c r="M689" t="s">
        <v>78</v>
      </c>
      <c r="N689" t="s">
        <v>108</v>
      </c>
      <c r="O689" t="s">
        <v>74</v>
      </c>
      <c r="P689" t="s">
        <v>74</v>
      </c>
      <c r="Q689" t="s">
        <v>74</v>
      </c>
      <c r="R689" t="s">
        <v>74</v>
      </c>
      <c r="S689" t="s">
        <v>74</v>
      </c>
      <c r="T689" t="s">
        <v>13476</v>
      </c>
      <c r="U689" t="s">
        <v>13477</v>
      </c>
      <c r="V689" t="s">
        <v>13478</v>
      </c>
      <c r="W689" t="s">
        <v>13479</v>
      </c>
      <c r="X689" t="s">
        <v>10632</v>
      </c>
      <c r="Y689" t="s">
        <v>13480</v>
      </c>
      <c r="Z689" t="s">
        <v>13481</v>
      </c>
      <c r="AA689" t="s">
        <v>74</v>
      </c>
      <c r="AB689" t="s">
        <v>13482</v>
      </c>
      <c r="AC689" t="s">
        <v>13483</v>
      </c>
      <c r="AD689" t="s">
        <v>13484</v>
      </c>
      <c r="AE689" t="s">
        <v>13485</v>
      </c>
      <c r="AF689" t="s">
        <v>74</v>
      </c>
      <c r="AG689">
        <v>47</v>
      </c>
      <c r="AH689">
        <v>31</v>
      </c>
      <c r="AI689">
        <v>33</v>
      </c>
      <c r="AJ689">
        <v>0</v>
      </c>
      <c r="AK689">
        <v>16</v>
      </c>
      <c r="AL689" t="s">
        <v>182</v>
      </c>
      <c r="AM689" t="s">
        <v>183</v>
      </c>
      <c r="AN689" t="s">
        <v>184</v>
      </c>
      <c r="AO689" t="s">
        <v>3393</v>
      </c>
      <c r="AP689" t="s">
        <v>3394</v>
      </c>
      <c r="AQ689" t="s">
        <v>74</v>
      </c>
      <c r="AR689" t="s">
        <v>3395</v>
      </c>
      <c r="AS689" t="s">
        <v>3396</v>
      </c>
      <c r="AT689" t="s">
        <v>6722</v>
      </c>
      <c r="AU689">
        <v>2019</v>
      </c>
      <c r="AV689">
        <v>124</v>
      </c>
      <c r="AW689">
        <v>6</v>
      </c>
      <c r="AX689" t="s">
        <v>74</v>
      </c>
      <c r="AY689" t="s">
        <v>74</v>
      </c>
      <c r="AZ689" t="s">
        <v>74</v>
      </c>
      <c r="BA689" t="s">
        <v>74</v>
      </c>
      <c r="BB689">
        <v>3523</v>
      </c>
      <c r="BC689">
        <v>3537</v>
      </c>
      <c r="BD689" t="s">
        <v>74</v>
      </c>
      <c r="BE689" t="s">
        <v>13486</v>
      </c>
      <c r="BF689" t="str">
        <f>HYPERLINK("http://dx.doi.org/10.1029/2018JC014844","http://dx.doi.org/10.1029/2018JC014844")</f>
        <v>http://dx.doi.org/10.1029/2018JC014844</v>
      </c>
      <c r="BG689" t="s">
        <v>74</v>
      </c>
      <c r="BH689" t="s">
        <v>74</v>
      </c>
      <c r="BI689">
        <v>15</v>
      </c>
      <c r="BJ689" t="s">
        <v>100</v>
      </c>
      <c r="BK689" t="s">
        <v>101</v>
      </c>
      <c r="BL689" t="s">
        <v>100</v>
      </c>
      <c r="BM689" t="s">
        <v>13487</v>
      </c>
      <c r="BN689" t="s">
        <v>74</v>
      </c>
      <c r="BO689" t="s">
        <v>261</v>
      </c>
      <c r="BP689" t="s">
        <v>74</v>
      </c>
      <c r="BQ689" t="s">
        <v>74</v>
      </c>
      <c r="BR689" t="s">
        <v>103</v>
      </c>
      <c r="BS689" t="s">
        <v>13488</v>
      </c>
      <c r="BT689" t="str">
        <f>HYPERLINK("https%3A%2F%2Fwww.webofscience.com%2Fwos%2Fwoscc%2Ffull-record%2FWOS:000477722200003","View Full Record in Web of Science")</f>
        <v>View Full Record in Web of Science</v>
      </c>
    </row>
    <row r="690" spans="1:72" x14ac:dyDescent="0.15">
      <c r="A690" t="s">
        <v>72</v>
      </c>
      <c r="B690" t="s">
        <v>13489</v>
      </c>
      <c r="C690" t="s">
        <v>74</v>
      </c>
      <c r="D690" t="s">
        <v>74</v>
      </c>
      <c r="E690" t="s">
        <v>74</v>
      </c>
      <c r="F690" t="s">
        <v>13490</v>
      </c>
      <c r="G690" t="s">
        <v>74</v>
      </c>
      <c r="H690" t="s">
        <v>74</v>
      </c>
      <c r="I690" t="s">
        <v>13491</v>
      </c>
      <c r="J690" t="s">
        <v>3380</v>
      </c>
      <c r="K690" t="s">
        <v>74</v>
      </c>
      <c r="L690" t="s">
        <v>74</v>
      </c>
      <c r="M690" t="s">
        <v>78</v>
      </c>
      <c r="N690" t="s">
        <v>108</v>
      </c>
      <c r="O690" t="s">
        <v>74</v>
      </c>
      <c r="P690" t="s">
        <v>74</v>
      </c>
      <c r="Q690" t="s">
        <v>74</v>
      </c>
      <c r="R690" t="s">
        <v>74</v>
      </c>
      <c r="S690" t="s">
        <v>74</v>
      </c>
      <c r="T690" t="s">
        <v>13492</v>
      </c>
      <c r="U690" t="s">
        <v>13493</v>
      </c>
      <c r="V690" t="s">
        <v>13494</v>
      </c>
      <c r="W690" t="s">
        <v>13495</v>
      </c>
      <c r="X690" t="s">
        <v>13496</v>
      </c>
      <c r="Y690" t="s">
        <v>13497</v>
      </c>
      <c r="Z690" t="s">
        <v>13498</v>
      </c>
      <c r="AA690" t="s">
        <v>13499</v>
      </c>
      <c r="AB690" t="s">
        <v>13500</v>
      </c>
      <c r="AC690" t="s">
        <v>13501</v>
      </c>
      <c r="AD690" t="s">
        <v>13502</v>
      </c>
      <c r="AE690" t="s">
        <v>13503</v>
      </c>
      <c r="AF690" t="s">
        <v>74</v>
      </c>
      <c r="AG690">
        <v>54</v>
      </c>
      <c r="AH690">
        <v>6</v>
      </c>
      <c r="AI690">
        <v>7</v>
      </c>
      <c r="AJ690">
        <v>0</v>
      </c>
      <c r="AK690">
        <v>7</v>
      </c>
      <c r="AL690" t="s">
        <v>182</v>
      </c>
      <c r="AM690" t="s">
        <v>183</v>
      </c>
      <c r="AN690" t="s">
        <v>184</v>
      </c>
      <c r="AO690" t="s">
        <v>3393</v>
      </c>
      <c r="AP690" t="s">
        <v>3394</v>
      </c>
      <c r="AQ690" t="s">
        <v>74</v>
      </c>
      <c r="AR690" t="s">
        <v>3395</v>
      </c>
      <c r="AS690" t="s">
        <v>3396</v>
      </c>
      <c r="AT690" t="s">
        <v>6722</v>
      </c>
      <c r="AU690">
        <v>2019</v>
      </c>
      <c r="AV690">
        <v>124</v>
      </c>
      <c r="AW690">
        <v>6</v>
      </c>
      <c r="AX690" t="s">
        <v>74</v>
      </c>
      <c r="AY690" t="s">
        <v>74</v>
      </c>
      <c r="AZ690" t="s">
        <v>74</v>
      </c>
      <c r="BA690" t="s">
        <v>74</v>
      </c>
      <c r="BB690">
        <v>4044</v>
      </c>
      <c r="BC690">
        <v>4057</v>
      </c>
      <c r="BD690" t="s">
        <v>74</v>
      </c>
      <c r="BE690" t="s">
        <v>13504</v>
      </c>
      <c r="BF690" t="str">
        <f>HYPERLINK("http://dx.doi.org/10.1029/2018JC014878","http://dx.doi.org/10.1029/2018JC014878")</f>
        <v>http://dx.doi.org/10.1029/2018JC014878</v>
      </c>
      <c r="BG690" t="s">
        <v>74</v>
      </c>
      <c r="BH690" t="s">
        <v>74</v>
      </c>
      <c r="BI690">
        <v>14</v>
      </c>
      <c r="BJ690" t="s">
        <v>100</v>
      </c>
      <c r="BK690" t="s">
        <v>101</v>
      </c>
      <c r="BL690" t="s">
        <v>100</v>
      </c>
      <c r="BM690" t="s">
        <v>13487</v>
      </c>
      <c r="BN690" t="s">
        <v>74</v>
      </c>
      <c r="BO690" t="s">
        <v>74</v>
      </c>
      <c r="BP690" t="s">
        <v>74</v>
      </c>
      <c r="BQ690" t="s">
        <v>74</v>
      </c>
      <c r="BR690" t="s">
        <v>103</v>
      </c>
      <c r="BS690" t="s">
        <v>13505</v>
      </c>
      <c r="BT690" t="str">
        <f>HYPERLINK("https%3A%2F%2Fwww.webofscience.com%2Fwos%2Fwoscc%2Ffull-record%2FWOS:000477722200032","View Full Record in Web of Science")</f>
        <v>View Full Record in Web of Science</v>
      </c>
    </row>
    <row r="691" spans="1:72" x14ac:dyDescent="0.15">
      <c r="A691" t="s">
        <v>72</v>
      </c>
      <c r="B691" t="s">
        <v>13506</v>
      </c>
      <c r="C691" t="s">
        <v>74</v>
      </c>
      <c r="D691" t="s">
        <v>74</v>
      </c>
      <c r="E691" t="s">
        <v>74</v>
      </c>
      <c r="F691" t="s">
        <v>13507</v>
      </c>
      <c r="G691" t="s">
        <v>74</v>
      </c>
      <c r="H691" t="s">
        <v>74</v>
      </c>
      <c r="I691" t="s">
        <v>13508</v>
      </c>
      <c r="J691" t="s">
        <v>3380</v>
      </c>
      <c r="K691" t="s">
        <v>74</v>
      </c>
      <c r="L691" t="s">
        <v>74</v>
      </c>
      <c r="M691" t="s">
        <v>78</v>
      </c>
      <c r="N691" t="s">
        <v>108</v>
      </c>
      <c r="O691" t="s">
        <v>74</v>
      </c>
      <c r="P691" t="s">
        <v>74</v>
      </c>
      <c r="Q691" t="s">
        <v>74</v>
      </c>
      <c r="R691" t="s">
        <v>74</v>
      </c>
      <c r="S691" t="s">
        <v>74</v>
      </c>
      <c r="T691" t="s">
        <v>13509</v>
      </c>
      <c r="U691" t="s">
        <v>13510</v>
      </c>
      <c r="V691" t="s">
        <v>13511</v>
      </c>
      <c r="W691" t="s">
        <v>13512</v>
      </c>
      <c r="X691" t="s">
        <v>13513</v>
      </c>
      <c r="Y691" t="s">
        <v>13514</v>
      </c>
      <c r="Z691" t="s">
        <v>13515</v>
      </c>
      <c r="AA691" t="s">
        <v>13516</v>
      </c>
      <c r="AB691" t="s">
        <v>13517</v>
      </c>
      <c r="AC691" t="s">
        <v>13518</v>
      </c>
      <c r="AD691" t="s">
        <v>13519</v>
      </c>
      <c r="AE691" t="s">
        <v>13520</v>
      </c>
      <c r="AF691" t="s">
        <v>74</v>
      </c>
      <c r="AG691">
        <v>83</v>
      </c>
      <c r="AH691">
        <v>29</v>
      </c>
      <c r="AI691">
        <v>31</v>
      </c>
      <c r="AJ691">
        <v>2</v>
      </c>
      <c r="AK691">
        <v>19</v>
      </c>
      <c r="AL691" t="s">
        <v>182</v>
      </c>
      <c r="AM691" t="s">
        <v>183</v>
      </c>
      <c r="AN691" t="s">
        <v>184</v>
      </c>
      <c r="AO691" t="s">
        <v>3393</v>
      </c>
      <c r="AP691" t="s">
        <v>3394</v>
      </c>
      <c r="AQ691" t="s">
        <v>74</v>
      </c>
      <c r="AR691" t="s">
        <v>3395</v>
      </c>
      <c r="AS691" t="s">
        <v>3396</v>
      </c>
      <c r="AT691" t="s">
        <v>6722</v>
      </c>
      <c r="AU691">
        <v>2019</v>
      </c>
      <c r="AV691">
        <v>124</v>
      </c>
      <c r="AW691">
        <v>6</v>
      </c>
      <c r="AX691" t="s">
        <v>74</v>
      </c>
      <c r="AY691" t="s">
        <v>74</v>
      </c>
      <c r="AZ691" t="s">
        <v>74</v>
      </c>
      <c r="BA691" t="s">
        <v>74</v>
      </c>
      <c r="BB691">
        <v>4272</v>
      </c>
      <c r="BC691">
        <v>4289</v>
      </c>
      <c r="BD691" t="s">
        <v>74</v>
      </c>
      <c r="BE691" t="s">
        <v>13521</v>
      </c>
      <c r="BF691" t="str">
        <f>HYPERLINK("http://dx.doi.org/10.1029/2018JC014634","http://dx.doi.org/10.1029/2018JC014634")</f>
        <v>http://dx.doi.org/10.1029/2018JC014634</v>
      </c>
      <c r="BG691" t="s">
        <v>74</v>
      </c>
      <c r="BH691" t="s">
        <v>74</v>
      </c>
      <c r="BI691">
        <v>18</v>
      </c>
      <c r="BJ691" t="s">
        <v>100</v>
      </c>
      <c r="BK691" t="s">
        <v>101</v>
      </c>
      <c r="BL691" t="s">
        <v>100</v>
      </c>
      <c r="BM691" t="s">
        <v>13487</v>
      </c>
      <c r="BN691" t="s">
        <v>74</v>
      </c>
      <c r="BO691" t="s">
        <v>555</v>
      </c>
      <c r="BP691" t="s">
        <v>74</v>
      </c>
      <c r="BQ691" t="s">
        <v>74</v>
      </c>
      <c r="BR691" t="s">
        <v>103</v>
      </c>
      <c r="BS691" t="s">
        <v>13522</v>
      </c>
      <c r="BT691" t="str">
        <f>HYPERLINK("https%3A%2F%2Fwww.webofscience.com%2Fwos%2Fwoscc%2Ffull-record%2FWOS:000477722200046","View Full Record in Web of Science")</f>
        <v>View Full Record in Web of Science</v>
      </c>
    </row>
    <row r="692" spans="1:72" x14ac:dyDescent="0.15">
      <c r="A692" t="s">
        <v>72</v>
      </c>
      <c r="B692" t="s">
        <v>13523</v>
      </c>
      <c r="C692" t="s">
        <v>74</v>
      </c>
      <c r="D692" t="s">
        <v>74</v>
      </c>
      <c r="E692" t="s">
        <v>74</v>
      </c>
      <c r="F692" t="s">
        <v>13524</v>
      </c>
      <c r="G692" t="s">
        <v>74</v>
      </c>
      <c r="H692" t="s">
        <v>74</v>
      </c>
      <c r="I692" t="s">
        <v>13525</v>
      </c>
      <c r="J692" t="s">
        <v>3193</v>
      </c>
      <c r="K692" t="s">
        <v>74</v>
      </c>
      <c r="L692" t="s">
        <v>74</v>
      </c>
      <c r="M692" t="s">
        <v>78</v>
      </c>
      <c r="N692" t="s">
        <v>108</v>
      </c>
      <c r="O692" t="s">
        <v>74</v>
      </c>
      <c r="P692" t="s">
        <v>74</v>
      </c>
      <c r="Q692" t="s">
        <v>74</v>
      </c>
      <c r="R692" t="s">
        <v>74</v>
      </c>
      <c r="S692" t="s">
        <v>74</v>
      </c>
      <c r="T692" t="s">
        <v>74</v>
      </c>
      <c r="U692" t="s">
        <v>13526</v>
      </c>
      <c r="V692" t="s">
        <v>13527</v>
      </c>
      <c r="W692" t="s">
        <v>13528</v>
      </c>
      <c r="X692" t="s">
        <v>13529</v>
      </c>
      <c r="Y692" t="s">
        <v>13530</v>
      </c>
      <c r="Z692" t="s">
        <v>13531</v>
      </c>
      <c r="AA692" t="s">
        <v>13532</v>
      </c>
      <c r="AB692" t="s">
        <v>13533</v>
      </c>
      <c r="AC692" t="s">
        <v>13534</v>
      </c>
      <c r="AD692" t="s">
        <v>13535</v>
      </c>
      <c r="AE692" t="s">
        <v>13536</v>
      </c>
      <c r="AF692" t="s">
        <v>74</v>
      </c>
      <c r="AG692">
        <v>75</v>
      </c>
      <c r="AH692">
        <v>16</v>
      </c>
      <c r="AI692">
        <v>17</v>
      </c>
      <c r="AJ692">
        <v>1</v>
      </c>
      <c r="AK692">
        <v>6</v>
      </c>
      <c r="AL692" t="s">
        <v>182</v>
      </c>
      <c r="AM692" t="s">
        <v>183</v>
      </c>
      <c r="AN692" t="s">
        <v>184</v>
      </c>
      <c r="AO692" t="s">
        <v>3206</v>
      </c>
      <c r="AP692" t="s">
        <v>3207</v>
      </c>
      <c r="AQ692" t="s">
        <v>74</v>
      </c>
      <c r="AR692" t="s">
        <v>3208</v>
      </c>
      <c r="AS692" t="s">
        <v>3209</v>
      </c>
      <c r="AT692" t="s">
        <v>6722</v>
      </c>
      <c r="AU692">
        <v>2019</v>
      </c>
      <c r="AV692">
        <v>124</v>
      </c>
      <c r="AW692">
        <v>6</v>
      </c>
      <c r="AX692" t="s">
        <v>74</v>
      </c>
      <c r="AY692" t="s">
        <v>74</v>
      </c>
      <c r="AZ692" t="s">
        <v>74</v>
      </c>
      <c r="BA692" t="s">
        <v>74</v>
      </c>
      <c r="BB692">
        <v>4492</v>
      </c>
      <c r="BC692">
        <v>4508</v>
      </c>
      <c r="BD692" t="s">
        <v>74</v>
      </c>
      <c r="BE692" t="s">
        <v>13537</v>
      </c>
      <c r="BF692" t="str">
        <f>HYPERLINK("http://dx.doi.org/10.1029/2019JA026477","http://dx.doi.org/10.1029/2019JA026477")</f>
        <v>http://dx.doi.org/10.1029/2019JA026477</v>
      </c>
      <c r="BG692" t="s">
        <v>74</v>
      </c>
      <c r="BH692" t="s">
        <v>74</v>
      </c>
      <c r="BI692">
        <v>17</v>
      </c>
      <c r="BJ692" t="s">
        <v>1696</v>
      </c>
      <c r="BK692" t="s">
        <v>101</v>
      </c>
      <c r="BL692" t="s">
        <v>1696</v>
      </c>
      <c r="BM692" t="s">
        <v>13538</v>
      </c>
      <c r="BN692" t="s">
        <v>74</v>
      </c>
      <c r="BO692" t="s">
        <v>5300</v>
      </c>
      <c r="BP692" t="s">
        <v>74</v>
      </c>
      <c r="BQ692" t="s">
        <v>74</v>
      </c>
      <c r="BR692" t="s">
        <v>103</v>
      </c>
      <c r="BS692" t="s">
        <v>13539</v>
      </c>
      <c r="BT692" t="str">
        <f>HYPERLINK("https%3A%2F%2Fwww.webofscience.com%2Fwos%2Fwoscc%2Ffull-record%2FWOS:000477723100041","View Full Record in Web of Science")</f>
        <v>View Full Record in Web of Science</v>
      </c>
    </row>
    <row r="693" spans="1:72" x14ac:dyDescent="0.15">
      <c r="A693" t="s">
        <v>72</v>
      </c>
      <c r="B693" t="s">
        <v>13540</v>
      </c>
      <c r="C693" t="s">
        <v>74</v>
      </c>
      <c r="D693" t="s">
        <v>74</v>
      </c>
      <c r="E693" t="s">
        <v>74</v>
      </c>
      <c r="F693" t="s">
        <v>13541</v>
      </c>
      <c r="G693" t="s">
        <v>74</v>
      </c>
      <c r="H693" t="s">
        <v>74</v>
      </c>
      <c r="I693" t="s">
        <v>13542</v>
      </c>
      <c r="J693" t="s">
        <v>3193</v>
      </c>
      <c r="K693" t="s">
        <v>74</v>
      </c>
      <c r="L693" t="s">
        <v>74</v>
      </c>
      <c r="M693" t="s">
        <v>78</v>
      </c>
      <c r="N693" t="s">
        <v>108</v>
      </c>
      <c r="O693" t="s">
        <v>74</v>
      </c>
      <c r="P693" t="s">
        <v>74</v>
      </c>
      <c r="Q693" t="s">
        <v>74</v>
      </c>
      <c r="R693" t="s">
        <v>74</v>
      </c>
      <c r="S693" t="s">
        <v>74</v>
      </c>
      <c r="T693" t="s">
        <v>74</v>
      </c>
      <c r="U693" t="s">
        <v>13543</v>
      </c>
      <c r="V693" t="s">
        <v>13544</v>
      </c>
      <c r="W693" t="s">
        <v>13545</v>
      </c>
      <c r="X693" t="s">
        <v>13546</v>
      </c>
      <c r="Y693" t="s">
        <v>13547</v>
      </c>
      <c r="Z693" t="s">
        <v>13548</v>
      </c>
      <c r="AA693" t="s">
        <v>74</v>
      </c>
      <c r="AB693" t="s">
        <v>13549</v>
      </c>
      <c r="AC693" t="s">
        <v>13550</v>
      </c>
      <c r="AD693" t="s">
        <v>13551</v>
      </c>
      <c r="AE693" t="s">
        <v>13552</v>
      </c>
      <c r="AF693" t="s">
        <v>74</v>
      </c>
      <c r="AG693">
        <v>35</v>
      </c>
      <c r="AH693">
        <v>12</v>
      </c>
      <c r="AI693">
        <v>12</v>
      </c>
      <c r="AJ693">
        <v>1</v>
      </c>
      <c r="AK693">
        <v>4</v>
      </c>
      <c r="AL693" t="s">
        <v>182</v>
      </c>
      <c r="AM693" t="s">
        <v>183</v>
      </c>
      <c r="AN693" t="s">
        <v>184</v>
      </c>
      <c r="AO693" t="s">
        <v>3206</v>
      </c>
      <c r="AP693" t="s">
        <v>3207</v>
      </c>
      <c r="AQ693" t="s">
        <v>74</v>
      </c>
      <c r="AR693" t="s">
        <v>3208</v>
      </c>
      <c r="AS693" t="s">
        <v>3209</v>
      </c>
      <c r="AT693" t="s">
        <v>6722</v>
      </c>
      <c r="AU693">
        <v>2019</v>
      </c>
      <c r="AV693">
        <v>124</v>
      </c>
      <c r="AW693">
        <v>6</v>
      </c>
      <c r="AX693" t="s">
        <v>74</v>
      </c>
      <c r="AY693" t="s">
        <v>74</v>
      </c>
      <c r="AZ693" t="s">
        <v>74</v>
      </c>
      <c r="BA693" t="s">
        <v>74</v>
      </c>
      <c r="BB693">
        <v>4658</v>
      </c>
      <c r="BC693">
        <v>4671</v>
      </c>
      <c r="BD693" t="s">
        <v>74</v>
      </c>
      <c r="BE693" t="s">
        <v>13553</v>
      </c>
      <c r="BF693" t="str">
        <f>HYPERLINK("http://dx.doi.org/10.1029/2018JA026017","http://dx.doi.org/10.1029/2018JA026017")</f>
        <v>http://dx.doi.org/10.1029/2018JA026017</v>
      </c>
      <c r="BG693" t="s">
        <v>74</v>
      </c>
      <c r="BH693" t="s">
        <v>74</v>
      </c>
      <c r="BI693">
        <v>14</v>
      </c>
      <c r="BJ693" t="s">
        <v>1696</v>
      </c>
      <c r="BK693" t="s">
        <v>101</v>
      </c>
      <c r="BL693" t="s">
        <v>1696</v>
      </c>
      <c r="BM693" t="s">
        <v>13538</v>
      </c>
      <c r="BN693" t="s">
        <v>74</v>
      </c>
      <c r="BO693" t="s">
        <v>621</v>
      </c>
      <c r="BP693" t="s">
        <v>74</v>
      </c>
      <c r="BQ693" t="s">
        <v>74</v>
      </c>
      <c r="BR693" t="s">
        <v>103</v>
      </c>
      <c r="BS693" t="s">
        <v>13554</v>
      </c>
      <c r="BT693" t="str">
        <f>HYPERLINK("https%3A%2F%2Fwww.webofscience.com%2Fwos%2Fwoscc%2Ffull-record%2FWOS:000477723100053","View Full Record in Web of Science")</f>
        <v>View Full Record in Web of Science</v>
      </c>
    </row>
    <row r="694" spans="1:72" x14ac:dyDescent="0.15">
      <c r="A694" t="s">
        <v>72</v>
      </c>
      <c r="B694" t="s">
        <v>13555</v>
      </c>
      <c r="C694" t="s">
        <v>74</v>
      </c>
      <c r="D694" t="s">
        <v>74</v>
      </c>
      <c r="E694" t="s">
        <v>74</v>
      </c>
      <c r="F694" t="s">
        <v>13556</v>
      </c>
      <c r="G694" t="s">
        <v>74</v>
      </c>
      <c r="H694" t="s">
        <v>74</v>
      </c>
      <c r="I694" t="s">
        <v>13557</v>
      </c>
      <c r="J694" t="s">
        <v>3193</v>
      </c>
      <c r="K694" t="s">
        <v>74</v>
      </c>
      <c r="L694" t="s">
        <v>74</v>
      </c>
      <c r="M694" t="s">
        <v>78</v>
      </c>
      <c r="N694" t="s">
        <v>108</v>
      </c>
      <c r="O694" t="s">
        <v>74</v>
      </c>
      <c r="P694" t="s">
        <v>74</v>
      </c>
      <c r="Q694" t="s">
        <v>74</v>
      </c>
      <c r="R694" t="s">
        <v>74</v>
      </c>
      <c r="S694" t="s">
        <v>74</v>
      </c>
      <c r="T694" t="s">
        <v>74</v>
      </c>
      <c r="U694" t="s">
        <v>13558</v>
      </c>
      <c r="V694" t="s">
        <v>13559</v>
      </c>
      <c r="W694" t="s">
        <v>13560</v>
      </c>
      <c r="X694" t="s">
        <v>13561</v>
      </c>
      <c r="Y694" t="s">
        <v>13562</v>
      </c>
      <c r="Z694" t="s">
        <v>13563</v>
      </c>
      <c r="AA694" t="s">
        <v>13564</v>
      </c>
      <c r="AB694" t="s">
        <v>13565</v>
      </c>
      <c r="AC694" t="s">
        <v>13566</v>
      </c>
      <c r="AD694" t="s">
        <v>13567</v>
      </c>
      <c r="AE694" t="s">
        <v>13568</v>
      </c>
      <c r="AF694" t="s">
        <v>74</v>
      </c>
      <c r="AG694">
        <v>37</v>
      </c>
      <c r="AH694">
        <v>16</v>
      </c>
      <c r="AI694">
        <v>16</v>
      </c>
      <c r="AJ694">
        <v>0</v>
      </c>
      <c r="AK694">
        <v>5</v>
      </c>
      <c r="AL694" t="s">
        <v>182</v>
      </c>
      <c r="AM694" t="s">
        <v>183</v>
      </c>
      <c r="AN694" t="s">
        <v>184</v>
      </c>
      <c r="AO694" t="s">
        <v>3206</v>
      </c>
      <c r="AP694" t="s">
        <v>3207</v>
      </c>
      <c r="AQ694" t="s">
        <v>74</v>
      </c>
      <c r="AR694" t="s">
        <v>3208</v>
      </c>
      <c r="AS694" t="s">
        <v>3209</v>
      </c>
      <c r="AT694" t="s">
        <v>6722</v>
      </c>
      <c r="AU694">
        <v>2019</v>
      </c>
      <c r="AV694">
        <v>124</v>
      </c>
      <c r="AW694">
        <v>6</v>
      </c>
      <c r="AX694" t="s">
        <v>74</v>
      </c>
      <c r="AY694" t="s">
        <v>74</v>
      </c>
      <c r="AZ694" t="s">
        <v>74</v>
      </c>
      <c r="BA694" t="s">
        <v>74</v>
      </c>
      <c r="BB694">
        <v>4710</v>
      </c>
      <c r="BC694">
        <v>4724</v>
      </c>
      <c r="BD694" t="s">
        <v>74</v>
      </c>
      <c r="BE694" t="s">
        <v>13569</v>
      </c>
      <c r="BF694" t="str">
        <f>HYPERLINK("http://dx.doi.org/10.1029/2018JA026245","http://dx.doi.org/10.1029/2018JA026245")</f>
        <v>http://dx.doi.org/10.1029/2018JA026245</v>
      </c>
      <c r="BG694" t="s">
        <v>74</v>
      </c>
      <c r="BH694" t="s">
        <v>74</v>
      </c>
      <c r="BI694">
        <v>15</v>
      </c>
      <c r="BJ694" t="s">
        <v>1696</v>
      </c>
      <c r="BK694" t="s">
        <v>101</v>
      </c>
      <c r="BL694" t="s">
        <v>1696</v>
      </c>
      <c r="BM694" t="s">
        <v>13538</v>
      </c>
      <c r="BN694" t="s">
        <v>74</v>
      </c>
      <c r="BO694" t="s">
        <v>74</v>
      </c>
      <c r="BP694" t="s">
        <v>74</v>
      </c>
      <c r="BQ694" t="s">
        <v>74</v>
      </c>
      <c r="BR694" t="s">
        <v>103</v>
      </c>
      <c r="BS694" t="s">
        <v>13570</v>
      </c>
      <c r="BT694" t="str">
        <f>HYPERLINK("https%3A%2F%2Fwww.webofscience.com%2Fwos%2Fwoscc%2Ffull-record%2FWOS:000477723100056","View Full Record in Web of Science")</f>
        <v>View Full Record in Web of Science</v>
      </c>
    </row>
    <row r="695" spans="1:72" x14ac:dyDescent="0.15">
      <c r="A695" t="s">
        <v>72</v>
      </c>
      <c r="B695" t="s">
        <v>13571</v>
      </c>
      <c r="C695" t="s">
        <v>74</v>
      </c>
      <c r="D695" t="s">
        <v>74</v>
      </c>
      <c r="E695" t="s">
        <v>74</v>
      </c>
      <c r="F695" t="s">
        <v>13572</v>
      </c>
      <c r="G695" t="s">
        <v>74</v>
      </c>
      <c r="H695" t="s">
        <v>74</v>
      </c>
      <c r="I695" t="s">
        <v>13573</v>
      </c>
      <c r="J695" t="s">
        <v>9358</v>
      </c>
      <c r="K695" t="s">
        <v>74</v>
      </c>
      <c r="L695" t="s">
        <v>74</v>
      </c>
      <c r="M695" t="s">
        <v>78</v>
      </c>
      <c r="N695" t="s">
        <v>108</v>
      </c>
      <c r="O695" t="s">
        <v>74</v>
      </c>
      <c r="P695" t="s">
        <v>74</v>
      </c>
      <c r="Q695" t="s">
        <v>74</v>
      </c>
      <c r="R695" t="s">
        <v>74</v>
      </c>
      <c r="S695" t="s">
        <v>74</v>
      </c>
      <c r="T695" t="s">
        <v>74</v>
      </c>
      <c r="U695" t="s">
        <v>13574</v>
      </c>
      <c r="V695" t="s">
        <v>13575</v>
      </c>
      <c r="W695" t="s">
        <v>13576</v>
      </c>
      <c r="X695" t="s">
        <v>13577</v>
      </c>
      <c r="Y695" t="s">
        <v>13578</v>
      </c>
      <c r="Z695" t="s">
        <v>13579</v>
      </c>
      <c r="AA695" t="s">
        <v>13580</v>
      </c>
      <c r="AB695" t="s">
        <v>13581</v>
      </c>
      <c r="AC695" t="s">
        <v>13582</v>
      </c>
      <c r="AD695" t="s">
        <v>13583</v>
      </c>
      <c r="AE695" t="s">
        <v>13584</v>
      </c>
      <c r="AF695" t="s">
        <v>74</v>
      </c>
      <c r="AG695">
        <v>79</v>
      </c>
      <c r="AH695">
        <v>35</v>
      </c>
      <c r="AI695">
        <v>35</v>
      </c>
      <c r="AJ695">
        <v>0</v>
      </c>
      <c r="AK695">
        <v>4</v>
      </c>
      <c r="AL695" t="s">
        <v>182</v>
      </c>
      <c r="AM695" t="s">
        <v>183</v>
      </c>
      <c r="AN695" t="s">
        <v>184</v>
      </c>
      <c r="AO695" t="s">
        <v>9367</v>
      </c>
      <c r="AP695" t="s">
        <v>74</v>
      </c>
      <c r="AQ695" t="s">
        <v>74</v>
      </c>
      <c r="AR695" t="s">
        <v>9368</v>
      </c>
      <c r="AS695" t="s">
        <v>9369</v>
      </c>
      <c r="AT695" t="s">
        <v>6722</v>
      </c>
      <c r="AU695">
        <v>2019</v>
      </c>
      <c r="AV695">
        <v>17</v>
      </c>
      <c r="AW695">
        <v>6</v>
      </c>
      <c r="AX695" t="s">
        <v>74</v>
      </c>
      <c r="AY695" t="s">
        <v>74</v>
      </c>
      <c r="AZ695" t="s">
        <v>74</v>
      </c>
      <c r="BA695" t="s">
        <v>74</v>
      </c>
      <c r="BB695">
        <v>827</v>
      </c>
      <c r="BC695">
        <v>844</v>
      </c>
      <c r="BD695" t="s">
        <v>74</v>
      </c>
      <c r="BE695" t="s">
        <v>13585</v>
      </c>
      <c r="BF695" t="str">
        <f>HYPERLINK("http://dx.doi.org/10.1029/2018SW002148","http://dx.doi.org/10.1029/2018SW002148")</f>
        <v>http://dx.doi.org/10.1029/2018SW002148</v>
      </c>
      <c r="BG695" t="s">
        <v>74</v>
      </c>
      <c r="BH695" t="s">
        <v>74</v>
      </c>
      <c r="BI695">
        <v>18</v>
      </c>
      <c r="BJ695" t="s">
        <v>9371</v>
      </c>
      <c r="BK695" t="s">
        <v>101</v>
      </c>
      <c r="BL695" t="s">
        <v>9371</v>
      </c>
      <c r="BM695" t="s">
        <v>13586</v>
      </c>
      <c r="BN695" t="s">
        <v>74</v>
      </c>
      <c r="BO695" t="s">
        <v>3246</v>
      </c>
      <c r="BP695" t="s">
        <v>74</v>
      </c>
      <c r="BQ695" t="s">
        <v>74</v>
      </c>
      <c r="BR695" t="s">
        <v>103</v>
      </c>
      <c r="BS695" t="s">
        <v>13587</v>
      </c>
      <c r="BT695" t="str">
        <f>HYPERLINK("https%3A%2F%2Fwww.webofscience.com%2Fwos%2Fwoscc%2Ffull-record%2FWOS:000477724600005","View Full Record in Web of Science")</f>
        <v>View Full Record in Web of Science</v>
      </c>
    </row>
    <row r="696" spans="1:72" x14ac:dyDescent="0.15">
      <c r="A696" t="s">
        <v>72</v>
      </c>
      <c r="B696" t="s">
        <v>13588</v>
      </c>
      <c r="C696" t="s">
        <v>74</v>
      </c>
      <c r="D696" t="s">
        <v>74</v>
      </c>
      <c r="E696" t="s">
        <v>74</v>
      </c>
      <c r="F696" t="s">
        <v>13589</v>
      </c>
      <c r="G696" t="s">
        <v>74</v>
      </c>
      <c r="H696" t="s">
        <v>74</v>
      </c>
      <c r="I696" t="s">
        <v>13590</v>
      </c>
      <c r="J696" t="s">
        <v>9358</v>
      </c>
      <c r="K696" t="s">
        <v>74</v>
      </c>
      <c r="L696" t="s">
        <v>74</v>
      </c>
      <c r="M696" t="s">
        <v>78</v>
      </c>
      <c r="N696" t="s">
        <v>108</v>
      </c>
      <c r="O696" t="s">
        <v>74</v>
      </c>
      <c r="P696" t="s">
        <v>74</v>
      </c>
      <c r="Q696" t="s">
        <v>74</v>
      </c>
      <c r="R696" t="s">
        <v>74</v>
      </c>
      <c r="S696" t="s">
        <v>74</v>
      </c>
      <c r="T696" t="s">
        <v>74</v>
      </c>
      <c r="U696" t="s">
        <v>13591</v>
      </c>
      <c r="V696" t="s">
        <v>13592</v>
      </c>
      <c r="W696" t="s">
        <v>13593</v>
      </c>
      <c r="X696" t="s">
        <v>13594</v>
      </c>
      <c r="Y696" t="s">
        <v>13595</v>
      </c>
      <c r="Z696" t="s">
        <v>13596</v>
      </c>
      <c r="AA696" t="s">
        <v>13597</v>
      </c>
      <c r="AB696" t="s">
        <v>13598</v>
      </c>
      <c r="AC696" t="s">
        <v>13599</v>
      </c>
      <c r="AD696" t="s">
        <v>13600</v>
      </c>
      <c r="AE696" t="s">
        <v>13601</v>
      </c>
      <c r="AF696" t="s">
        <v>74</v>
      </c>
      <c r="AG696">
        <v>57</v>
      </c>
      <c r="AH696">
        <v>8</v>
      </c>
      <c r="AI696">
        <v>9</v>
      </c>
      <c r="AJ696">
        <v>0</v>
      </c>
      <c r="AK696">
        <v>8</v>
      </c>
      <c r="AL696" t="s">
        <v>182</v>
      </c>
      <c r="AM696" t="s">
        <v>183</v>
      </c>
      <c r="AN696" t="s">
        <v>184</v>
      </c>
      <c r="AO696" t="s">
        <v>9367</v>
      </c>
      <c r="AP696" t="s">
        <v>74</v>
      </c>
      <c r="AQ696" t="s">
        <v>74</v>
      </c>
      <c r="AR696" t="s">
        <v>9368</v>
      </c>
      <c r="AS696" t="s">
        <v>9369</v>
      </c>
      <c r="AT696" t="s">
        <v>6722</v>
      </c>
      <c r="AU696">
        <v>2019</v>
      </c>
      <c r="AV696">
        <v>17</v>
      </c>
      <c r="AW696">
        <v>6</v>
      </c>
      <c r="AX696" t="s">
        <v>74</v>
      </c>
      <c r="AY696" t="s">
        <v>74</v>
      </c>
      <c r="AZ696" t="s">
        <v>74</v>
      </c>
      <c r="BA696" t="s">
        <v>74</v>
      </c>
      <c r="BB696">
        <v>907</v>
      </c>
      <c r="BC696">
        <v>924</v>
      </c>
      <c r="BD696" t="s">
        <v>74</v>
      </c>
      <c r="BE696" t="s">
        <v>13602</v>
      </c>
      <c r="BF696" t="str">
        <f>HYPERLINK("http://dx.doi.org/10.1029/2018SW002130","http://dx.doi.org/10.1029/2018SW002130")</f>
        <v>http://dx.doi.org/10.1029/2018SW002130</v>
      </c>
      <c r="BG696" t="s">
        <v>74</v>
      </c>
      <c r="BH696" t="s">
        <v>74</v>
      </c>
      <c r="BI696">
        <v>18</v>
      </c>
      <c r="BJ696" t="s">
        <v>9371</v>
      </c>
      <c r="BK696" t="s">
        <v>101</v>
      </c>
      <c r="BL696" t="s">
        <v>9371</v>
      </c>
      <c r="BM696" t="s">
        <v>13586</v>
      </c>
      <c r="BN696" t="s">
        <v>74</v>
      </c>
      <c r="BO696" t="s">
        <v>13603</v>
      </c>
      <c r="BP696" t="s">
        <v>74</v>
      </c>
      <c r="BQ696" t="s">
        <v>74</v>
      </c>
      <c r="BR696" t="s">
        <v>103</v>
      </c>
      <c r="BS696" t="s">
        <v>13604</v>
      </c>
      <c r="BT696" t="str">
        <f>HYPERLINK("https%3A%2F%2Fwww.webofscience.com%2Fwos%2Fwoscc%2Ffull-record%2FWOS:000477724600010","View Full Record in Web of Science")</f>
        <v>View Full Record in Web of Science</v>
      </c>
    </row>
    <row r="697" spans="1:72" x14ac:dyDescent="0.15">
      <c r="A697" t="s">
        <v>72</v>
      </c>
      <c r="B697" t="s">
        <v>13605</v>
      </c>
      <c r="C697" t="s">
        <v>74</v>
      </c>
      <c r="D697" t="s">
        <v>74</v>
      </c>
      <c r="E697" t="s">
        <v>74</v>
      </c>
      <c r="F697" t="s">
        <v>13606</v>
      </c>
      <c r="G697" t="s">
        <v>74</v>
      </c>
      <c r="H697" t="s">
        <v>74</v>
      </c>
      <c r="I697" t="s">
        <v>13607</v>
      </c>
      <c r="J697" t="s">
        <v>13608</v>
      </c>
      <c r="K697" t="s">
        <v>74</v>
      </c>
      <c r="L697" t="s">
        <v>74</v>
      </c>
      <c r="M697" t="s">
        <v>78</v>
      </c>
      <c r="N697" t="s">
        <v>108</v>
      </c>
      <c r="O697" t="s">
        <v>74</v>
      </c>
      <c r="P697" t="s">
        <v>74</v>
      </c>
      <c r="Q697" t="s">
        <v>74</v>
      </c>
      <c r="R697" t="s">
        <v>74</v>
      </c>
      <c r="S697" t="s">
        <v>74</v>
      </c>
      <c r="T697" t="s">
        <v>13609</v>
      </c>
      <c r="U697" t="s">
        <v>13610</v>
      </c>
      <c r="V697" t="s">
        <v>13611</v>
      </c>
      <c r="W697" t="s">
        <v>13612</v>
      </c>
      <c r="X697" t="s">
        <v>13613</v>
      </c>
      <c r="Y697" t="s">
        <v>13614</v>
      </c>
      <c r="Z697" t="s">
        <v>13615</v>
      </c>
      <c r="AA697" t="s">
        <v>74</v>
      </c>
      <c r="AB697" t="s">
        <v>74</v>
      </c>
      <c r="AC697" t="s">
        <v>74</v>
      </c>
      <c r="AD697" t="s">
        <v>74</v>
      </c>
      <c r="AE697" t="s">
        <v>74</v>
      </c>
      <c r="AF697" t="s">
        <v>74</v>
      </c>
      <c r="AG697">
        <v>75</v>
      </c>
      <c r="AH697">
        <v>8</v>
      </c>
      <c r="AI697">
        <v>10</v>
      </c>
      <c r="AJ697">
        <v>1</v>
      </c>
      <c r="AK697">
        <v>21</v>
      </c>
      <c r="AL697" t="s">
        <v>3615</v>
      </c>
      <c r="AM697" t="s">
        <v>3616</v>
      </c>
      <c r="AN697" t="s">
        <v>3617</v>
      </c>
      <c r="AO697" t="s">
        <v>74</v>
      </c>
      <c r="AP697" t="s">
        <v>13616</v>
      </c>
      <c r="AQ697" t="s">
        <v>74</v>
      </c>
      <c r="AR697" t="s">
        <v>13608</v>
      </c>
      <c r="AS697" t="s">
        <v>13617</v>
      </c>
      <c r="AT697" t="s">
        <v>6722</v>
      </c>
      <c r="AU697">
        <v>2019</v>
      </c>
      <c r="AV697">
        <v>9</v>
      </c>
      <c r="AW697">
        <v>6</v>
      </c>
      <c r="AX697" t="s">
        <v>74</v>
      </c>
      <c r="AY697" t="s">
        <v>74</v>
      </c>
      <c r="AZ697" t="s">
        <v>74</v>
      </c>
      <c r="BA697" t="s">
        <v>74</v>
      </c>
      <c r="BB697" t="s">
        <v>74</v>
      </c>
      <c r="BC697" t="s">
        <v>74</v>
      </c>
      <c r="BD697">
        <v>235</v>
      </c>
      <c r="BE697" t="s">
        <v>13618</v>
      </c>
      <c r="BF697" t="str">
        <f>HYPERLINK("http://dx.doi.org/10.3390/biom9060235","http://dx.doi.org/10.3390/biom9060235")</f>
        <v>http://dx.doi.org/10.3390/biom9060235</v>
      </c>
      <c r="BG697" t="s">
        <v>74</v>
      </c>
      <c r="BH697" t="s">
        <v>74</v>
      </c>
      <c r="BI697">
        <v>22</v>
      </c>
      <c r="BJ697" t="s">
        <v>5480</v>
      </c>
      <c r="BK697" t="s">
        <v>101</v>
      </c>
      <c r="BL697" t="s">
        <v>5480</v>
      </c>
      <c r="BM697" t="s">
        <v>13619</v>
      </c>
      <c r="BN697">
        <v>31213033</v>
      </c>
      <c r="BO697" t="s">
        <v>9492</v>
      </c>
      <c r="BP697" t="s">
        <v>74</v>
      </c>
      <c r="BQ697" t="s">
        <v>74</v>
      </c>
      <c r="BR697" t="s">
        <v>103</v>
      </c>
      <c r="BS697" t="s">
        <v>13620</v>
      </c>
      <c r="BT697" t="str">
        <f>HYPERLINK("https%3A%2F%2Fwww.webofscience.com%2Fwos%2Fwoscc%2Ffull-record%2FWOS:000475301500031","View Full Record in Web of Science")</f>
        <v>View Full Record in Web of Science</v>
      </c>
    </row>
    <row r="698" spans="1:72" x14ac:dyDescent="0.15">
      <c r="A698" t="s">
        <v>72</v>
      </c>
      <c r="B698" t="s">
        <v>13621</v>
      </c>
      <c r="C698" t="s">
        <v>74</v>
      </c>
      <c r="D698" t="s">
        <v>74</v>
      </c>
      <c r="E698" t="s">
        <v>74</v>
      </c>
      <c r="F698" t="s">
        <v>13622</v>
      </c>
      <c r="G698" t="s">
        <v>74</v>
      </c>
      <c r="H698" t="s">
        <v>74</v>
      </c>
      <c r="I698" t="s">
        <v>13623</v>
      </c>
      <c r="J698" t="s">
        <v>13624</v>
      </c>
      <c r="K698" t="s">
        <v>74</v>
      </c>
      <c r="L698" t="s">
        <v>74</v>
      </c>
      <c r="M698" t="s">
        <v>78</v>
      </c>
      <c r="N698" t="s">
        <v>108</v>
      </c>
      <c r="O698" t="s">
        <v>74</v>
      </c>
      <c r="P698" t="s">
        <v>74</v>
      </c>
      <c r="Q698" t="s">
        <v>74</v>
      </c>
      <c r="R698" t="s">
        <v>74</v>
      </c>
      <c r="S698" t="s">
        <v>74</v>
      </c>
      <c r="T698" t="s">
        <v>74</v>
      </c>
      <c r="U698" t="s">
        <v>13625</v>
      </c>
      <c r="V698" t="s">
        <v>13626</v>
      </c>
      <c r="W698" t="s">
        <v>13627</v>
      </c>
      <c r="X698" t="s">
        <v>13628</v>
      </c>
      <c r="Y698" t="s">
        <v>13629</v>
      </c>
      <c r="Z698" t="s">
        <v>13630</v>
      </c>
      <c r="AA698" t="s">
        <v>13631</v>
      </c>
      <c r="AB698" t="s">
        <v>13632</v>
      </c>
      <c r="AC698" t="s">
        <v>13633</v>
      </c>
      <c r="AD698" t="s">
        <v>13633</v>
      </c>
      <c r="AE698" t="s">
        <v>13634</v>
      </c>
      <c r="AF698" t="s">
        <v>74</v>
      </c>
      <c r="AG698">
        <v>86</v>
      </c>
      <c r="AH698">
        <v>6</v>
      </c>
      <c r="AI698">
        <v>6</v>
      </c>
      <c r="AJ698">
        <v>0</v>
      </c>
      <c r="AK698">
        <v>10</v>
      </c>
      <c r="AL698" t="s">
        <v>302</v>
      </c>
      <c r="AM698" t="s">
        <v>4016</v>
      </c>
      <c r="AN698" t="s">
        <v>4542</v>
      </c>
      <c r="AO698" t="s">
        <v>13635</v>
      </c>
      <c r="AP698" t="s">
        <v>13636</v>
      </c>
      <c r="AQ698" t="s">
        <v>74</v>
      </c>
      <c r="AR698" t="s">
        <v>13637</v>
      </c>
      <c r="AS698" t="s">
        <v>13638</v>
      </c>
      <c r="AT698" t="s">
        <v>6722</v>
      </c>
      <c r="AU698">
        <v>2019</v>
      </c>
      <c r="AV698">
        <v>29</v>
      </c>
      <c r="AW698">
        <v>2</v>
      </c>
      <c r="AX698" t="s">
        <v>74</v>
      </c>
      <c r="AY698" t="s">
        <v>74</v>
      </c>
      <c r="AZ698" t="s">
        <v>74</v>
      </c>
      <c r="BA698" t="s">
        <v>74</v>
      </c>
      <c r="BB698">
        <v>327</v>
      </c>
      <c r="BC698">
        <v>337</v>
      </c>
      <c r="BD698" t="s">
        <v>74</v>
      </c>
      <c r="BE698" t="s">
        <v>13639</v>
      </c>
      <c r="BF698" t="str">
        <f>HYPERLINK("http://dx.doi.org/10.1017/S0959270918000084","http://dx.doi.org/10.1017/S0959270918000084")</f>
        <v>http://dx.doi.org/10.1017/S0959270918000084</v>
      </c>
      <c r="BG698" t="s">
        <v>74</v>
      </c>
      <c r="BH698" t="s">
        <v>74</v>
      </c>
      <c r="BI698">
        <v>11</v>
      </c>
      <c r="BJ698" t="s">
        <v>13640</v>
      </c>
      <c r="BK698" t="s">
        <v>101</v>
      </c>
      <c r="BL698" t="s">
        <v>13641</v>
      </c>
      <c r="BM698" t="s">
        <v>13642</v>
      </c>
      <c r="BN698" t="s">
        <v>74</v>
      </c>
      <c r="BO698" t="s">
        <v>13643</v>
      </c>
      <c r="BP698" t="s">
        <v>74</v>
      </c>
      <c r="BQ698" t="s">
        <v>74</v>
      </c>
      <c r="BR698" t="s">
        <v>103</v>
      </c>
      <c r="BS698" t="s">
        <v>13644</v>
      </c>
      <c r="BT698" t="str">
        <f>HYPERLINK("https%3A%2F%2Fwww.webofscience.com%2Fwos%2Fwoscc%2Ffull-record%2FWOS:000475686300011","View Full Record in Web of Science")</f>
        <v>View Full Record in Web of Science</v>
      </c>
    </row>
    <row r="699" spans="1:72" x14ac:dyDescent="0.15">
      <c r="A699" t="s">
        <v>72</v>
      </c>
      <c r="B699" t="s">
        <v>13645</v>
      </c>
      <c r="C699" t="s">
        <v>74</v>
      </c>
      <c r="D699" t="s">
        <v>74</v>
      </c>
      <c r="E699" t="s">
        <v>74</v>
      </c>
      <c r="F699" t="s">
        <v>13646</v>
      </c>
      <c r="G699" t="s">
        <v>74</v>
      </c>
      <c r="H699" t="s">
        <v>74</v>
      </c>
      <c r="I699" t="s">
        <v>13647</v>
      </c>
      <c r="J699" t="s">
        <v>13648</v>
      </c>
      <c r="K699" t="s">
        <v>74</v>
      </c>
      <c r="L699" t="s">
        <v>74</v>
      </c>
      <c r="M699" t="s">
        <v>78</v>
      </c>
      <c r="N699" t="s">
        <v>108</v>
      </c>
      <c r="O699" t="s">
        <v>74</v>
      </c>
      <c r="P699" t="s">
        <v>74</v>
      </c>
      <c r="Q699" t="s">
        <v>74</v>
      </c>
      <c r="R699" t="s">
        <v>74</v>
      </c>
      <c r="S699" t="s">
        <v>74</v>
      </c>
      <c r="T699" t="s">
        <v>13649</v>
      </c>
      <c r="U699" t="s">
        <v>74</v>
      </c>
      <c r="V699" t="s">
        <v>13650</v>
      </c>
      <c r="W699" t="s">
        <v>13651</v>
      </c>
      <c r="X699" t="s">
        <v>13652</v>
      </c>
      <c r="Y699" t="s">
        <v>13653</v>
      </c>
      <c r="Z699" t="s">
        <v>13654</v>
      </c>
      <c r="AA699" t="s">
        <v>13655</v>
      </c>
      <c r="AB699" t="s">
        <v>13656</v>
      </c>
      <c r="AC699" t="s">
        <v>13657</v>
      </c>
      <c r="AD699" t="s">
        <v>13658</v>
      </c>
      <c r="AE699" t="s">
        <v>13659</v>
      </c>
      <c r="AF699" t="s">
        <v>74</v>
      </c>
      <c r="AG699">
        <v>6</v>
      </c>
      <c r="AH699">
        <v>2</v>
      </c>
      <c r="AI699">
        <v>2</v>
      </c>
      <c r="AJ699">
        <v>0</v>
      </c>
      <c r="AK699">
        <v>0</v>
      </c>
      <c r="AL699" t="s">
        <v>13660</v>
      </c>
      <c r="AM699" t="s">
        <v>13661</v>
      </c>
      <c r="AN699" t="s">
        <v>13662</v>
      </c>
      <c r="AO699" t="s">
        <v>13663</v>
      </c>
      <c r="AP699" t="s">
        <v>74</v>
      </c>
      <c r="AQ699" t="s">
        <v>74</v>
      </c>
      <c r="AR699" t="s">
        <v>13664</v>
      </c>
      <c r="AS699" t="s">
        <v>13665</v>
      </c>
      <c r="AT699" t="s">
        <v>6722</v>
      </c>
      <c r="AU699">
        <v>2019</v>
      </c>
      <c r="AV699">
        <v>54</v>
      </c>
      <c r="AW699">
        <v>2</v>
      </c>
      <c r="AX699" t="s">
        <v>74</v>
      </c>
      <c r="AY699" t="s">
        <v>74</v>
      </c>
      <c r="AZ699" t="s">
        <v>74</v>
      </c>
      <c r="BA699" t="s">
        <v>74</v>
      </c>
      <c r="BB699">
        <v>185</v>
      </c>
      <c r="BC699">
        <v>189</v>
      </c>
      <c r="BD699" t="s">
        <v>74</v>
      </c>
      <c r="BE699" t="s">
        <v>13666</v>
      </c>
      <c r="BF699" t="str">
        <f>HYPERLINK("http://dx.doi.org/10.31055/1851.2372.v54.n2.24363","http://dx.doi.org/10.31055/1851.2372.v54.n2.24363")</f>
        <v>http://dx.doi.org/10.31055/1851.2372.v54.n2.24363</v>
      </c>
      <c r="BG699" t="s">
        <v>74</v>
      </c>
      <c r="BH699" t="s">
        <v>74</v>
      </c>
      <c r="BI699">
        <v>5</v>
      </c>
      <c r="BJ699" t="s">
        <v>2907</v>
      </c>
      <c r="BK699" t="s">
        <v>101</v>
      </c>
      <c r="BL699" t="s">
        <v>2907</v>
      </c>
      <c r="BM699" t="s">
        <v>13667</v>
      </c>
      <c r="BN699" t="s">
        <v>74</v>
      </c>
      <c r="BO699" t="s">
        <v>331</v>
      </c>
      <c r="BP699" t="s">
        <v>74</v>
      </c>
      <c r="BQ699" t="s">
        <v>74</v>
      </c>
      <c r="BR699" t="s">
        <v>103</v>
      </c>
      <c r="BS699" t="s">
        <v>13668</v>
      </c>
      <c r="BT699" t="str">
        <f>HYPERLINK("https%3A%2F%2Fwww.webofscience.com%2Fwos%2Fwoscc%2Ffull-record%2FWOS:000475417500003","View Full Record in Web of Science")</f>
        <v>View Full Record in Web of Science</v>
      </c>
    </row>
    <row r="700" spans="1:72" x14ac:dyDescent="0.15">
      <c r="A700" t="s">
        <v>72</v>
      </c>
      <c r="B700" t="s">
        <v>13669</v>
      </c>
      <c r="C700" t="s">
        <v>74</v>
      </c>
      <c r="D700" t="s">
        <v>74</v>
      </c>
      <c r="E700" t="s">
        <v>74</v>
      </c>
      <c r="F700" t="s">
        <v>13670</v>
      </c>
      <c r="G700" t="s">
        <v>74</v>
      </c>
      <c r="H700" t="s">
        <v>74</v>
      </c>
      <c r="I700" t="s">
        <v>13671</v>
      </c>
      <c r="J700" t="s">
        <v>9513</v>
      </c>
      <c r="K700" t="s">
        <v>74</v>
      </c>
      <c r="L700" t="s">
        <v>74</v>
      </c>
      <c r="M700" t="s">
        <v>78</v>
      </c>
      <c r="N700" t="s">
        <v>108</v>
      </c>
      <c r="O700" t="s">
        <v>74</v>
      </c>
      <c r="P700" t="s">
        <v>74</v>
      </c>
      <c r="Q700" t="s">
        <v>74</v>
      </c>
      <c r="R700" t="s">
        <v>74</v>
      </c>
      <c r="S700" t="s">
        <v>74</v>
      </c>
      <c r="T700" t="s">
        <v>13672</v>
      </c>
      <c r="U700" t="s">
        <v>13673</v>
      </c>
      <c r="V700" t="s">
        <v>13674</v>
      </c>
      <c r="W700" t="s">
        <v>13675</v>
      </c>
      <c r="X700" t="s">
        <v>13676</v>
      </c>
      <c r="Y700" t="s">
        <v>13677</v>
      </c>
      <c r="Z700" t="s">
        <v>13678</v>
      </c>
      <c r="AA700" t="s">
        <v>13679</v>
      </c>
      <c r="AB700" t="s">
        <v>13680</v>
      </c>
      <c r="AC700" t="s">
        <v>13681</v>
      </c>
      <c r="AD700" t="s">
        <v>13682</v>
      </c>
      <c r="AE700" t="s">
        <v>13683</v>
      </c>
      <c r="AF700" t="s">
        <v>74</v>
      </c>
      <c r="AG700">
        <v>40</v>
      </c>
      <c r="AH700">
        <v>19</v>
      </c>
      <c r="AI700">
        <v>19</v>
      </c>
      <c r="AJ700">
        <v>2</v>
      </c>
      <c r="AK700">
        <v>23</v>
      </c>
      <c r="AL700" t="s">
        <v>3615</v>
      </c>
      <c r="AM700" t="s">
        <v>3616</v>
      </c>
      <c r="AN700" t="s">
        <v>3617</v>
      </c>
      <c r="AO700" t="s">
        <v>74</v>
      </c>
      <c r="AP700" t="s">
        <v>9526</v>
      </c>
      <c r="AQ700" t="s">
        <v>74</v>
      </c>
      <c r="AR700" t="s">
        <v>9513</v>
      </c>
      <c r="AS700" t="s">
        <v>9527</v>
      </c>
      <c r="AT700" t="s">
        <v>6722</v>
      </c>
      <c r="AU700">
        <v>2019</v>
      </c>
      <c r="AV700">
        <v>7</v>
      </c>
      <c r="AW700">
        <v>6</v>
      </c>
      <c r="AX700" t="s">
        <v>74</v>
      </c>
      <c r="AY700" t="s">
        <v>74</v>
      </c>
      <c r="AZ700" t="s">
        <v>74</v>
      </c>
      <c r="BA700" t="s">
        <v>74</v>
      </c>
      <c r="BB700" t="s">
        <v>74</v>
      </c>
      <c r="BC700" t="s">
        <v>74</v>
      </c>
      <c r="BD700" t="s">
        <v>74</v>
      </c>
      <c r="BE700" t="s">
        <v>13684</v>
      </c>
      <c r="BF700" t="str">
        <f>HYPERLINK("http://dx.doi.org/10.3390/microorganisms7060160","http://dx.doi.org/10.3390/microorganisms7060160")</f>
        <v>http://dx.doi.org/10.3390/microorganisms7060160</v>
      </c>
      <c r="BG700" t="s">
        <v>74</v>
      </c>
      <c r="BH700" t="s">
        <v>74</v>
      </c>
      <c r="BI700">
        <v>16</v>
      </c>
      <c r="BJ700" t="s">
        <v>1514</v>
      </c>
      <c r="BK700" t="s">
        <v>101</v>
      </c>
      <c r="BL700" t="s">
        <v>1514</v>
      </c>
      <c r="BM700" t="s">
        <v>13685</v>
      </c>
      <c r="BN700">
        <v>31159414</v>
      </c>
      <c r="BO700" t="s">
        <v>420</v>
      </c>
      <c r="BP700" t="s">
        <v>74</v>
      </c>
      <c r="BQ700" t="s">
        <v>74</v>
      </c>
      <c r="BR700" t="s">
        <v>103</v>
      </c>
      <c r="BS700" t="s">
        <v>13686</v>
      </c>
      <c r="BT700" t="str">
        <f>HYPERLINK("https%3A%2F%2Fwww.webofscience.com%2Fwos%2Fwoscc%2Ffull-record%2FWOS:000475287000008","View Full Record in Web of Science")</f>
        <v>View Full Record in Web of Science</v>
      </c>
    </row>
    <row r="701" spans="1:72" x14ac:dyDescent="0.15">
      <c r="A701" t="s">
        <v>72</v>
      </c>
      <c r="B701" t="s">
        <v>13687</v>
      </c>
      <c r="C701" t="s">
        <v>74</v>
      </c>
      <c r="D701" t="s">
        <v>74</v>
      </c>
      <c r="E701" t="s">
        <v>74</v>
      </c>
      <c r="F701" t="s">
        <v>13688</v>
      </c>
      <c r="G701" t="s">
        <v>74</v>
      </c>
      <c r="H701" t="s">
        <v>74</v>
      </c>
      <c r="I701" t="s">
        <v>13689</v>
      </c>
      <c r="J701" t="s">
        <v>13690</v>
      </c>
      <c r="K701" t="s">
        <v>74</v>
      </c>
      <c r="L701" t="s">
        <v>74</v>
      </c>
      <c r="M701" t="s">
        <v>78</v>
      </c>
      <c r="N701" t="s">
        <v>108</v>
      </c>
      <c r="O701" t="s">
        <v>74</v>
      </c>
      <c r="P701" t="s">
        <v>74</v>
      </c>
      <c r="Q701" t="s">
        <v>74</v>
      </c>
      <c r="R701" t="s">
        <v>74</v>
      </c>
      <c r="S701" t="s">
        <v>74</v>
      </c>
      <c r="T701" t="s">
        <v>13691</v>
      </c>
      <c r="U701" t="s">
        <v>13692</v>
      </c>
      <c r="V701" t="s">
        <v>13693</v>
      </c>
      <c r="W701" t="s">
        <v>13694</v>
      </c>
      <c r="X701" t="s">
        <v>13695</v>
      </c>
      <c r="Y701" t="s">
        <v>13696</v>
      </c>
      <c r="Z701" t="s">
        <v>13697</v>
      </c>
      <c r="AA701" t="s">
        <v>13698</v>
      </c>
      <c r="AB701" t="s">
        <v>13699</v>
      </c>
      <c r="AC701" t="s">
        <v>13700</v>
      </c>
      <c r="AD701" t="s">
        <v>13701</v>
      </c>
      <c r="AE701" t="s">
        <v>13702</v>
      </c>
      <c r="AF701" t="s">
        <v>74</v>
      </c>
      <c r="AG701">
        <v>47</v>
      </c>
      <c r="AH701">
        <v>12</v>
      </c>
      <c r="AI701">
        <v>13</v>
      </c>
      <c r="AJ701">
        <v>2</v>
      </c>
      <c r="AK701">
        <v>7</v>
      </c>
      <c r="AL701" t="s">
        <v>3615</v>
      </c>
      <c r="AM701" t="s">
        <v>3616</v>
      </c>
      <c r="AN701" t="s">
        <v>3617</v>
      </c>
      <c r="AO701" t="s">
        <v>74</v>
      </c>
      <c r="AP701" t="s">
        <v>13703</v>
      </c>
      <c r="AQ701" t="s">
        <v>74</v>
      </c>
      <c r="AR701" t="s">
        <v>13690</v>
      </c>
      <c r="AS701" t="s">
        <v>13704</v>
      </c>
      <c r="AT701" t="s">
        <v>6722</v>
      </c>
      <c r="AU701">
        <v>2019</v>
      </c>
      <c r="AV701">
        <v>11</v>
      </c>
      <c r="AW701">
        <v>6</v>
      </c>
      <c r="AX701" t="s">
        <v>74</v>
      </c>
      <c r="AY701" t="s">
        <v>74</v>
      </c>
      <c r="AZ701" t="s">
        <v>74</v>
      </c>
      <c r="BA701" t="s">
        <v>74</v>
      </c>
      <c r="BB701" t="s">
        <v>74</v>
      </c>
      <c r="BC701" t="s">
        <v>74</v>
      </c>
      <c r="BD701">
        <v>1230</v>
      </c>
      <c r="BE701" t="s">
        <v>13705</v>
      </c>
      <c r="BF701" t="str">
        <f>HYPERLINK("http://dx.doi.org/10.3390/nu11061230","http://dx.doi.org/10.3390/nu11061230")</f>
        <v>http://dx.doi.org/10.3390/nu11061230</v>
      </c>
      <c r="BG701" t="s">
        <v>74</v>
      </c>
      <c r="BH701" t="s">
        <v>74</v>
      </c>
      <c r="BI701">
        <v>15</v>
      </c>
      <c r="BJ701" t="s">
        <v>13706</v>
      </c>
      <c r="BK701" t="s">
        <v>3718</v>
      </c>
      <c r="BL701" t="s">
        <v>13706</v>
      </c>
      <c r="BM701" t="s">
        <v>13707</v>
      </c>
      <c r="BN701">
        <v>31151199</v>
      </c>
      <c r="BO701" t="s">
        <v>313</v>
      </c>
      <c r="BP701" t="s">
        <v>74</v>
      </c>
      <c r="BQ701" t="s">
        <v>74</v>
      </c>
      <c r="BR701" t="s">
        <v>103</v>
      </c>
      <c r="BS701" t="s">
        <v>13708</v>
      </c>
      <c r="BT701" t="str">
        <f>HYPERLINK("https%3A%2F%2Fwww.webofscience.com%2Fwos%2Fwoscc%2Ffull-record%2FWOS:000474936700036","View Full Record in Web of Science")</f>
        <v>View Full Record in Web of Science</v>
      </c>
    </row>
    <row r="702" spans="1:72" x14ac:dyDescent="0.15">
      <c r="A702" t="s">
        <v>72</v>
      </c>
      <c r="B702" t="s">
        <v>13709</v>
      </c>
      <c r="C702" t="s">
        <v>74</v>
      </c>
      <c r="D702" t="s">
        <v>74</v>
      </c>
      <c r="E702" t="s">
        <v>74</v>
      </c>
      <c r="F702" t="s">
        <v>13710</v>
      </c>
      <c r="G702" t="s">
        <v>74</v>
      </c>
      <c r="H702" t="s">
        <v>74</v>
      </c>
      <c r="I702" t="s">
        <v>13711</v>
      </c>
      <c r="J702" t="s">
        <v>13712</v>
      </c>
      <c r="K702" t="s">
        <v>74</v>
      </c>
      <c r="L702" t="s">
        <v>74</v>
      </c>
      <c r="M702" t="s">
        <v>78</v>
      </c>
      <c r="N702" t="s">
        <v>108</v>
      </c>
      <c r="O702" t="s">
        <v>74</v>
      </c>
      <c r="P702" t="s">
        <v>74</v>
      </c>
      <c r="Q702" t="s">
        <v>74</v>
      </c>
      <c r="R702" t="s">
        <v>74</v>
      </c>
      <c r="S702" t="s">
        <v>74</v>
      </c>
      <c r="T702" t="s">
        <v>74</v>
      </c>
      <c r="U702" t="s">
        <v>13713</v>
      </c>
      <c r="V702" t="s">
        <v>13714</v>
      </c>
      <c r="W702" t="s">
        <v>13715</v>
      </c>
      <c r="X702" t="s">
        <v>13716</v>
      </c>
      <c r="Y702" t="s">
        <v>13717</v>
      </c>
      <c r="Z702" t="s">
        <v>13718</v>
      </c>
      <c r="AA702" t="s">
        <v>74</v>
      </c>
      <c r="AB702" t="s">
        <v>13719</v>
      </c>
      <c r="AC702" t="s">
        <v>13720</v>
      </c>
      <c r="AD702" t="s">
        <v>13721</v>
      </c>
      <c r="AE702" t="s">
        <v>13722</v>
      </c>
      <c r="AF702" t="s">
        <v>74</v>
      </c>
      <c r="AG702">
        <v>17</v>
      </c>
      <c r="AH702">
        <v>2</v>
      </c>
      <c r="AI702">
        <v>2</v>
      </c>
      <c r="AJ702">
        <v>1</v>
      </c>
      <c r="AK702">
        <v>6</v>
      </c>
      <c r="AL702" t="s">
        <v>154</v>
      </c>
      <c r="AM702" t="s">
        <v>4016</v>
      </c>
      <c r="AN702" t="s">
        <v>4040</v>
      </c>
      <c r="AO702" t="s">
        <v>13723</v>
      </c>
      <c r="AP702" t="s">
        <v>13724</v>
      </c>
      <c r="AQ702" t="s">
        <v>74</v>
      </c>
      <c r="AR702" t="s">
        <v>13725</v>
      </c>
      <c r="AS702" t="s">
        <v>13726</v>
      </c>
      <c r="AT702" t="s">
        <v>6722</v>
      </c>
      <c r="AU702">
        <v>2019</v>
      </c>
      <c r="AV702">
        <v>61</v>
      </c>
      <c r="AW702">
        <v>12</v>
      </c>
      <c r="AX702" t="s">
        <v>74</v>
      </c>
      <c r="AY702" t="s">
        <v>74</v>
      </c>
      <c r="AZ702" t="s">
        <v>74</v>
      </c>
      <c r="BA702" t="s">
        <v>74</v>
      </c>
      <c r="BB702">
        <v>881</v>
      </c>
      <c r="BC702">
        <v>892</v>
      </c>
      <c r="BD702" t="s">
        <v>74</v>
      </c>
      <c r="BE702" t="s">
        <v>13727</v>
      </c>
      <c r="BF702" t="str">
        <f>HYPERLINK("http://dx.doi.org/10.1007/s11141-019-09944-3","http://dx.doi.org/10.1007/s11141-019-09944-3")</f>
        <v>http://dx.doi.org/10.1007/s11141-019-09944-3</v>
      </c>
      <c r="BG702" t="s">
        <v>74</v>
      </c>
      <c r="BH702" t="s">
        <v>74</v>
      </c>
      <c r="BI702">
        <v>12</v>
      </c>
      <c r="BJ702" t="s">
        <v>13728</v>
      </c>
      <c r="BK702" t="s">
        <v>101</v>
      </c>
      <c r="BL702" t="s">
        <v>13729</v>
      </c>
      <c r="BM702" t="s">
        <v>13730</v>
      </c>
      <c r="BN702" t="s">
        <v>74</v>
      </c>
      <c r="BO702" t="s">
        <v>74</v>
      </c>
      <c r="BP702" t="s">
        <v>74</v>
      </c>
      <c r="BQ702" t="s">
        <v>74</v>
      </c>
      <c r="BR702" t="s">
        <v>103</v>
      </c>
      <c r="BS702" t="s">
        <v>13731</v>
      </c>
      <c r="BT702" t="str">
        <f>HYPERLINK("https%3A%2F%2Fwww.webofscience.com%2Fwos%2Fwoscc%2Ffull-record%2FWOS:000475981500002","View Full Record in Web of Science")</f>
        <v>View Full Record in Web of Science</v>
      </c>
    </row>
    <row r="703" spans="1:72" x14ac:dyDescent="0.15">
      <c r="A703" t="s">
        <v>72</v>
      </c>
      <c r="B703" t="s">
        <v>13732</v>
      </c>
      <c r="C703" t="s">
        <v>74</v>
      </c>
      <c r="D703" t="s">
        <v>74</v>
      </c>
      <c r="E703" t="s">
        <v>74</v>
      </c>
      <c r="F703" t="s">
        <v>13733</v>
      </c>
      <c r="G703" t="s">
        <v>74</v>
      </c>
      <c r="H703" t="s">
        <v>74</v>
      </c>
      <c r="I703" t="s">
        <v>13734</v>
      </c>
      <c r="J703" t="s">
        <v>5241</v>
      </c>
      <c r="K703" t="s">
        <v>74</v>
      </c>
      <c r="L703" t="s">
        <v>74</v>
      </c>
      <c r="M703" t="s">
        <v>78</v>
      </c>
      <c r="N703" t="s">
        <v>108</v>
      </c>
      <c r="O703" t="s">
        <v>74</v>
      </c>
      <c r="P703" t="s">
        <v>74</v>
      </c>
      <c r="Q703" t="s">
        <v>74</v>
      </c>
      <c r="R703" t="s">
        <v>74</v>
      </c>
      <c r="S703" t="s">
        <v>74</v>
      </c>
      <c r="T703" t="s">
        <v>13735</v>
      </c>
      <c r="U703" t="s">
        <v>13736</v>
      </c>
      <c r="V703" t="s">
        <v>13737</v>
      </c>
      <c r="W703" t="s">
        <v>13738</v>
      </c>
      <c r="X703" t="s">
        <v>13739</v>
      </c>
      <c r="Y703" t="s">
        <v>13740</v>
      </c>
      <c r="Z703" t="s">
        <v>13741</v>
      </c>
      <c r="AA703" t="s">
        <v>13742</v>
      </c>
      <c r="AB703" t="s">
        <v>13743</v>
      </c>
      <c r="AC703" t="s">
        <v>13744</v>
      </c>
      <c r="AD703" t="s">
        <v>13745</v>
      </c>
      <c r="AE703" t="s">
        <v>13746</v>
      </c>
      <c r="AF703" t="s">
        <v>74</v>
      </c>
      <c r="AG703">
        <v>83</v>
      </c>
      <c r="AH703">
        <v>37</v>
      </c>
      <c r="AI703">
        <v>39</v>
      </c>
      <c r="AJ703">
        <v>1</v>
      </c>
      <c r="AK703">
        <v>38</v>
      </c>
      <c r="AL703" t="s">
        <v>92</v>
      </c>
      <c r="AM703" t="s">
        <v>93</v>
      </c>
      <c r="AN703" t="s">
        <v>94</v>
      </c>
      <c r="AO703" t="s">
        <v>5254</v>
      </c>
      <c r="AP703" t="s">
        <v>5255</v>
      </c>
      <c r="AQ703" t="s">
        <v>74</v>
      </c>
      <c r="AR703" t="s">
        <v>5256</v>
      </c>
      <c r="AS703" t="s">
        <v>5257</v>
      </c>
      <c r="AT703" t="s">
        <v>6722</v>
      </c>
      <c r="AU703">
        <v>2019</v>
      </c>
      <c r="AV703">
        <v>148</v>
      </c>
      <c r="AW703" t="s">
        <v>74</v>
      </c>
      <c r="AX703" t="s">
        <v>74</v>
      </c>
      <c r="AY703" t="s">
        <v>74</v>
      </c>
      <c r="AZ703" t="s">
        <v>74</v>
      </c>
      <c r="BA703" t="s">
        <v>74</v>
      </c>
      <c r="BB703">
        <v>1</v>
      </c>
      <c r="BC703">
        <v>11</v>
      </c>
      <c r="BD703" t="s">
        <v>74</v>
      </c>
      <c r="BE703" t="s">
        <v>13747</v>
      </c>
      <c r="BF703" t="str">
        <f>HYPERLINK("http://dx.doi.org/10.1016/j.dsr.2019.04.007","http://dx.doi.org/10.1016/j.dsr.2019.04.007")</f>
        <v>http://dx.doi.org/10.1016/j.dsr.2019.04.007</v>
      </c>
      <c r="BG703" t="s">
        <v>74</v>
      </c>
      <c r="BH703" t="s">
        <v>74</v>
      </c>
      <c r="BI703">
        <v>11</v>
      </c>
      <c r="BJ703" t="s">
        <v>100</v>
      </c>
      <c r="BK703" t="s">
        <v>101</v>
      </c>
      <c r="BL703" t="s">
        <v>100</v>
      </c>
      <c r="BM703" t="s">
        <v>13748</v>
      </c>
      <c r="BN703" t="s">
        <v>74</v>
      </c>
      <c r="BO703" t="s">
        <v>164</v>
      </c>
      <c r="BP703" t="s">
        <v>74</v>
      </c>
      <c r="BQ703" t="s">
        <v>74</v>
      </c>
      <c r="BR703" t="s">
        <v>103</v>
      </c>
      <c r="BS703" t="s">
        <v>13749</v>
      </c>
      <c r="BT703" t="str">
        <f>HYPERLINK("https%3A%2F%2Fwww.webofscience.com%2Fwos%2Fwoscc%2Ffull-record%2FWOS:000474327000001","View Full Record in Web of Science")</f>
        <v>View Full Record in Web of Science</v>
      </c>
    </row>
    <row r="704" spans="1:72" x14ac:dyDescent="0.15">
      <c r="A704" t="s">
        <v>72</v>
      </c>
      <c r="B704" t="s">
        <v>13750</v>
      </c>
      <c r="C704" t="s">
        <v>74</v>
      </c>
      <c r="D704" t="s">
        <v>74</v>
      </c>
      <c r="E704" t="s">
        <v>74</v>
      </c>
      <c r="F704" t="s">
        <v>13751</v>
      </c>
      <c r="G704" t="s">
        <v>74</v>
      </c>
      <c r="H704" t="s">
        <v>74</v>
      </c>
      <c r="I704" t="s">
        <v>13752</v>
      </c>
      <c r="J704" t="s">
        <v>5241</v>
      </c>
      <c r="K704" t="s">
        <v>74</v>
      </c>
      <c r="L704" t="s">
        <v>74</v>
      </c>
      <c r="M704" t="s">
        <v>78</v>
      </c>
      <c r="N704" t="s">
        <v>108</v>
      </c>
      <c r="O704" t="s">
        <v>74</v>
      </c>
      <c r="P704" t="s">
        <v>74</v>
      </c>
      <c r="Q704" t="s">
        <v>74</v>
      </c>
      <c r="R704" t="s">
        <v>74</v>
      </c>
      <c r="S704" t="s">
        <v>74</v>
      </c>
      <c r="T704" t="s">
        <v>13753</v>
      </c>
      <c r="U704" t="s">
        <v>13754</v>
      </c>
      <c r="V704" t="s">
        <v>13755</v>
      </c>
      <c r="W704" t="s">
        <v>13756</v>
      </c>
      <c r="X704" t="s">
        <v>13757</v>
      </c>
      <c r="Y704" t="s">
        <v>13758</v>
      </c>
      <c r="Z704" t="s">
        <v>13759</v>
      </c>
      <c r="AA704" t="s">
        <v>13760</v>
      </c>
      <c r="AB704" t="s">
        <v>13761</v>
      </c>
      <c r="AC704" t="s">
        <v>13762</v>
      </c>
      <c r="AD704" t="s">
        <v>13763</v>
      </c>
      <c r="AE704" t="s">
        <v>13764</v>
      </c>
      <c r="AF704" t="s">
        <v>74</v>
      </c>
      <c r="AG704">
        <v>64</v>
      </c>
      <c r="AH704">
        <v>13</v>
      </c>
      <c r="AI704">
        <v>15</v>
      </c>
      <c r="AJ704">
        <v>4</v>
      </c>
      <c r="AK704">
        <v>26</v>
      </c>
      <c r="AL704" t="s">
        <v>92</v>
      </c>
      <c r="AM704" t="s">
        <v>93</v>
      </c>
      <c r="AN704" t="s">
        <v>94</v>
      </c>
      <c r="AO704" t="s">
        <v>5254</v>
      </c>
      <c r="AP704" t="s">
        <v>5255</v>
      </c>
      <c r="AQ704" t="s">
        <v>74</v>
      </c>
      <c r="AR704" t="s">
        <v>5256</v>
      </c>
      <c r="AS704" t="s">
        <v>5257</v>
      </c>
      <c r="AT704" t="s">
        <v>6722</v>
      </c>
      <c r="AU704">
        <v>2019</v>
      </c>
      <c r="AV704">
        <v>148</v>
      </c>
      <c r="AW704" t="s">
        <v>74</v>
      </c>
      <c r="AX704" t="s">
        <v>74</v>
      </c>
      <c r="AY704" t="s">
        <v>74</v>
      </c>
      <c r="AZ704" t="s">
        <v>74</v>
      </c>
      <c r="BA704" t="s">
        <v>74</v>
      </c>
      <c r="BB704">
        <v>34</v>
      </c>
      <c r="BC704">
        <v>52</v>
      </c>
      <c r="BD704" t="s">
        <v>74</v>
      </c>
      <c r="BE704" t="s">
        <v>13765</v>
      </c>
      <c r="BF704" t="str">
        <f>HYPERLINK("http://dx.doi.org/10.1016/j.dsr.2019.04.010","http://dx.doi.org/10.1016/j.dsr.2019.04.010")</f>
        <v>http://dx.doi.org/10.1016/j.dsr.2019.04.010</v>
      </c>
      <c r="BG704" t="s">
        <v>74</v>
      </c>
      <c r="BH704" t="s">
        <v>74</v>
      </c>
      <c r="BI704">
        <v>19</v>
      </c>
      <c r="BJ704" t="s">
        <v>100</v>
      </c>
      <c r="BK704" t="s">
        <v>101</v>
      </c>
      <c r="BL704" t="s">
        <v>100</v>
      </c>
      <c r="BM704" t="s">
        <v>13748</v>
      </c>
      <c r="BN704" t="s">
        <v>74</v>
      </c>
      <c r="BO704" t="s">
        <v>984</v>
      </c>
      <c r="BP704" t="s">
        <v>74</v>
      </c>
      <c r="BQ704" t="s">
        <v>74</v>
      </c>
      <c r="BR704" t="s">
        <v>103</v>
      </c>
      <c r="BS704" t="s">
        <v>13766</v>
      </c>
      <c r="BT704" t="str">
        <f>HYPERLINK("https%3A%2F%2Fwww.webofscience.com%2Fwos%2Fwoscc%2Ffull-record%2FWOS:000474327000004","View Full Record in Web of Science")</f>
        <v>View Full Record in Web of Science</v>
      </c>
    </row>
    <row r="705" spans="1:72" x14ac:dyDescent="0.15">
      <c r="A705" t="s">
        <v>72</v>
      </c>
      <c r="B705" t="s">
        <v>13767</v>
      </c>
      <c r="C705" t="s">
        <v>74</v>
      </c>
      <c r="D705" t="s">
        <v>74</v>
      </c>
      <c r="E705" t="s">
        <v>74</v>
      </c>
      <c r="F705" t="s">
        <v>13768</v>
      </c>
      <c r="G705" t="s">
        <v>74</v>
      </c>
      <c r="H705" t="s">
        <v>74</v>
      </c>
      <c r="I705" t="s">
        <v>13769</v>
      </c>
      <c r="J705" t="s">
        <v>5241</v>
      </c>
      <c r="K705" t="s">
        <v>74</v>
      </c>
      <c r="L705" t="s">
        <v>74</v>
      </c>
      <c r="M705" t="s">
        <v>78</v>
      </c>
      <c r="N705" t="s">
        <v>108</v>
      </c>
      <c r="O705" t="s">
        <v>74</v>
      </c>
      <c r="P705" t="s">
        <v>74</v>
      </c>
      <c r="Q705" t="s">
        <v>74</v>
      </c>
      <c r="R705" t="s">
        <v>74</v>
      </c>
      <c r="S705" t="s">
        <v>74</v>
      </c>
      <c r="T705" t="s">
        <v>13770</v>
      </c>
      <c r="U705" t="s">
        <v>13771</v>
      </c>
      <c r="V705" t="s">
        <v>13772</v>
      </c>
      <c r="W705" t="s">
        <v>13773</v>
      </c>
      <c r="X705" t="s">
        <v>13774</v>
      </c>
      <c r="Y705" t="s">
        <v>13775</v>
      </c>
      <c r="Z705" t="s">
        <v>13776</v>
      </c>
      <c r="AA705" t="s">
        <v>13777</v>
      </c>
      <c r="AB705" t="s">
        <v>13778</v>
      </c>
      <c r="AC705" t="s">
        <v>13779</v>
      </c>
      <c r="AD705" t="s">
        <v>8999</v>
      </c>
      <c r="AE705" t="s">
        <v>13780</v>
      </c>
      <c r="AF705" t="s">
        <v>74</v>
      </c>
      <c r="AG705">
        <v>74</v>
      </c>
      <c r="AH705">
        <v>9</v>
      </c>
      <c r="AI705">
        <v>10</v>
      </c>
      <c r="AJ705">
        <v>0</v>
      </c>
      <c r="AK705">
        <v>11</v>
      </c>
      <c r="AL705" t="s">
        <v>92</v>
      </c>
      <c r="AM705" t="s">
        <v>93</v>
      </c>
      <c r="AN705" t="s">
        <v>94</v>
      </c>
      <c r="AO705" t="s">
        <v>5254</v>
      </c>
      <c r="AP705" t="s">
        <v>5255</v>
      </c>
      <c r="AQ705" t="s">
        <v>74</v>
      </c>
      <c r="AR705" t="s">
        <v>5256</v>
      </c>
      <c r="AS705" t="s">
        <v>5257</v>
      </c>
      <c r="AT705" t="s">
        <v>6722</v>
      </c>
      <c r="AU705">
        <v>2019</v>
      </c>
      <c r="AV705">
        <v>148</v>
      </c>
      <c r="AW705" t="s">
        <v>74</v>
      </c>
      <c r="AX705" t="s">
        <v>74</v>
      </c>
      <c r="AY705" t="s">
        <v>74</v>
      </c>
      <c r="AZ705" t="s">
        <v>74</v>
      </c>
      <c r="BA705" t="s">
        <v>74</v>
      </c>
      <c r="BB705">
        <v>132</v>
      </c>
      <c r="BC705">
        <v>142</v>
      </c>
      <c r="BD705" t="s">
        <v>74</v>
      </c>
      <c r="BE705" t="s">
        <v>13781</v>
      </c>
      <c r="BF705" t="str">
        <f>HYPERLINK("http://dx.doi.org/10.1016/j.dsr.2019.05.001","http://dx.doi.org/10.1016/j.dsr.2019.05.001")</f>
        <v>http://dx.doi.org/10.1016/j.dsr.2019.05.001</v>
      </c>
      <c r="BG705" t="s">
        <v>74</v>
      </c>
      <c r="BH705" t="s">
        <v>74</v>
      </c>
      <c r="BI705">
        <v>11</v>
      </c>
      <c r="BJ705" t="s">
        <v>100</v>
      </c>
      <c r="BK705" t="s">
        <v>101</v>
      </c>
      <c r="BL705" t="s">
        <v>100</v>
      </c>
      <c r="BM705" t="s">
        <v>13748</v>
      </c>
      <c r="BN705" t="s">
        <v>74</v>
      </c>
      <c r="BO705" t="s">
        <v>164</v>
      </c>
      <c r="BP705" t="s">
        <v>74</v>
      </c>
      <c r="BQ705" t="s">
        <v>74</v>
      </c>
      <c r="BR705" t="s">
        <v>103</v>
      </c>
      <c r="BS705" t="s">
        <v>13782</v>
      </c>
      <c r="BT705" t="str">
        <f>HYPERLINK("https%3A%2F%2Fwww.webofscience.com%2Fwos%2Fwoscc%2Ffull-record%2FWOS:000474327000012","View Full Record in Web of Science")</f>
        <v>View Full Record in Web of Science</v>
      </c>
    </row>
    <row r="706" spans="1:72" x14ac:dyDescent="0.15">
      <c r="A706" t="s">
        <v>72</v>
      </c>
      <c r="B706" t="s">
        <v>13783</v>
      </c>
      <c r="C706" t="s">
        <v>74</v>
      </c>
      <c r="D706" t="s">
        <v>74</v>
      </c>
      <c r="E706" t="s">
        <v>74</v>
      </c>
      <c r="F706" t="s">
        <v>13784</v>
      </c>
      <c r="G706" t="s">
        <v>74</v>
      </c>
      <c r="H706" t="s">
        <v>74</v>
      </c>
      <c r="I706" t="s">
        <v>13785</v>
      </c>
      <c r="J706" t="s">
        <v>3300</v>
      </c>
      <c r="K706" t="s">
        <v>74</v>
      </c>
      <c r="L706" t="s">
        <v>74</v>
      </c>
      <c r="M706" t="s">
        <v>78</v>
      </c>
      <c r="N706" t="s">
        <v>108</v>
      </c>
      <c r="O706" t="s">
        <v>74</v>
      </c>
      <c r="P706" t="s">
        <v>74</v>
      </c>
      <c r="Q706" t="s">
        <v>74</v>
      </c>
      <c r="R706" t="s">
        <v>74</v>
      </c>
      <c r="S706" t="s">
        <v>74</v>
      </c>
      <c r="T706" t="s">
        <v>13786</v>
      </c>
      <c r="U706" t="s">
        <v>13787</v>
      </c>
      <c r="V706" t="s">
        <v>13788</v>
      </c>
      <c r="W706" t="s">
        <v>13789</v>
      </c>
      <c r="X706" t="s">
        <v>13790</v>
      </c>
      <c r="Y706" t="s">
        <v>13791</v>
      </c>
      <c r="Z706" t="s">
        <v>13792</v>
      </c>
      <c r="AA706" t="s">
        <v>74</v>
      </c>
      <c r="AB706" t="s">
        <v>13793</v>
      </c>
      <c r="AC706" t="s">
        <v>13794</v>
      </c>
      <c r="AD706" t="s">
        <v>13795</v>
      </c>
      <c r="AE706" t="s">
        <v>13796</v>
      </c>
      <c r="AF706" t="s">
        <v>74</v>
      </c>
      <c r="AG706">
        <v>56</v>
      </c>
      <c r="AH706">
        <v>14</v>
      </c>
      <c r="AI706">
        <v>15</v>
      </c>
      <c r="AJ706">
        <v>0</v>
      </c>
      <c r="AK706">
        <v>7</v>
      </c>
      <c r="AL706" t="s">
        <v>182</v>
      </c>
      <c r="AM706" t="s">
        <v>183</v>
      </c>
      <c r="AN706" t="s">
        <v>184</v>
      </c>
      <c r="AO706" t="s">
        <v>3313</v>
      </c>
      <c r="AP706" t="s">
        <v>3314</v>
      </c>
      <c r="AQ706" t="s">
        <v>74</v>
      </c>
      <c r="AR706" t="s">
        <v>3315</v>
      </c>
      <c r="AS706" t="s">
        <v>3316</v>
      </c>
      <c r="AT706" t="s">
        <v>6722</v>
      </c>
      <c r="AU706">
        <v>2019</v>
      </c>
      <c r="AV706">
        <v>33</v>
      </c>
      <c r="AW706">
        <v>6</v>
      </c>
      <c r="AX706" t="s">
        <v>74</v>
      </c>
      <c r="AY706" t="s">
        <v>74</v>
      </c>
      <c r="AZ706" t="s">
        <v>74</v>
      </c>
      <c r="BA706" t="s">
        <v>74</v>
      </c>
      <c r="BB706">
        <v>749</v>
      </c>
      <c r="BC706">
        <v>760</v>
      </c>
      <c r="BD706" t="s">
        <v>74</v>
      </c>
      <c r="BE706" t="s">
        <v>13797</v>
      </c>
      <c r="BF706" t="str">
        <f>HYPERLINK("http://dx.doi.org/10.1029/2019GB006223","http://dx.doi.org/10.1029/2019GB006223")</f>
        <v>http://dx.doi.org/10.1029/2019GB006223</v>
      </c>
      <c r="BG706" t="s">
        <v>74</v>
      </c>
      <c r="BH706" t="s">
        <v>74</v>
      </c>
      <c r="BI706">
        <v>12</v>
      </c>
      <c r="BJ706" t="s">
        <v>3318</v>
      </c>
      <c r="BK706" t="s">
        <v>101</v>
      </c>
      <c r="BL706" t="s">
        <v>3319</v>
      </c>
      <c r="BM706" t="s">
        <v>13798</v>
      </c>
      <c r="BN706" t="s">
        <v>74</v>
      </c>
      <c r="BO706" t="s">
        <v>164</v>
      </c>
      <c r="BP706" t="s">
        <v>74</v>
      </c>
      <c r="BQ706" t="s">
        <v>74</v>
      </c>
      <c r="BR706" t="s">
        <v>103</v>
      </c>
      <c r="BS706" t="s">
        <v>13799</v>
      </c>
      <c r="BT706" t="str">
        <f>HYPERLINK("https%3A%2F%2Fwww.webofscience.com%2Fwos%2Fwoscc%2Ffull-record%2FWOS:000474839000007","View Full Record in Web of Science")</f>
        <v>View Full Record in Web of Science</v>
      </c>
    </row>
    <row r="707" spans="1:72" x14ac:dyDescent="0.15">
      <c r="A707" t="s">
        <v>72</v>
      </c>
      <c r="B707" t="s">
        <v>13800</v>
      </c>
      <c r="C707" t="s">
        <v>74</v>
      </c>
      <c r="D707" t="s">
        <v>74</v>
      </c>
      <c r="E707" t="s">
        <v>74</v>
      </c>
      <c r="F707" t="s">
        <v>13801</v>
      </c>
      <c r="G707" t="s">
        <v>74</v>
      </c>
      <c r="H707" t="s">
        <v>74</v>
      </c>
      <c r="I707" t="s">
        <v>13802</v>
      </c>
      <c r="J707" t="s">
        <v>13803</v>
      </c>
      <c r="K707" t="s">
        <v>74</v>
      </c>
      <c r="L707" t="s">
        <v>74</v>
      </c>
      <c r="M707" t="s">
        <v>78</v>
      </c>
      <c r="N707" t="s">
        <v>108</v>
      </c>
      <c r="O707" t="s">
        <v>74</v>
      </c>
      <c r="P707" t="s">
        <v>74</v>
      </c>
      <c r="Q707" t="s">
        <v>74</v>
      </c>
      <c r="R707" t="s">
        <v>74</v>
      </c>
      <c r="S707" t="s">
        <v>74</v>
      </c>
      <c r="T707" t="s">
        <v>13804</v>
      </c>
      <c r="U707" t="s">
        <v>13805</v>
      </c>
      <c r="V707" t="s">
        <v>13806</v>
      </c>
      <c r="W707" t="s">
        <v>13807</v>
      </c>
      <c r="X707" t="s">
        <v>13808</v>
      </c>
      <c r="Y707" t="s">
        <v>13809</v>
      </c>
      <c r="Z707" t="s">
        <v>13810</v>
      </c>
      <c r="AA707" t="s">
        <v>13811</v>
      </c>
      <c r="AB707" t="s">
        <v>13812</v>
      </c>
      <c r="AC707" t="s">
        <v>13813</v>
      </c>
      <c r="AD707" t="s">
        <v>3082</v>
      </c>
      <c r="AE707" t="s">
        <v>13814</v>
      </c>
      <c r="AF707" t="s">
        <v>74</v>
      </c>
      <c r="AG707">
        <v>74</v>
      </c>
      <c r="AH707">
        <v>16</v>
      </c>
      <c r="AI707">
        <v>21</v>
      </c>
      <c r="AJ707">
        <v>1</v>
      </c>
      <c r="AK707">
        <v>9</v>
      </c>
      <c r="AL707" t="s">
        <v>3615</v>
      </c>
      <c r="AM707" t="s">
        <v>3616</v>
      </c>
      <c r="AN707" t="s">
        <v>3617</v>
      </c>
      <c r="AO707" t="s">
        <v>13815</v>
      </c>
      <c r="AP707" t="s">
        <v>74</v>
      </c>
      <c r="AQ707" t="s">
        <v>74</v>
      </c>
      <c r="AR707" t="s">
        <v>13816</v>
      </c>
      <c r="AS707" t="s">
        <v>13817</v>
      </c>
      <c r="AT707" t="s">
        <v>6722</v>
      </c>
      <c r="AU707">
        <v>2019</v>
      </c>
      <c r="AV707">
        <v>6</v>
      </c>
      <c r="AW707">
        <v>2</v>
      </c>
      <c r="AX707" t="s">
        <v>74</v>
      </c>
      <c r="AY707" t="s">
        <v>74</v>
      </c>
      <c r="AZ707" t="s">
        <v>74</v>
      </c>
      <c r="BA707" t="s">
        <v>74</v>
      </c>
      <c r="BB707" t="s">
        <v>74</v>
      </c>
      <c r="BC707" t="s">
        <v>74</v>
      </c>
      <c r="BD707">
        <v>54</v>
      </c>
      <c r="BE707" t="s">
        <v>13818</v>
      </c>
      <c r="BF707" t="str">
        <f>HYPERLINK("http://dx.doi.org/10.3390/hydrology6020054","http://dx.doi.org/10.3390/hydrology6020054")</f>
        <v>http://dx.doi.org/10.3390/hydrology6020054</v>
      </c>
      <c r="BG707" t="s">
        <v>74</v>
      </c>
      <c r="BH707" t="s">
        <v>74</v>
      </c>
      <c r="BI707">
        <v>15</v>
      </c>
      <c r="BJ707" t="s">
        <v>8163</v>
      </c>
      <c r="BK707" t="s">
        <v>2978</v>
      </c>
      <c r="BL707" t="s">
        <v>8163</v>
      </c>
      <c r="BM707" t="s">
        <v>13819</v>
      </c>
      <c r="BN707" t="s">
        <v>74</v>
      </c>
      <c r="BO707" t="s">
        <v>331</v>
      </c>
      <c r="BP707" t="s">
        <v>74</v>
      </c>
      <c r="BQ707" t="s">
        <v>74</v>
      </c>
      <c r="BR707" t="s">
        <v>103</v>
      </c>
      <c r="BS707" t="s">
        <v>13820</v>
      </c>
      <c r="BT707" t="str">
        <f>HYPERLINK("https%3A%2F%2Fwww.webofscience.com%2Fwos%2Fwoscc%2Ffull-record%2FWOS:000474247900026","View Full Record in Web of Science")</f>
        <v>View Full Record in Web of Science</v>
      </c>
    </row>
    <row r="708" spans="1:72" x14ac:dyDescent="0.15">
      <c r="A708" t="s">
        <v>72</v>
      </c>
      <c r="B708" t="s">
        <v>13821</v>
      </c>
      <c r="C708" t="s">
        <v>74</v>
      </c>
      <c r="D708" t="s">
        <v>74</v>
      </c>
      <c r="E708" t="s">
        <v>74</v>
      </c>
      <c r="F708" t="s">
        <v>13822</v>
      </c>
      <c r="G708" t="s">
        <v>74</v>
      </c>
      <c r="H708" t="s">
        <v>74</v>
      </c>
      <c r="I708" t="s">
        <v>13823</v>
      </c>
      <c r="J708" t="s">
        <v>13824</v>
      </c>
      <c r="K708" t="s">
        <v>74</v>
      </c>
      <c r="L708" t="s">
        <v>74</v>
      </c>
      <c r="M708" t="s">
        <v>78</v>
      </c>
      <c r="N708" t="s">
        <v>108</v>
      </c>
      <c r="O708" t="s">
        <v>74</v>
      </c>
      <c r="P708" t="s">
        <v>74</v>
      </c>
      <c r="Q708" t="s">
        <v>74</v>
      </c>
      <c r="R708" t="s">
        <v>74</v>
      </c>
      <c r="S708" t="s">
        <v>74</v>
      </c>
      <c r="T708" t="s">
        <v>13825</v>
      </c>
      <c r="U708" t="s">
        <v>13826</v>
      </c>
      <c r="V708" t="s">
        <v>13827</v>
      </c>
      <c r="W708" t="s">
        <v>13828</v>
      </c>
      <c r="X708" t="s">
        <v>13829</v>
      </c>
      <c r="Y708" t="s">
        <v>13830</v>
      </c>
      <c r="Z708" t="s">
        <v>13831</v>
      </c>
      <c r="AA708" t="s">
        <v>74</v>
      </c>
      <c r="AB708" t="s">
        <v>74</v>
      </c>
      <c r="AC708" t="s">
        <v>13832</v>
      </c>
      <c r="AD708" t="s">
        <v>13833</v>
      </c>
      <c r="AE708" t="s">
        <v>13834</v>
      </c>
      <c r="AF708" t="s">
        <v>74</v>
      </c>
      <c r="AG708">
        <v>26</v>
      </c>
      <c r="AH708">
        <v>19</v>
      </c>
      <c r="AI708">
        <v>23</v>
      </c>
      <c r="AJ708">
        <v>4</v>
      </c>
      <c r="AK708">
        <v>17</v>
      </c>
      <c r="AL708" t="s">
        <v>2396</v>
      </c>
      <c r="AM708" t="s">
        <v>2397</v>
      </c>
      <c r="AN708" t="s">
        <v>2398</v>
      </c>
      <c r="AO708" t="s">
        <v>13835</v>
      </c>
      <c r="AP708" t="s">
        <v>13836</v>
      </c>
      <c r="AQ708" t="s">
        <v>74</v>
      </c>
      <c r="AR708" t="s">
        <v>13837</v>
      </c>
      <c r="AS708" t="s">
        <v>13838</v>
      </c>
      <c r="AT708" t="s">
        <v>6722</v>
      </c>
      <c r="AU708">
        <v>2019</v>
      </c>
      <c r="AV708">
        <v>33</v>
      </c>
      <c r="AW708">
        <v>3</v>
      </c>
      <c r="AX708" t="s">
        <v>74</v>
      </c>
      <c r="AY708" t="s">
        <v>74</v>
      </c>
      <c r="AZ708" t="s">
        <v>74</v>
      </c>
      <c r="BA708" t="s">
        <v>74</v>
      </c>
      <c r="BB708">
        <v>563</v>
      </c>
      <c r="BC708">
        <v>575</v>
      </c>
      <c r="BD708" t="s">
        <v>74</v>
      </c>
      <c r="BE708" t="s">
        <v>13839</v>
      </c>
      <c r="BF708" t="str">
        <f>HYPERLINK("http://dx.doi.org/10.1007/s13351-019-8129-7","http://dx.doi.org/10.1007/s13351-019-8129-7")</f>
        <v>http://dx.doi.org/10.1007/s13351-019-8129-7</v>
      </c>
      <c r="BG708" t="s">
        <v>74</v>
      </c>
      <c r="BH708" t="s">
        <v>74</v>
      </c>
      <c r="BI708">
        <v>13</v>
      </c>
      <c r="BJ708" t="s">
        <v>259</v>
      </c>
      <c r="BK708" t="s">
        <v>101</v>
      </c>
      <c r="BL708" t="s">
        <v>259</v>
      </c>
      <c r="BM708" t="s">
        <v>13840</v>
      </c>
      <c r="BN708" t="s">
        <v>74</v>
      </c>
      <c r="BO708" t="s">
        <v>537</v>
      </c>
      <c r="BP708" t="s">
        <v>74</v>
      </c>
      <c r="BQ708" t="s">
        <v>74</v>
      </c>
      <c r="BR708" t="s">
        <v>103</v>
      </c>
      <c r="BS708" t="s">
        <v>13841</v>
      </c>
      <c r="BT708" t="str">
        <f>HYPERLINK("https%3A%2F%2Fwww.webofscience.com%2Fwos%2Fwoscc%2Ffull-record%2FWOS:000474446000014","View Full Record in Web of Science")</f>
        <v>View Full Record in Web of Science</v>
      </c>
    </row>
    <row r="709" spans="1:72" x14ac:dyDescent="0.15">
      <c r="A709" t="s">
        <v>72</v>
      </c>
      <c r="B709" t="s">
        <v>13842</v>
      </c>
      <c r="C709" t="s">
        <v>74</v>
      </c>
      <c r="D709" t="s">
        <v>74</v>
      </c>
      <c r="E709" t="s">
        <v>74</v>
      </c>
      <c r="F709" t="s">
        <v>13843</v>
      </c>
      <c r="G709" t="s">
        <v>74</v>
      </c>
      <c r="H709" t="s">
        <v>74</v>
      </c>
      <c r="I709" t="s">
        <v>13844</v>
      </c>
      <c r="J709" t="s">
        <v>13824</v>
      </c>
      <c r="K709" t="s">
        <v>74</v>
      </c>
      <c r="L709" t="s">
        <v>74</v>
      </c>
      <c r="M709" t="s">
        <v>78</v>
      </c>
      <c r="N709" t="s">
        <v>1083</v>
      </c>
      <c r="O709" t="s">
        <v>74</v>
      </c>
      <c r="P709" t="s">
        <v>74</v>
      </c>
      <c r="Q709" t="s">
        <v>74</v>
      </c>
      <c r="R709" t="s">
        <v>74</v>
      </c>
      <c r="S709" t="s">
        <v>74</v>
      </c>
      <c r="T709" t="s">
        <v>74</v>
      </c>
      <c r="U709" t="s">
        <v>74</v>
      </c>
      <c r="V709" t="s">
        <v>74</v>
      </c>
      <c r="W709" t="s">
        <v>13845</v>
      </c>
      <c r="X709" t="s">
        <v>13846</v>
      </c>
      <c r="Y709" t="s">
        <v>13847</v>
      </c>
      <c r="Z709" t="s">
        <v>13848</v>
      </c>
      <c r="AA709" t="s">
        <v>13849</v>
      </c>
      <c r="AB709" t="s">
        <v>74</v>
      </c>
      <c r="AC709" t="s">
        <v>74</v>
      </c>
      <c r="AD709" t="s">
        <v>74</v>
      </c>
      <c r="AE709" t="s">
        <v>74</v>
      </c>
      <c r="AF709" t="s">
        <v>74</v>
      </c>
      <c r="AG709">
        <v>2</v>
      </c>
      <c r="AH709">
        <v>1</v>
      </c>
      <c r="AI709">
        <v>1</v>
      </c>
      <c r="AJ709">
        <v>0</v>
      </c>
      <c r="AK709">
        <v>0</v>
      </c>
      <c r="AL709" t="s">
        <v>2396</v>
      </c>
      <c r="AM709" t="s">
        <v>2397</v>
      </c>
      <c r="AN709" t="s">
        <v>2398</v>
      </c>
      <c r="AO709" t="s">
        <v>13835</v>
      </c>
      <c r="AP709" t="s">
        <v>13836</v>
      </c>
      <c r="AQ709" t="s">
        <v>74</v>
      </c>
      <c r="AR709" t="s">
        <v>13837</v>
      </c>
      <c r="AS709" t="s">
        <v>13838</v>
      </c>
      <c r="AT709" t="s">
        <v>6722</v>
      </c>
      <c r="AU709">
        <v>2019</v>
      </c>
      <c r="AV709">
        <v>33</v>
      </c>
      <c r="AW709">
        <v>3</v>
      </c>
      <c r="AX709" t="s">
        <v>74</v>
      </c>
      <c r="AY709" t="s">
        <v>74</v>
      </c>
      <c r="AZ709" t="s">
        <v>74</v>
      </c>
      <c r="BA709" t="s">
        <v>74</v>
      </c>
      <c r="BB709">
        <v>576</v>
      </c>
      <c r="BC709">
        <v>576</v>
      </c>
      <c r="BD709" t="s">
        <v>74</v>
      </c>
      <c r="BE709" t="s">
        <v>13850</v>
      </c>
      <c r="BF709" t="str">
        <f>HYPERLINK("http://dx.doi.org/10.1007/s13351-019-8067-4","http://dx.doi.org/10.1007/s13351-019-8067-4")</f>
        <v>http://dx.doi.org/10.1007/s13351-019-8067-4</v>
      </c>
      <c r="BG709" t="s">
        <v>74</v>
      </c>
      <c r="BH709" t="s">
        <v>74</v>
      </c>
      <c r="BI709">
        <v>1</v>
      </c>
      <c r="BJ709" t="s">
        <v>259</v>
      </c>
      <c r="BK709" t="s">
        <v>101</v>
      </c>
      <c r="BL709" t="s">
        <v>259</v>
      </c>
      <c r="BM709" t="s">
        <v>13840</v>
      </c>
      <c r="BN709" t="s">
        <v>74</v>
      </c>
      <c r="BO709" t="s">
        <v>537</v>
      </c>
      <c r="BP709" t="s">
        <v>74</v>
      </c>
      <c r="BQ709" t="s">
        <v>74</v>
      </c>
      <c r="BR709" t="s">
        <v>103</v>
      </c>
      <c r="BS709" t="s">
        <v>13851</v>
      </c>
      <c r="BT709" t="str">
        <f>HYPERLINK("https%3A%2F%2Fwww.webofscience.com%2Fwos%2Fwoscc%2Ffull-record%2FWOS:000474446000015","View Full Record in Web of Science")</f>
        <v>View Full Record in Web of Science</v>
      </c>
    </row>
    <row r="710" spans="1:72" x14ac:dyDescent="0.15">
      <c r="A710" t="s">
        <v>72</v>
      </c>
      <c r="B710" t="s">
        <v>13852</v>
      </c>
      <c r="C710" t="s">
        <v>74</v>
      </c>
      <c r="D710" t="s">
        <v>74</v>
      </c>
      <c r="E710" t="s">
        <v>74</v>
      </c>
      <c r="F710" t="s">
        <v>13853</v>
      </c>
      <c r="G710" t="s">
        <v>74</v>
      </c>
      <c r="H710" t="s">
        <v>74</v>
      </c>
      <c r="I710" t="s">
        <v>13854</v>
      </c>
      <c r="J710" t="s">
        <v>13855</v>
      </c>
      <c r="K710" t="s">
        <v>74</v>
      </c>
      <c r="L710" t="s">
        <v>74</v>
      </c>
      <c r="M710" t="s">
        <v>78</v>
      </c>
      <c r="N710" t="s">
        <v>108</v>
      </c>
      <c r="O710" t="s">
        <v>74</v>
      </c>
      <c r="P710" t="s">
        <v>74</v>
      </c>
      <c r="Q710" t="s">
        <v>74</v>
      </c>
      <c r="R710" t="s">
        <v>74</v>
      </c>
      <c r="S710" t="s">
        <v>74</v>
      </c>
      <c r="T710" t="s">
        <v>13856</v>
      </c>
      <c r="U710" t="s">
        <v>13857</v>
      </c>
      <c r="V710" t="s">
        <v>13858</v>
      </c>
      <c r="W710" t="s">
        <v>13859</v>
      </c>
      <c r="X710" t="s">
        <v>13860</v>
      </c>
      <c r="Y710" t="s">
        <v>13861</v>
      </c>
      <c r="Z710" t="s">
        <v>13862</v>
      </c>
      <c r="AA710" t="s">
        <v>13863</v>
      </c>
      <c r="AB710" t="s">
        <v>74</v>
      </c>
      <c r="AC710" t="s">
        <v>13864</v>
      </c>
      <c r="AD710" t="s">
        <v>13865</v>
      </c>
      <c r="AE710" t="s">
        <v>13866</v>
      </c>
      <c r="AF710" t="s">
        <v>74</v>
      </c>
      <c r="AG710">
        <v>52</v>
      </c>
      <c r="AH710">
        <v>2</v>
      </c>
      <c r="AI710">
        <v>2</v>
      </c>
      <c r="AJ710">
        <v>1</v>
      </c>
      <c r="AK710">
        <v>12</v>
      </c>
      <c r="AL710" t="s">
        <v>302</v>
      </c>
      <c r="AM710" t="s">
        <v>4016</v>
      </c>
      <c r="AN710" t="s">
        <v>4542</v>
      </c>
      <c r="AO710" t="s">
        <v>13867</v>
      </c>
      <c r="AP710" t="s">
        <v>13868</v>
      </c>
      <c r="AQ710" t="s">
        <v>74</v>
      </c>
      <c r="AR710" t="s">
        <v>13869</v>
      </c>
      <c r="AS710" t="s">
        <v>13870</v>
      </c>
      <c r="AT710" t="s">
        <v>6722</v>
      </c>
      <c r="AU710">
        <v>2019</v>
      </c>
      <c r="AV710">
        <v>99</v>
      </c>
      <c r="AW710">
        <v>4</v>
      </c>
      <c r="AX710" t="s">
        <v>74</v>
      </c>
      <c r="AY710" t="s">
        <v>74</v>
      </c>
      <c r="AZ710" t="s">
        <v>74</v>
      </c>
      <c r="BA710" t="s">
        <v>74</v>
      </c>
      <c r="BB710">
        <v>983</v>
      </c>
      <c r="BC710">
        <v>990</v>
      </c>
      <c r="BD710" t="s">
        <v>74</v>
      </c>
      <c r="BE710" t="s">
        <v>13871</v>
      </c>
      <c r="BF710" t="str">
        <f>HYPERLINK("http://dx.doi.org/10.1017/S002531541800070X","http://dx.doi.org/10.1017/S002531541800070X")</f>
        <v>http://dx.doi.org/10.1017/S002531541800070X</v>
      </c>
      <c r="BG710" t="s">
        <v>74</v>
      </c>
      <c r="BH710" t="s">
        <v>74</v>
      </c>
      <c r="BI710">
        <v>8</v>
      </c>
      <c r="BJ710" t="s">
        <v>6961</v>
      </c>
      <c r="BK710" t="s">
        <v>101</v>
      </c>
      <c r="BL710" t="s">
        <v>6961</v>
      </c>
      <c r="BM710" t="s">
        <v>13872</v>
      </c>
      <c r="BN710" t="s">
        <v>74</v>
      </c>
      <c r="BO710" t="s">
        <v>74</v>
      </c>
      <c r="BP710" t="s">
        <v>74</v>
      </c>
      <c r="BQ710" t="s">
        <v>74</v>
      </c>
      <c r="BR710" t="s">
        <v>103</v>
      </c>
      <c r="BS710" t="s">
        <v>13873</v>
      </c>
      <c r="BT710" t="str">
        <f>HYPERLINK("https%3A%2F%2Fwww.webofscience.com%2Fwos%2Fwoscc%2Ffull-record%2FWOS:000474835600030","View Full Record in Web of Science")</f>
        <v>View Full Record in Web of Science</v>
      </c>
    </row>
    <row r="711" spans="1:72" x14ac:dyDescent="0.15">
      <c r="A711" t="s">
        <v>72</v>
      </c>
      <c r="B711" t="s">
        <v>13874</v>
      </c>
      <c r="C711" t="s">
        <v>74</v>
      </c>
      <c r="D711" t="s">
        <v>74</v>
      </c>
      <c r="E711" t="s">
        <v>74</v>
      </c>
      <c r="F711" t="s">
        <v>13875</v>
      </c>
      <c r="G711" t="s">
        <v>74</v>
      </c>
      <c r="H711" t="s">
        <v>74</v>
      </c>
      <c r="I711" t="s">
        <v>13876</v>
      </c>
      <c r="J711" t="s">
        <v>3016</v>
      </c>
      <c r="K711" t="s">
        <v>74</v>
      </c>
      <c r="L711" t="s">
        <v>74</v>
      </c>
      <c r="M711" t="s">
        <v>78</v>
      </c>
      <c r="N711" t="s">
        <v>108</v>
      </c>
      <c r="O711" t="s">
        <v>74</v>
      </c>
      <c r="P711" t="s">
        <v>74</v>
      </c>
      <c r="Q711" t="s">
        <v>74</v>
      </c>
      <c r="R711" t="s">
        <v>74</v>
      </c>
      <c r="S711" t="s">
        <v>74</v>
      </c>
      <c r="T711" t="s">
        <v>74</v>
      </c>
      <c r="U711" t="s">
        <v>13877</v>
      </c>
      <c r="V711" t="s">
        <v>13878</v>
      </c>
      <c r="W711" t="s">
        <v>13879</v>
      </c>
      <c r="X711" t="s">
        <v>13880</v>
      </c>
      <c r="Y711" t="s">
        <v>13881</v>
      </c>
      <c r="Z711" t="s">
        <v>13882</v>
      </c>
      <c r="AA711" t="s">
        <v>13883</v>
      </c>
      <c r="AB711" t="s">
        <v>13884</v>
      </c>
      <c r="AC711" t="s">
        <v>13885</v>
      </c>
      <c r="AD711" t="s">
        <v>13886</v>
      </c>
      <c r="AE711" t="s">
        <v>13887</v>
      </c>
      <c r="AF711" t="s">
        <v>74</v>
      </c>
      <c r="AG711">
        <v>65</v>
      </c>
      <c r="AH711">
        <v>4</v>
      </c>
      <c r="AI711">
        <v>5</v>
      </c>
      <c r="AJ711">
        <v>1</v>
      </c>
      <c r="AK711">
        <v>21</v>
      </c>
      <c r="AL711" t="s">
        <v>182</v>
      </c>
      <c r="AM711" t="s">
        <v>183</v>
      </c>
      <c r="AN711" t="s">
        <v>184</v>
      </c>
      <c r="AO711" t="s">
        <v>3028</v>
      </c>
      <c r="AP711" t="s">
        <v>3029</v>
      </c>
      <c r="AQ711" t="s">
        <v>74</v>
      </c>
      <c r="AR711" t="s">
        <v>3030</v>
      </c>
      <c r="AS711" t="s">
        <v>3031</v>
      </c>
      <c r="AT711" t="s">
        <v>6722</v>
      </c>
      <c r="AU711">
        <v>2019</v>
      </c>
      <c r="AV711">
        <v>34</v>
      </c>
      <c r="AW711">
        <v>6</v>
      </c>
      <c r="AX711" t="s">
        <v>74</v>
      </c>
      <c r="AY711" t="s">
        <v>74</v>
      </c>
      <c r="AZ711" t="s">
        <v>74</v>
      </c>
      <c r="BA711" t="s">
        <v>74</v>
      </c>
      <c r="BB711">
        <v>902</v>
      </c>
      <c r="BC711">
        <v>916</v>
      </c>
      <c r="BD711" t="s">
        <v>74</v>
      </c>
      <c r="BE711" t="s">
        <v>13888</v>
      </c>
      <c r="BF711" t="str">
        <f>HYPERLINK("http://dx.doi.org/10.1029/2018PA003535","http://dx.doi.org/10.1029/2018PA003535")</f>
        <v>http://dx.doi.org/10.1029/2018PA003535</v>
      </c>
      <c r="BG711" t="s">
        <v>74</v>
      </c>
      <c r="BH711" t="s">
        <v>74</v>
      </c>
      <c r="BI711">
        <v>15</v>
      </c>
      <c r="BJ711" t="s">
        <v>3033</v>
      </c>
      <c r="BK711" t="s">
        <v>101</v>
      </c>
      <c r="BL711" t="s">
        <v>3034</v>
      </c>
      <c r="BM711" t="s">
        <v>13889</v>
      </c>
      <c r="BN711" t="s">
        <v>74</v>
      </c>
      <c r="BO711" t="s">
        <v>74</v>
      </c>
      <c r="BP711" t="s">
        <v>74</v>
      </c>
      <c r="BQ711" t="s">
        <v>74</v>
      </c>
      <c r="BR711" t="s">
        <v>103</v>
      </c>
      <c r="BS711" t="s">
        <v>13890</v>
      </c>
      <c r="BT711" t="str">
        <f>HYPERLINK("https%3A%2F%2Fwww.webofscience.com%2Fwos%2Fwoscc%2Ffull-record%2FWOS:000474863700001","View Full Record in Web of Science")</f>
        <v>View Full Record in Web of Science</v>
      </c>
    </row>
    <row r="712" spans="1:72" x14ac:dyDescent="0.15">
      <c r="A712" t="s">
        <v>72</v>
      </c>
      <c r="B712" t="s">
        <v>13891</v>
      </c>
      <c r="C712" t="s">
        <v>74</v>
      </c>
      <c r="D712" t="s">
        <v>74</v>
      </c>
      <c r="E712" t="s">
        <v>74</v>
      </c>
      <c r="F712" t="s">
        <v>13892</v>
      </c>
      <c r="G712" t="s">
        <v>74</v>
      </c>
      <c r="H712" t="s">
        <v>74</v>
      </c>
      <c r="I712" t="s">
        <v>13893</v>
      </c>
      <c r="J712" t="s">
        <v>3016</v>
      </c>
      <c r="K712" t="s">
        <v>74</v>
      </c>
      <c r="L712" t="s">
        <v>74</v>
      </c>
      <c r="M712" t="s">
        <v>78</v>
      </c>
      <c r="N712" t="s">
        <v>108</v>
      </c>
      <c r="O712" t="s">
        <v>74</v>
      </c>
      <c r="P712" t="s">
        <v>74</v>
      </c>
      <c r="Q712" t="s">
        <v>74</v>
      </c>
      <c r="R712" t="s">
        <v>74</v>
      </c>
      <c r="S712" t="s">
        <v>74</v>
      </c>
      <c r="T712" t="s">
        <v>74</v>
      </c>
      <c r="U712" t="s">
        <v>13894</v>
      </c>
      <c r="V712" t="s">
        <v>13895</v>
      </c>
      <c r="W712" t="s">
        <v>13896</v>
      </c>
      <c r="X712" t="s">
        <v>13897</v>
      </c>
      <c r="Y712" t="s">
        <v>13898</v>
      </c>
      <c r="Z712" t="s">
        <v>13899</v>
      </c>
      <c r="AA712" t="s">
        <v>13900</v>
      </c>
      <c r="AB712" t="s">
        <v>13901</v>
      </c>
      <c r="AC712" t="s">
        <v>13902</v>
      </c>
      <c r="AD712" t="s">
        <v>13903</v>
      </c>
      <c r="AE712" t="s">
        <v>13904</v>
      </c>
      <c r="AF712" t="s">
        <v>74</v>
      </c>
      <c r="AG712">
        <v>45</v>
      </c>
      <c r="AH712">
        <v>1</v>
      </c>
      <c r="AI712">
        <v>1</v>
      </c>
      <c r="AJ712">
        <v>0</v>
      </c>
      <c r="AK712">
        <v>0</v>
      </c>
      <c r="AL712" t="s">
        <v>182</v>
      </c>
      <c r="AM712" t="s">
        <v>183</v>
      </c>
      <c r="AN712" t="s">
        <v>184</v>
      </c>
      <c r="AO712" t="s">
        <v>3028</v>
      </c>
      <c r="AP712" t="s">
        <v>3029</v>
      </c>
      <c r="AQ712" t="s">
        <v>74</v>
      </c>
      <c r="AR712" t="s">
        <v>3030</v>
      </c>
      <c r="AS712" t="s">
        <v>3031</v>
      </c>
      <c r="AT712" t="s">
        <v>6722</v>
      </c>
      <c r="AU712">
        <v>2019</v>
      </c>
      <c r="AV712">
        <v>34</v>
      </c>
      <c r="AW712">
        <v>6</v>
      </c>
      <c r="AX712" t="s">
        <v>74</v>
      </c>
      <c r="AY712" t="s">
        <v>74</v>
      </c>
      <c r="AZ712" t="s">
        <v>74</v>
      </c>
      <c r="BA712" t="s">
        <v>74</v>
      </c>
      <c r="BB712">
        <v>1022</v>
      </c>
      <c r="BC712">
        <v>1036</v>
      </c>
      <c r="BD712" t="s">
        <v>74</v>
      </c>
      <c r="BE712" t="s">
        <v>13905</v>
      </c>
      <c r="BF712" t="str">
        <f>HYPERLINK("http://dx.doi.org/10.1029/2019PA003589","http://dx.doi.org/10.1029/2019PA003589")</f>
        <v>http://dx.doi.org/10.1029/2019PA003589</v>
      </c>
      <c r="BG712" t="s">
        <v>74</v>
      </c>
      <c r="BH712" t="s">
        <v>74</v>
      </c>
      <c r="BI712">
        <v>15</v>
      </c>
      <c r="BJ712" t="s">
        <v>3033</v>
      </c>
      <c r="BK712" t="s">
        <v>101</v>
      </c>
      <c r="BL712" t="s">
        <v>3034</v>
      </c>
      <c r="BM712" t="s">
        <v>13889</v>
      </c>
      <c r="BN712" t="s">
        <v>74</v>
      </c>
      <c r="BO712" t="s">
        <v>1308</v>
      </c>
      <c r="BP712" t="s">
        <v>74</v>
      </c>
      <c r="BQ712" t="s">
        <v>74</v>
      </c>
      <c r="BR712" t="s">
        <v>103</v>
      </c>
      <c r="BS712" t="s">
        <v>13906</v>
      </c>
      <c r="BT712" t="str">
        <f>HYPERLINK("https%3A%2F%2Fwww.webofscience.com%2Fwos%2Fwoscc%2Ffull-record%2FWOS:000474863700009","View Full Record in Web of Science")</f>
        <v>View Full Record in Web of Science</v>
      </c>
    </row>
    <row r="713" spans="1:72" x14ac:dyDescent="0.15">
      <c r="A713" t="s">
        <v>72</v>
      </c>
      <c r="B713" t="s">
        <v>13907</v>
      </c>
      <c r="C713" t="s">
        <v>74</v>
      </c>
      <c r="D713" t="s">
        <v>74</v>
      </c>
      <c r="E713" t="s">
        <v>74</v>
      </c>
      <c r="F713" t="s">
        <v>13908</v>
      </c>
      <c r="G713" t="s">
        <v>74</v>
      </c>
      <c r="H713" t="s">
        <v>74</v>
      </c>
      <c r="I713" t="s">
        <v>13909</v>
      </c>
      <c r="J713" t="s">
        <v>2044</v>
      </c>
      <c r="K713" t="s">
        <v>74</v>
      </c>
      <c r="L713" t="s">
        <v>74</v>
      </c>
      <c r="M713" t="s">
        <v>78</v>
      </c>
      <c r="N713" t="s">
        <v>108</v>
      </c>
      <c r="O713" t="s">
        <v>74</v>
      </c>
      <c r="P713" t="s">
        <v>74</v>
      </c>
      <c r="Q713" t="s">
        <v>74</v>
      </c>
      <c r="R713" t="s">
        <v>74</v>
      </c>
      <c r="S713" t="s">
        <v>74</v>
      </c>
      <c r="T713" t="s">
        <v>13910</v>
      </c>
      <c r="U713" t="s">
        <v>13911</v>
      </c>
      <c r="V713" t="s">
        <v>13912</v>
      </c>
      <c r="W713" t="s">
        <v>13913</v>
      </c>
      <c r="X713" t="s">
        <v>13914</v>
      </c>
      <c r="Y713" t="s">
        <v>13915</v>
      </c>
      <c r="Z713" t="s">
        <v>13916</v>
      </c>
      <c r="AA713" t="s">
        <v>13917</v>
      </c>
      <c r="AB713" t="s">
        <v>13918</v>
      </c>
      <c r="AC713" t="s">
        <v>13919</v>
      </c>
      <c r="AD713" t="s">
        <v>13919</v>
      </c>
      <c r="AE713" t="s">
        <v>13920</v>
      </c>
      <c r="AF713" t="s">
        <v>74</v>
      </c>
      <c r="AG713">
        <v>98</v>
      </c>
      <c r="AH713">
        <v>26</v>
      </c>
      <c r="AI713">
        <v>28</v>
      </c>
      <c r="AJ713">
        <v>0</v>
      </c>
      <c r="AK713">
        <v>32</v>
      </c>
      <c r="AL713" t="s">
        <v>92</v>
      </c>
      <c r="AM713" t="s">
        <v>93</v>
      </c>
      <c r="AN713" t="s">
        <v>94</v>
      </c>
      <c r="AO713" t="s">
        <v>2057</v>
      </c>
      <c r="AP713" t="s">
        <v>2110</v>
      </c>
      <c r="AQ713" t="s">
        <v>74</v>
      </c>
      <c r="AR713" t="s">
        <v>2058</v>
      </c>
      <c r="AS713" t="s">
        <v>2059</v>
      </c>
      <c r="AT713" t="s">
        <v>13921</v>
      </c>
      <c r="AU713">
        <v>2019</v>
      </c>
      <c r="AV713">
        <v>213</v>
      </c>
      <c r="AW713" t="s">
        <v>74</v>
      </c>
      <c r="AX713" t="s">
        <v>74</v>
      </c>
      <c r="AY713" t="s">
        <v>74</v>
      </c>
      <c r="AZ713" t="s">
        <v>74</v>
      </c>
      <c r="BA713" t="s">
        <v>74</v>
      </c>
      <c r="BB713">
        <v>93</v>
      </c>
      <c r="BC713">
        <v>104</v>
      </c>
      <c r="BD713" t="s">
        <v>74</v>
      </c>
      <c r="BE713" t="s">
        <v>13922</v>
      </c>
      <c r="BF713" t="str">
        <f>HYPERLINK("http://dx.doi.org/10.1016/J.quascirev.2019.04.007","http://dx.doi.org/10.1016/J.quascirev.2019.04.007")</f>
        <v>http://dx.doi.org/10.1016/J.quascirev.2019.04.007</v>
      </c>
      <c r="BG713" t="s">
        <v>74</v>
      </c>
      <c r="BH713" t="s">
        <v>74</v>
      </c>
      <c r="BI713">
        <v>12</v>
      </c>
      <c r="BJ713" t="s">
        <v>310</v>
      </c>
      <c r="BK713" t="s">
        <v>101</v>
      </c>
      <c r="BL713" t="s">
        <v>311</v>
      </c>
      <c r="BM713" t="s">
        <v>13923</v>
      </c>
      <c r="BN713" t="s">
        <v>74</v>
      </c>
      <c r="BO713" t="s">
        <v>74</v>
      </c>
      <c r="BP713" t="s">
        <v>74</v>
      </c>
      <c r="BQ713" t="s">
        <v>74</v>
      </c>
      <c r="BR713" t="s">
        <v>103</v>
      </c>
      <c r="BS713" t="s">
        <v>13924</v>
      </c>
      <c r="BT713" t="str">
        <f>HYPERLINK("https%3A%2F%2Fwww.webofscience.com%2Fwos%2Fwoscc%2Ffull-record%2FWOS:000474671600005","View Full Record in Web of Science")</f>
        <v>View Full Record in Web of Science</v>
      </c>
    </row>
    <row r="714" spans="1:72" x14ac:dyDescent="0.15">
      <c r="A714" t="s">
        <v>72</v>
      </c>
      <c r="B714" t="s">
        <v>13925</v>
      </c>
      <c r="C714" t="s">
        <v>74</v>
      </c>
      <c r="D714" t="s">
        <v>74</v>
      </c>
      <c r="E714" t="s">
        <v>74</v>
      </c>
      <c r="F714" t="s">
        <v>13926</v>
      </c>
      <c r="G714" t="s">
        <v>74</v>
      </c>
      <c r="H714" t="s">
        <v>74</v>
      </c>
      <c r="I714" t="s">
        <v>13927</v>
      </c>
      <c r="J714" t="s">
        <v>2044</v>
      </c>
      <c r="K714" t="s">
        <v>74</v>
      </c>
      <c r="L714" t="s">
        <v>74</v>
      </c>
      <c r="M714" t="s">
        <v>78</v>
      </c>
      <c r="N714" t="s">
        <v>108</v>
      </c>
      <c r="O714" t="s">
        <v>74</v>
      </c>
      <c r="P714" t="s">
        <v>74</v>
      </c>
      <c r="Q714" t="s">
        <v>74</v>
      </c>
      <c r="R714" t="s">
        <v>74</v>
      </c>
      <c r="S714" t="s">
        <v>74</v>
      </c>
      <c r="T714" t="s">
        <v>13928</v>
      </c>
      <c r="U714" t="s">
        <v>13929</v>
      </c>
      <c r="V714" t="s">
        <v>13930</v>
      </c>
      <c r="W714" t="s">
        <v>13931</v>
      </c>
      <c r="X714" t="s">
        <v>13932</v>
      </c>
      <c r="Y714" t="s">
        <v>13933</v>
      </c>
      <c r="Z714" t="s">
        <v>13934</v>
      </c>
      <c r="AA714" t="s">
        <v>13935</v>
      </c>
      <c r="AB714" t="s">
        <v>13936</v>
      </c>
      <c r="AC714" t="s">
        <v>13937</v>
      </c>
      <c r="AD714" t="s">
        <v>13938</v>
      </c>
      <c r="AE714" t="s">
        <v>13939</v>
      </c>
      <c r="AF714" t="s">
        <v>74</v>
      </c>
      <c r="AG714">
        <v>114</v>
      </c>
      <c r="AH714">
        <v>12</v>
      </c>
      <c r="AI714">
        <v>12</v>
      </c>
      <c r="AJ714">
        <v>0</v>
      </c>
      <c r="AK714">
        <v>7</v>
      </c>
      <c r="AL714" t="s">
        <v>92</v>
      </c>
      <c r="AM714" t="s">
        <v>93</v>
      </c>
      <c r="AN714" t="s">
        <v>94</v>
      </c>
      <c r="AO714" t="s">
        <v>2057</v>
      </c>
      <c r="AP714" t="s">
        <v>2110</v>
      </c>
      <c r="AQ714" t="s">
        <v>74</v>
      </c>
      <c r="AR714" t="s">
        <v>2058</v>
      </c>
      <c r="AS714" t="s">
        <v>2059</v>
      </c>
      <c r="AT714" t="s">
        <v>13921</v>
      </c>
      <c r="AU714">
        <v>2019</v>
      </c>
      <c r="AV714">
        <v>213</v>
      </c>
      <c r="AW714" t="s">
        <v>74</v>
      </c>
      <c r="AX714" t="s">
        <v>74</v>
      </c>
      <c r="AY714" t="s">
        <v>74</v>
      </c>
      <c r="AZ714" t="s">
        <v>74</v>
      </c>
      <c r="BA714" t="s">
        <v>74</v>
      </c>
      <c r="BB714">
        <v>105</v>
      </c>
      <c r="BC714">
        <v>119</v>
      </c>
      <c r="BD714" t="s">
        <v>74</v>
      </c>
      <c r="BE714" t="s">
        <v>13940</v>
      </c>
      <c r="BF714" t="str">
        <f>HYPERLINK("http://dx.doi.org/10.1016/j.quascirev.2019.04.018","http://dx.doi.org/10.1016/j.quascirev.2019.04.018")</f>
        <v>http://dx.doi.org/10.1016/j.quascirev.2019.04.018</v>
      </c>
      <c r="BG714" t="s">
        <v>74</v>
      </c>
      <c r="BH714" t="s">
        <v>74</v>
      </c>
      <c r="BI714">
        <v>15</v>
      </c>
      <c r="BJ714" t="s">
        <v>310</v>
      </c>
      <c r="BK714" t="s">
        <v>101</v>
      </c>
      <c r="BL714" t="s">
        <v>311</v>
      </c>
      <c r="BM714" t="s">
        <v>13923</v>
      </c>
      <c r="BN714" t="s">
        <v>74</v>
      </c>
      <c r="BO714" t="s">
        <v>74</v>
      </c>
      <c r="BP714" t="s">
        <v>74</v>
      </c>
      <c r="BQ714" t="s">
        <v>74</v>
      </c>
      <c r="BR714" t="s">
        <v>103</v>
      </c>
      <c r="BS714" t="s">
        <v>13941</v>
      </c>
      <c r="BT714" t="str">
        <f>HYPERLINK("https%3A%2F%2Fwww.webofscience.com%2Fwos%2Fwoscc%2Ffull-record%2FWOS:000474671600006","View Full Record in Web of Science")</f>
        <v>View Full Record in Web of Science</v>
      </c>
    </row>
    <row r="715" spans="1:72" x14ac:dyDescent="0.15">
      <c r="A715" t="s">
        <v>72</v>
      </c>
      <c r="B715" t="s">
        <v>13942</v>
      </c>
      <c r="C715" t="s">
        <v>74</v>
      </c>
      <c r="D715" t="s">
        <v>74</v>
      </c>
      <c r="E715" t="s">
        <v>74</v>
      </c>
      <c r="F715" t="s">
        <v>13943</v>
      </c>
      <c r="G715" t="s">
        <v>74</v>
      </c>
      <c r="H715" t="s">
        <v>74</v>
      </c>
      <c r="I715" t="s">
        <v>13944</v>
      </c>
      <c r="J715" t="s">
        <v>2044</v>
      </c>
      <c r="K715" t="s">
        <v>74</v>
      </c>
      <c r="L715" t="s">
        <v>74</v>
      </c>
      <c r="M715" t="s">
        <v>78</v>
      </c>
      <c r="N715" t="s">
        <v>108</v>
      </c>
      <c r="O715" t="s">
        <v>74</v>
      </c>
      <c r="P715" t="s">
        <v>74</v>
      </c>
      <c r="Q715" t="s">
        <v>74</v>
      </c>
      <c r="R715" t="s">
        <v>74</v>
      </c>
      <c r="S715" t="s">
        <v>74</v>
      </c>
      <c r="T715" t="s">
        <v>74</v>
      </c>
      <c r="U715" t="s">
        <v>13945</v>
      </c>
      <c r="V715" t="s">
        <v>74</v>
      </c>
      <c r="W715" t="s">
        <v>13946</v>
      </c>
      <c r="X715" t="s">
        <v>13947</v>
      </c>
      <c r="Y715" t="s">
        <v>13948</v>
      </c>
      <c r="Z715" t="s">
        <v>13949</v>
      </c>
      <c r="AA715" t="s">
        <v>13950</v>
      </c>
      <c r="AB715" t="s">
        <v>13951</v>
      </c>
      <c r="AC715" t="s">
        <v>74</v>
      </c>
      <c r="AD715" t="s">
        <v>74</v>
      </c>
      <c r="AE715" t="s">
        <v>74</v>
      </c>
      <c r="AF715" t="s">
        <v>74</v>
      </c>
      <c r="AG715">
        <v>44</v>
      </c>
      <c r="AH715">
        <v>3</v>
      </c>
      <c r="AI715">
        <v>3</v>
      </c>
      <c r="AJ715">
        <v>0</v>
      </c>
      <c r="AK715">
        <v>7</v>
      </c>
      <c r="AL715" t="s">
        <v>92</v>
      </c>
      <c r="AM715" t="s">
        <v>93</v>
      </c>
      <c r="AN715" t="s">
        <v>94</v>
      </c>
      <c r="AO715" t="s">
        <v>2057</v>
      </c>
      <c r="AP715" t="s">
        <v>2110</v>
      </c>
      <c r="AQ715" t="s">
        <v>74</v>
      </c>
      <c r="AR715" t="s">
        <v>2058</v>
      </c>
      <c r="AS715" t="s">
        <v>2059</v>
      </c>
      <c r="AT715" t="s">
        <v>13921</v>
      </c>
      <c r="AU715">
        <v>2019</v>
      </c>
      <c r="AV715">
        <v>213</v>
      </c>
      <c r="AW715" t="s">
        <v>74</v>
      </c>
      <c r="AX715" t="s">
        <v>74</v>
      </c>
      <c r="AY715" t="s">
        <v>74</v>
      </c>
      <c r="AZ715" t="s">
        <v>74</v>
      </c>
      <c r="BA715" t="s">
        <v>74</v>
      </c>
      <c r="BB715">
        <v>171</v>
      </c>
      <c r="BC715">
        <v>177</v>
      </c>
      <c r="BD715" t="s">
        <v>74</v>
      </c>
      <c r="BE715" t="s">
        <v>13952</v>
      </c>
      <c r="BF715" t="str">
        <f>HYPERLINK("http://dx.doi.org/10.1016/j.quascirev.2019.04.005","http://dx.doi.org/10.1016/j.quascirev.2019.04.005")</f>
        <v>http://dx.doi.org/10.1016/j.quascirev.2019.04.005</v>
      </c>
      <c r="BG715" t="s">
        <v>74</v>
      </c>
      <c r="BH715" t="s">
        <v>74</v>
      </c>
      <c r="BI715">
        <v>7</v>
      </c>
      <c r="BJ715" t="s">
        <v>310</v>
      </c>
      <c r="BK715" t="s">
        <v>101</v>
      </c>
      <c r="BL715" t="s">
        <v>311</v>
      </c>
      <c r="BM715" t="s">
        <v>13923</v>
      </c>
      <c r="BN715" t="s">
        <v>74</v>
      </c>
      <c r="BO715" t="s">
        <v>136</v>
      </c>
      <c r="BP715" t="s">
        <v>74</v>
      </c>
      <c r="BQ715" t="s">
        <v>74</v>
      </c>
      <c r="BR715" t="s">
        <v>103</v>
      </c>
      <c r="BS715" t="s">
        <v>13953</v>
      </c>
      <c r="BT715" t="str">
        <f>HYPERLINK("https%3A%2F%2Fwww.webofscience.com%2Fwos%2Fwoscc%2Ffull-record%2FWOS:000474671600012","View Full Record in Web of Science")</f>
        <v>View Full Record in Web of Science</v>
      </c>
    </row>
    <row r="716" spans="1:72" x14ac:dyDescent="0.15">
      <c r="A716" t="s">
        <v>72</v>
      </c>
      <c r="B716" t="s">
        <v>13954</v>
      </c>
      <c r="C716" t="s">
        <v>74</v>
      </c>
      <c r="D716" t="s">
        <v>74</v>
      </c>
      <c r="E716" t="s">
        <v>74</v>
      </c>
      <c r="F716" t="s">
        <v>13955</v>
      </c>
      <c r="G716" t="s">
        <v>74</v>
      </c>
      <c r="H716" t="s">
        <v>74</v>
      </c>
      <c r="I716" t="s">
        <v>13956</v>
      </c>
      <c r="J716" t="s">
        <v>13957</v>
      </c>
      <c r="K716" t="s">
        <v>74</v>
      </c>
      <c r="L716" t="s">
        <v>74</v>
      </c>
      <c r="M716" t="s">
        <v>78</v>
      </c>
      <c r="N716" t="s">
        <v>108</v>
      </c>
      <c r="O716" t="s">
        <v>74</v>
      </c>
      <c r="P716" t="s">
        <v>74</v>
      </c>
      <c r="Q716" t="s">
        <v>74</v>
      </c>
      <c r="R716" t="s">
        <v>74</v>
      </c>
      <c r="S716" t="s">
        <v>74</v>
      </c>
      <c r="T716" t="s">
        <v>13958</v>
      </c>
      <c r="U716" t="s">
        <v>13959</v>
      </c>
      <c r="V716" t="s">
        <v>13960</v>
      </c>
      <c r="W716" t="s">
        <v>13961</v>
      </c>
      <c r="X716" t="s">
        <v>13364</v>
      </c>
      <c r="Y716" t="s">
        <v>13962</v>
      </c>
      <c r="Z716" t="s">
        <v>13963</v>
      </c>
      <c r="AA716" t="s">
        <v>74</v>
      </c>
      <c r="AB716" t="s">
        <v>74</v>
      </c>
      <c r="AC716" t="s">
        <v>13964</v>
      </c>
      <c r="AD716" t="s">
        <v>13965</v>
      </c>
      <c r="AE716" t="s">
        <v>13966</v>
      </c>
      <c r="AF716" t="s">
        <v>74</v>
      </c>
      <c r="AG716">
        <v>34</v>
      </c>
      <c r="AH716">
        <v>2</v>
      </c>
      <c r="AI716">
        <v>2</v>
      </c>
      <c r="AJ716">
        <v>0</v>
      </c>
      <c r="AK716">
        <v>7</v>
      </c>
      <c r="AL716" t="s">
        <v>13967</v>
      </c>
      <c r="AM716" t="s">
        <v>13968</v>
      </c>
      <c r="AN716" t="s">
        <v>13969</v>
      </c>
      <c r="AO716" t="s">
        <v>13970</v>
      </c>
      <c r="AP716" t="s">
        <v>13971</v>
      </c>
      <c r="AQ716" t="s">
        <v>74</v>
      </c>
      <c r="AR716" t="s">
        <v>13972</v>
      </c>
      <c r="AS716" t="s">
        <v>13973</v>
      </c>
      <c r="AT716" t="s">
        <v>6722</v>
      </c>
      <c r="AU716">
        <v>2019</v>
      </c>
      <c r="AV716">
        <v>44</v>
      </c>
      <c r="AW716">
        <v>6</v>
      </c>
      <c r="AX716" t="s">
        <v>74</v>
      </c>
      <c r="AY716" t="s">
        <v>74</v>
      </c>
      <c r="AZ716" t="s">
        <v>74</v>
      </c>
      <c r="BA716" t="s">
        <v>74</v>
      </c>
      <c r="BB716">
        <v>404</v>
      </c>
      <c r="BC716">
        <v>415</v>
      </c>
      <c r="BD716" t="s">
        <v>74</v>
      </c>
      <c r="BE716" t="s">
        <v>13974</v>
      </c>
      <c r="BF716" t="str">
        <f>HYPERLINK("http://dx.doi.org/10.3103/S1068373919060050","http://dx.doi.org/10.3103/S1068373919060050")</f>
        <v>http://dx.doi.org/10.3103/S1068373919060050</v>
      </c>
      <c r="BG716" t="s">
        <v>74</v>
      </c>
      <c r="BH716" t="s">
        <v>74</v>
      </c>
      <c r="BI716">
        <v>12</v>
      </c>
      <c r="BJ716" t="s">
        <v>259</v>
      </c>
      <c r="BK716" t="s">
        <v>101</v>
      </c>
      <c r="BL716" t="s">
        <v>259</v>
      </c>
      <c r="BM716" t="s">
        <v>13975</v>
      </c>
      <c r="BN716" t="s">
        <v>74</v>
      </c>
      <c r="BO716" t="s">
        <v>74</v>
      </c>
      <c r="BP716" t="s">
        <v>74</v>
      </c>
      <c r="BQ716" t="s">
        <v>74</v>
      </c>
      <c r="BR716" t="s">
        <v>103</v>
      </c>
      <c r="BS716" t="s">
        <v>13976</v>
      </c>
      <c r="BT716" t="str">
        <f>HYPERLINK("https%3A%2F%2Fwww.webofscience.com%2Fwos%2Fwoscc%2Ffull-record%2FWOS:000474452700005","View Full Record in Web of Science")</f>
        <v>View Full Record in Web of Science</v>
      </c>
    </row>
    <row r="717" spans="1:72" x14ac:dyDescent="0.15">
      <c r="A717" t="s">
        <v>72</v>
      </c>
      <c r="B717" t="s">
        <v>13977</v>
      </c>
      <c r="C717" t="s">
        <v>74</v>
      </c>
      <c r="D717" t="s">
        <v>74</v>
      </c>
      <c r="E717" t="s">
        <v>74</v>
      </c>
      <c r="F717" t="s">
        <v>13978</v>
      </c>
      <c r="G717" t="s">
        <v>74</v>
      </c>
      <c r="H717" t="s">
        <v>74</v>
      </c>
      <c r="I717" t="s">
        <v>13979</v>
      </c>
      <c r="J717" t="s">
        <v>13980</v>
      </c>
      <c r="K717" t="s">
        <v>74</v>
      </c>
      <c r="L717" t="s">
        <v>74</v>
      </c>
      <c r="M717" t="s">
        <v>78</v>
      </c>
      <c r="N717" t="s">
        <v>108</v>
      </c>
      <c r="O717" t="s">
        <v>74</v>
      </c>
      <c r="P717" t="s">
        <v>74</v>
      </c>
      <c r="Q717" t="s">
        <v>74</v>
      </c>
      <c r="R717" t="s">
        <v>74</v>
      </c>
      <c r="S717" t="s">
        <v>74</v>
      </c>
      <c r="T717" t="s">
        <v>13981</v>
      </c>
      <c r="U717" t="s">
        <v>74</v>
      </c>
      <c r="V717" t="s">
        <v>13982</v>
      </c>
      <c r="W717" t="s">
        <v>13983</v>
      </c>
      <c r="X717" t="s">
        <v>13984</v>
      </c>
      <c r="Y717" t="s">
        <v>13985</v>
      </c>
      <c r="Z717" t="s">
        <v>13986</v>
      </c>
      <c r="AA717" t="s">
        <v>13987</v>
      </c>
      <c r="AB717" t="s">
        <v>13988</v>
      </c>
      <c r="AC717" t="s">
        <v>13989</v>
      </c>
      <c r="AD717" t="s">
        <v>13990</v>
      </c>
      <c r="AE717" t="s">
        <v>13991</v>
      </c>
      <c r="AF717" t="s">
        <v>74</v>
      </c>
      <c r="AG717">
        <v>10</v>
      </c>
      <c r="AH717">
        <v>4</v>
      </c>
      <c r="AI717">
        <v>5</v>
      </c>
      <c r="AJ717">
        <v>2</v>
      </c>
      <c r="AK717">
        <v>7</v>
      </c>
      <c r="AL717" t="s">
        <v>1140</v>
      </c>
      <c r="AM717" t="s">
        <v>1141</v>
      </c>
      <c r="AN717" t="s">
        <v>1142</v>
      </c>
      <c r="AO717" t="s">
        <v>13992</v>
      </c>
      <c r="AP717" t="s">
        <v>74</v>
      </c>
      <c r="AQ717" t="s">
        <v>74</v>
      </c>
      <c r="AR717" t="s">
        <v>13993</v>
      </c>
      <c r="AS717" t="s">
        <v>13994</v>
      </c>
      <c r="AT717" t="s">
        <v>6722</v>
      </c>
      <c r="AU717">
        <v>2019</v>
      </c>
      <c r="AV717">
        <v>43</v>
      </c>
      <c r="AW717">
        <v>2</v>
      </c>
      <c r="AX717" t="s">
        <v>74</v>
      </c>
      <c r="AY717" t="s">
        <v>74</v>
      </c>
      <c r="AZ717" t="s">
        <v>74</v>
      </c>
      <c r="BA717" t="s">
        <v>74</v>
      </c>
      <c r="BB717">
        <v>313</v>
      </c>
      <c r="BC717">
        <v>316</v>
      </c>
      <c r="BD717" t="s">
        <v>74</v>
      </c>
      <c r="BE717" t="s">
        <v>13995</v>
      </c>
      <c r="BF717" t="str">
        <f>HYPERLINK("http://dx.doi.org/10.1002/wsb.964","http://dx.doi.org/10.1002/wsb.964")</f>
        <v>http://dx.doi.org/10.1002/wsb.964</v>
      </c>
      <c r="BG717" t="s">
        <v>74</v>
      </c>
      <c r="BH717" t="s">
        <v>74</v>
      </c>
      <c r="BI717">
        <v>4</v>
      </c>
      <c r="BJ717" t="s">
        <v>13996</v>
      </c>
      <c r="BK717" t="s">
        <v>101</v>
      </c>
      <c r="BL717" t="s">
        <v>13997</v>
      </c>
      <c r="BM717" t="s">
        <v>13998</v>
      </c>
      <c r="BN717" t="s">
        <v>74</v>
      </c>
      <c r="BO717" t="s">
        <v>261</v>
      </c>
      <c r="BP717" t="s">
        <v>74</v>
      </c>
      <c r="BQ717" t="s">
        <v>74</v>
      </c>
      <c r="BR717" t="s">
        <v>103</v>
      </c>
      <c r="BS717" t="s">
        <v>13999</v>
      </c>
      <c r="BT717" t="str">
        <f>HYPERLINK("https%3A%2F%2Fwww.webofscience.com%2Fwos%2Fwoscc%2Ffull-record%2FWOS:000474283400014","View Full Record in Web of Science")</f>
        <v>View Full Record in Web of Science</v>
      </c>
    </row>
    <row r="718" spans="1:72" x14ac:dyDescent="0.15">
      <c r="A718" t="s">
        <v>72</v>
      </c>
      <c r="B718" t="s">
        <v>14000</v>
      </c>
      <c r="C718" t="s">
        <v>74</v>
      </c>
      <c r="D718" t="s">
        <v>74</v>
      </c>
      <c r="E718" t="s">
        <v>74</v>
      </c>
      <c r="F718" t="s">
        <v>14001</v>
      </c>
      <c r="G718" t="s">
        <v>74</v>
      </c>
      <c r="H718" t="s">
        <v>74</v>
      </c>
      <c r="I718" t="s">
        <v>14002</v>
      </c>
      <c r="J718" t="s">
        <v>3750</v>
      </c>
      <c r="K718" t="s">
        <v>74</v>
      </c>
      <c r="L718" t="s">
        <v>74</v>
      </c>
      <c r="M718" t="s">
        <v>78</v>
      </c>
      <c r="N718" t="s">
        <v>79</v>
      </c>
      <c r="O718" t="s">
        <v>74</v>
      </c>
      <c r="P718" t="s">
        <v>74</v>
      </c>
      <c r="Q718" t="s">
        <v>74</v>
      </c>
      <c r="R718" t="s">
        <v>74</v>
      </c>
      <c r="S718" t="s">
        <v>74</v>
      </c>
      <c r="T718" t="s">
        <v>14003</v>
      </c>
      <c r="U718" t="s">
        <v>14004</v>
      </c>
      <c r="V718" t="s">
        <v>14005</v>
      </c>
      <c r="W718" t="s">
        <v>14006</v>
      </c>
      <c r="X718" t="s">
        <v>14007</v>
      </c>
      <c r="Y718" t="s">
        <v>14008</v>
      </c>
      <c r="Z718" t="s">
        <v>14009</v>
      </c>
      <c r="AA718" t="s">
        <v>14010</v>
      </c>
      <c r="AB718" t="s">
        <v>14011</v>
      </c>
      <c r="AC718" t="s">
        <v>14012</v>
      </c>
      <c r="AD718" t="s">
        <v>14013</v>
      </c>
      <c r="AE718" t="s">
        <v>14014</v>
      </c>
      <c r="AF718" t="s">
        <v>74</v>
      </c>
      <c r="AG718">
        <v>175</v>
      </c>
      <c r="AH718">
        <v>24</v>
      </c>
      <c r="AI718">
        <v>26</v>
      </c>
      <c r="AJ718">
        <v>3</v>
      </c>
      <c r="AK718">
        <v>33</v>
      </c>
      <c r="AL718" t="s">
        <v>3615</v>
      </c>
      <c r="AM718" t="s">
        <v>3616</v>
      </c>
      <c r="AN718" t="s">
        <v>3617</v>
      </c>
      <c r="AO718" t="s">
        <v>74</v>
      </c>
      <c r="AP718" t="s">
        <v>3763</v>
      </c>
      <c r="AQ718" t="s">
        <v>74</v>
      </c>
      <c r="AR718" t="s">
        <v>3750</v>
      </c>
      <c r="AS718" t="s">
        <v>3764</v>
      </c>
      <c r="AT718" t="s">
        <v>6722</v>
      </c>
      <c r="AU718">
        <v>2019</v>
      </c>
      <c r="AV718">
        <v>9</v>
      </c>
      <c r="AW718">
        <v>6</v>
      </c>
      <c r="AX718" t="s">
        <v>74</v>
      </c>
      <c r="AY718" t="s">
        <v>74</v>
      </c>
      <c r="AZ718" t="s">
        <v>74</v>
      </c>
      <c r="BA718" t="s">
        <v>74</v>
      </c>
      <c r="BB718" t="s">
        <v>74</v>
      </c>
      <c r="BC718" t="s">
        <v>74</v>
      </c>
      <c r="BD718">
        <v>255</v>
      </c>
      <c r="BE718" t="s">
        <v>14015</v>
      </c>
      <c r="BF718" t="str">
        <f>HYPERLINK("http://dx.doi.org/10.3390/geosciences9060255","http://dx.doi.org/10.3390/geosciences9060255")</f>
        <v>http://dx.doi.org/10.3390/geosciences9060255</v>
      </c>
      <c r="BG718" t="s">
        <v>74</v>
      </c>
      <c r="BH718" t="s">
        <v>74</v>
      </c>
      <c r="BI718">
        <v>29</v>
      </c>
      <c r="BJ718" t="s">
        <v>471</v>
      </c>
      <c r="BK718" t="s">
        <v>2978</v>
      </c>
      <c r="BL718" t="s">
        <v>472</v>
      </c>
      <c r="BM718" t="s">
        <v>14016</v>
      </c>
      <c r="BN718" t="s">
        <v>74</v>
      </c>
      <c r="BO718" t="s">
        <v>1783</v>
      </c>
      <c r="BP718" t="s">
        <v>74</v>
      </c>
      <c r="BQ718" t="s">
        <v>74</v>
      </c>
      <c r="BR718" t="s">
        <v>103</v>
      </c>
      <c r="BS718" t="s">
        <v>14017</v>
      </c>
      <c r="BT718" t="str">
        <f>HYPERLINK("https%3A%2F%2Fwww.webofscience.com%2Fwos%2Fwoscc%2Ffull-record%2FWOS:000473752600012","View Full Record in Web of Science")</f>
        <v>View Full Record in Web of Science</v>
      </c>
    </row>
    <row r="719" spans="1:72" x14ac:dyDescent="0.15">
      <c r="A719" t="s">
        <v>72</v>
      </c>
      <c r="B719" t="s">
        <v>14018</v>
      </c>
      <c r="C719" t="s">
        <v>74</v>
      </c>
      <c r="D719" t="s">
        <v>74</v>
      </c>
      <c r="E719" t="s">
        <v>74</v>
      </c>
      <c r="F719" t="s">
        <v>14019</v>
      </c>
      <c r="G719" t="s">
        <v>74</v>
      </c>
      <c r="H719" t="s">
        <v>74</v>
      </c>
      <c r="I719" t="s">
        <v>14020</v>
      </c>
      <c r="J719" t="s">
        <v>3808</v>
      </c>
      <c r="K719" t="s">
        <v>74</v>
      </c>
      <c r="L719" t="s">
        <v>74</v>
      </c>
      <c r="M719" t="s">
        <v>78</v>
      </c>
      <c r="N719" t="s">
        <v>79</v>
      </c>
      <c r="O719" t="s">
        <v>74</v>
      </c>
      <c r="P719" t="s">
        <v>74</v>
      </c>
      <c r="Q719" t="s">
        <v>74</v>
      </c>
      <c r="R719" t="s">
        <v>74</v>
      </c>
      <c r="S719" t="s">
        <v>74</v>
      </c>
      <c r="T719" t="s">
        <v>14021</v>
      </c>
      <c r="U719" t="s">
        <v>14022</v>
      </c>
      <c r="V719" t="s">
        <v>14023</v>
      </c>
      <c r="W719" t="s">
        <v>14024</v>
      </c>
      <c r="X719" t="s">
        <v>14025</v>
      </c>
      <c r="Y719" t="s">
        <v>14026</v>
      </c>
      <c r="Z719" t="s">
        <v>14027</v>
      </c>
      <c r="AA719" t="s">
        <v>14028</v>
      </c>
      <c r="AB719" t="s">
        <v>14029</v>
      </c>
      <c r="AC719" t="s">
        <v>14030</v>
      </c>
      <c r="AD719" t="s">
        <v>14031</v>
      </c>
      <c r="AE719" t="s">
        <v>14032</v>
      </c>
      <c r="AF719" t="s">
        <v>74</v>
      </c>
      <c r="AG719">
        <v>68</v>
      </c>
      <c r="AH719">
        <v>8</v>
      </c>
      <c r="AI719">
        <v>10</v>
      </c>
      <c r="AJ719">
        <v>3</v>
      </c>
      <c r="AK719">
        <v>33</v>
      </c>
      <c r="AL719" t="s">
        <v>3615</v>
      </c>
      <c r="AM719" t="s">
        <v>3616</v>
      </c>
      <c r="AN719" t="s">
        <v>3617</v>
      </c>
      <c r="AO719" t="s">
        <v>74</v>
      </c>
      <c r="AP719" t="s">
        <v>3821</v>
      </c>
      <c r="AQ719" t="s">
        <v>74</v>
      </c>
      <c r="AR719" t="s">
        <v>3822</v>
      </c>
      <c r="AS719" t="s">
        <v>3823</v>
      </c>
      <c r="AT719" t="s">
        <v>6722</v>
      </c>
      <c r="AU719">
        <v>2019</v>
      </c>
      <c r="AV719">
        <v>7</v>
      </c>
      <c r="AW719">
        <v>6</v>
      </c>
      <c r="AX719" t="s">
        <v>74</v>
      </c>
      <c r="AY719" t="s">
        <v>74</v>
      </c>
      <c r="AZ719" t="s">
        <v>74</v>
      </c>
      <c r="BA719" t="s">
        <v>74</v>
      </c>
      <c r="BB719" t="s">
        <v>74</v>
      </c>
      <c r="BC719" t="s">
        <v>74</v>
      </c>
      <c r="BD719">
        <v>194</v>
      </c>
      <c r="BE719" t="s">
        <v>14033</v>
      </c>
      <c r="BF719" t="str">
        <f>HYPERLINK("http://dx.doi.org/10.3390/jmse7060194","http://dx.doi.org/10.3390/jmse7060194")</f>
        <v>http://dx.doi.org/10.3390/jmse7060194</v>
      </c>
      <c r="BG719" t="s">
        <v>74</v>
      </c>
      <c r="BH719" t="s">
        <v>74</v>
      </c>
      <c r="BI719">
        <v>38</v>
      </c>
      <c r="BJ719" t="s">
        <v>3825</v>
      </c>
      <c r="BK719" t="s">
        <v>101</v>
      </c>
      <c r="BL719" t="s">
        <v>3826</v>
      </c>
      <c r="BM719" t="s">
        <v>14034</v>
      </c>
      <c r="BN719" t="s">
        <v>74</v>
      </c>
      <c r="BO719" t="s">
        <v>2565</v>
      </c>
      <c r="BP719" t="s">
        <v>74</v>
      </c>
      <c r="BQ719" t="s">
        <v>74</v>
      </c>
      <c r="BR719" t="s">
        <v>103</v>
      </c>
      <c r="BS719" t="s">
        <v>14035</v>
      </c>
      <c r="BT719" t="str">
        <f>HYPERLINK("https%3A%2F%2Fwww.webofscience.com%2Fwos%2Fwoscc%2Ffull-record%2FWOS:000473807700032","View Full Record in Web of Science")</f>
        <v>View Full Record in Web of Science</v>
      </c>
    </row>
    <row r="720" spans="1:72" x14ac:dyDescent="0.15">
      <c r="A720" t="s">
        <v>72</v>
      </c>
      <c r="B720" t="s">
        <v>14036</v>
      </c>
      <c r="C720" t="s">
        <v>74</v>
      </c>
      <c r="D720" t="s">
        <v>74</v>
      </c>
      <c r="E720" t="s">
        <v>74</v>
      </c>
      <c r="F720" t="s">
        <v>14037</v>
      </c>
      <c r="G720" t="s">
        <v>74</v>
      </c>
      <c r="H720" t="s">
        <v>74</v>
      </c>
      <c r="I720" t="s">
        <v>14038</v>
      </c>
      <c r="J720" t="s">
        <v>14039</v>
      </c>
      <c r="K720" t="s">
        <v>74</v>
      </c>
      <c r="L720" t="s">
        <v>74</v>
      </c>
      <c r="M720" t="s">
        <v>78</v>
      </c>
      <c r="N720" t="s">
        <v>108</v>
      </c>
      <c r="O720" t="s">
        <v>74</v>
      </c>
      <c r="P720" t="s">
        <v>74</v>
      </c>
      <c r="Q720" t="s">
        <v>74</v>
      </c>
      <c r="R720" t="s">
        <v>74</v>
      </c>
      <c r="S720" t="s">
        <v>74</v>
      </c>
      <c r="T720" t="s">
        <v>14040</v>
      </c>
      <c r="U720" t="s">
        <v>14041</v>
      </c>
      <c r="V720" t="s">
        <v>14042</v>
      </c>
      <c r="W720" t="s">
        <v>14043</v>
      </c>
      <c r="X720" t="s">
        <v>14044</v>
      </c>
      <c r="Y720" t="s">
        <v>14045</v>
      </c>
      <c r="Z720" t="s">
        <v>14046</v>
      </c>
      <c r="AA720" t="s">
        <v>14047</v>
      </c>
      <c r="AB720" t="s">
        <v>14048</v>
      </c>
      <c r="AC720" t="s">
        <v>14049</v>
      </c>
      <c r="AD720" t="s">
        <v>14050</v>
      </c>
      <c r="AE720" t="s">
        <v>14051</v>
      </c>
      <c r="AF720" t="s">
        <v>74</v>
      </c>
      <c r="AG720">
        <v>102</v>
      </c>
      <c r="AH720">
        <v>10</v>
      </c>
      <c r="AI720">
        <v>12</v>
      </c>
      <c r="AJ720">
        <v>1</v>
      </c>
      <c r="AK720">
        <v>14</v>
      </c>
      <c r="AL720" t="s">
        <v>14052</v>
      </c>
      <c r="AM720" t="s">
        <v>14053</v>
      </c>
      <c r="AN720" t="s">
        <v>14054</v>
      </c>
      <c r="AO720" t="s">
        <v>14055</v>
      </c>
      <c r="AP720" t="s">
        <v>14056</v>
      </c>
      <c r="AQ720" t="s">
        <v>74</v>
      </c>
      <c r="AR720" t="s">
        <v>14057</v>
      </c>
      <c r="AS720" t="s">
        <v>14058</v>
      </c>
      <c r="AT720" t="s">
        <v>6722</v>
      </c>
      <c r="AU720">
        <v>2019</v>
      </c>
      <c r="AV720">
        <v>70</v>
      </c>
      <c r="AW720">
        <v>7</v>
      </c>
      <c r="AX720" t="s">
        <v>74</v>
      </c>
      <c r="AY720" t="s">
        <v>74</v>
      </c>
      <c r="AZ720" t="s">
        <v>730</v>
      </c>
      <c r="BA720" t="s">
        <v>74</v>
      </c>
      <c r="BB720">
        <v>1007</v>
      </c>
      <c r="BC720">
        <v>1019</v>
      </c>
      <c r="BD720" t="s">
        <v>74</v>
      </c>
      <c r="BE720" t="s">
        <v>14059</v>
      </c>
      <c r="BF720" t="str">
        <f>HYPERLINK("http://dx.doi.org/10.1071/MF18296","http://dx.doi.org/10.1071/MF18296")</f>
        <v>http://dx.doi.org/10.1071/MF18296</v>
      </c>
      <c r="BG720" t="s">
        <v>74</v>
      </c>
      <c r="BH720" t="s">
        <v>74</v>
      </c>
      <c r="BI720">
        <v>13</v>
      </c>
      <c r="BJ720" t="s">
        <v>14060</v>
      </c>
      <c r="BK720" t="s">
        <v>101</v>
      </c>
      <c r="BL720" t="s">
        <v>2449</v>
      </c>
      <c r="BM720" t="s">
        <v>14061</v>
      </c>
      <c r="BN720" t="s">
        <v>74</v>
      </c>
      <c r="BO720" t="s">
        <v>74</v>
      </c>
      <c r="BP720" t="s">
        <v>74</v>
      </c>
      <c r="BQ720" t="s">
        <v>74</v>
      </c>
      <c r="BR720" t="s">
        <v>103</v>
      </c>
      <c r="BS720" t="s">
        <v>14062</v>
      </c>
      <c r="BT720" t="str">
        <f>HYPERLINK("https%3A%2F%2Fwww.webofscience.com%2Fwos%2Fwoscc%2Ffull-record%2FWOS:000473793400011","View Full Record in Web of Science")</f>
        <v>View Full Record in Web of Science</v>
      </c>
    </row>
    <row r="721" spans="1:72" x14ac:dyDescent="0.15">
      <c r="A721" t="s">
        <v>72</v>
      </c>
      <c r="B721" t="s">
        <v>14063</v>
      </c>
      <c r="C721" t="s">
        <v>74</v>
      </c>
      <c r="D721" t="s">
        <v>74</v>
      </c>
      <c r="E721" t="s">
        <v>74</v>
      </c>
      <c r="F721" t="s">
        <v>14064</v>
      </c>
      <c r="G721" t="s">
        <v>74</v>
      </c>
      <c r="H721" t="s">
        <v>74</v>
      </c>
      <c r="I721" t="s">
        <v>14065</v>
      </c>
      <c r="J721" t="s">
        <v>3275</v>
      </c>
      <c r="K721" t="s">
        <v>74</v>
      </c>
      <c r="L721" t="s">
        <v>74</v>
      </c>
      <c r="M721" t="s">
        <v>78</v>
      </c>
      <c r="N721" t="s">
        <v>108</v>
      </c>
      <c r="O721" t="s">
        <v>74</v>
      </c>
      <c r="P721" t="s">
        <v>74</v>
      </c>
      <c r="Q721" t="s">
        <v>74</v>
      </c>
      <c r="R721" t="s">
        <v>74</v>
      </c>
      <c r="S721" t="s">
        <v>74</v>
      </c>
      <c r="T721" t="s">
        <v>74</v>
      </c>
      <c r="U721" t="s">
        <v>14066</v>
      </c>
      <c r="V721" t="s">
        <v>14067</v>
      </c>
      <c r="W721" t="s">
        <v>14068</v>
      </c>
      <c r="X721" t="s">
        <v>14069</v>
      </c>
      <c r="Y721" t="s">
        <v>14070</v>
      </c>
      <c r="Z721" t="s">
        <v>14071</v>
      </c>
      <c r="AA721" t="s">
        <v>14072</v>
      </c>
      <c r="AB721" t="s">
        <v>14073</v>
      </c>
      <c r="AC721" t="s">
        <v>14074</v>
      </c>
      <c r="AD721" t="s">
        <v>152</v>
      </c>
      <c r="AE721" t="s">
        <v>14075</v>
      </c>
      <c r="AF721" t="s">
        <v>74</v>
      </c>
      <c r="AG721">
        <v>57</v>
      </c>
      <c r="AH721">
        <v>75</v>
      </c>
      <c r="AI721">
        <v>76</v>
      </c>
      <c r="AJ721">
        <v>3</v>
      </c>
      <c r="AK721">
        <v>37</v>
      </c>
      <c r="AL721" t="s">
        <v>3287</v>
      </c>
      <c r="AM721" t="s">
        <v>183</v>
      </c>
      <c r="AN721" t="s">
        <v>3288</v>
      </c>
      <c r="AO721" t="s">
        <v>3289</v>
      </c>
      <c r="AP721" t="s">
        <v>74</v>
      </c>
      <c r="AQ721" t="s">
        <v>74</v>
      </c>
      <c r="AR721" t="s">
        <v>3290</v>
      </c>
      <c r="AS721" t="s">
        <v>3291</v>
      </c>
      <c r="AT721" t="s">
        <v>6722</v>
      </c>
      <c r="AU721">
        <v>2019</v>
      </c>
      <c r="AV721">
        <v>5</v>
      </c>
      <c r="AW721">
        <v>6</v>
      </c>
      <c r="AX721" t="s">
        <v>74</v>
      </c>
      <c r="AY721" t="s">
        <v>74</v>
      </c>
      <c r="AZ721" t="s">
        <v>74</v>
      </c>
      <c r="BA721" t="s">
        <v>74</v>
      </c>
      <c r="BB721" t="s">
        <v>74</v>
      </c>
      <c r="BC721" t="s">
        <v>74</v>
      </c>
      <c r="BD721" t="s">
        <v>14076</v>
      </c>
      <c r="BE721" t="s">
        <v>14077</v>
      </c>
      <c r="BF721" t="str">
        <f>HYPERLINK("http://dx.doi.org/10.1126/sciadv.aav0474","http://dx.doi.org/10.1126/sciadv.aav0474")</f>
        <v>http://dx.doi.org/10.1126/sciadv.aav0474</v>
      </c>
      <c r="BG721" t="s">
        <v>74</v>
      </c>
      <c r="BH721" t="s">
        <v>74</v>
      </c>
      <c r="BI721">
        <v>11</v>
      </c>
      <c r="BJ721" t="s">
        <v>1004</v>
      </c>
      <c r="BK721" t="s">
        <v>101</v>
      </c>
      <c r="BL721" t="s">
        <v>1005</v>
      </c>
      <c r="BM721" t="s">
        <v>14078</v>
      </c>
      <c r="BN721">
        <v>31249861</v>
      </c>
      <c r="BO721" t="s">
        <v>2313</v>
      </c>
      <c r="BP721" t="s">
        <v>74</v>
      </c>
      <c r="BQ721" t="s">
        <v>74</v>
      </c>
      <c r="BR721" t="s">
        <v>103</v>
      </c>
      <c r="BS721" t="s">
        <v>14079</v>
      </c>
      <c r="BT721" t="str">
        <f>HYPERLINK("https%3A%2F%2Fwww.webofscience.com%2Fwos%2Fwoscc%2Ffull-record%2FWOS:000473798500015","View Full Record in Web of Science")</f>
        <v>View Full Record in Web of Science</v>
      </c>
    </row>
    <row r="722" spans="1:72" x14ac:dyDescent="0.15">
      <c r="A722" t="s">
        <v>72</v>
      </c>
      <c r="B722" t="s">
        <v>14080</v>
      </c>
      <c r="C722" t="s">
        <v>74</v>
      </c>
      <c r="D722" t="s">
        <v>74</v>
      </c>
      <c r="E722" t="s">
        <v>74</v>
      </c>
      <c r="F722" t="s">
        <v>14081</v>
      </c>
      <c r="G722" t="s">
        <v>74</v>
      </c>
      <c r="H722" t="s">
        <v>74</v>
      </c>
      <c r="I722" t="s">
        <v>14082</v>
      </c>
      <c r="J722" t="s">
        <v>5365</v>
      </c>
      <c r="K722" t="s">
        <v>74</v>
      </c>
      <c r="L722" t="s">
        <v>74</v>
      </c>
      <c r="M722" t="s">
        <v>78</v>
      </c>
      <c r="N722" t="s">
        <v>778</v>
      </c>
      <c r="O722" t="s">
        <v>14083</v>
      </c>
      <c r="P722" t="s">
        <v>14084</v>
      </c>
      <c r="Q722" t="s">
        <v>14085</v>
      </c>
      <c r="R722" t="s">
        <v>74</v>
      </c>
      <c r="S722" t="s">
        <v>14086</v>
      </c>
      <c r="T722" t="s">
        <v>14087</v>
      </c>
      <c r="U722" t="s">
        <v>14088</v>
      </c>
      <c r="V722" t="s">
        <v>14089</v>
      </c>
      <c r="W722" t="s">
        <v>14090</v>
      </c>
      <c r="X722" t="s">
        <v>1135</v>
      </c>
      <c r="Y722" t="s">
        <v>14091</v>
      </c>
      <c r="Z722" t="s">
        <v>14092</v>
      </c>
      <c r="AA722" t="s">
        <v>74</v>
      </c>
      <c r="AB722" t="s">
        <v>74</v>
      </c>
      <c r="AC722" t="s">
        <v>74</v>
      </c>
      <c r="AD722" t="s">
        <v>74</v>
      </c>
      <c r="AE722" t="s">
        <v>74</v>
      </c>
      <c r="AF722" t="s">
        <v>74</v>
      </c>
      <c r="AG722">
        <v>46</v>
      </c>
      <c r="AH722">
        <v>13</v>
      </c>
      <c r="AI722">
        <v>14</v>
      </c>
      <c r="AJ722">
        <v>1</v>
      </c>
      <c r="AK722">
        <v>20</v>
      </c>
      <c r="AL722" t="s">
        <v>1140</v>
      </c>
      <c r="AM722" t="s">
        <v>1141</v>
      </c>
      <c r="AN722" t="s">
        <v>1142</v>
      </c>
      <c r="AO722" t="s">
        <v>5377</v>
      </c>
      <c r="AP722" t="s">
        <v>5378</v>
      </c>
      <c r="AQ722" t="s">
        <v>74</v>
      </c>
      <c r="AR722" t="s">
        <v>5379</v>
      </c>
      <c r="AS722" t="s">
        <v>5380</v>
      </c>
      <c r="AT722" t="s">
        <v>6722</v>
      </c>
      <c r="AU722">
        <v>2019</v>
      </c>
      <c r="AV722">
        <v>94</v>
      </c>
      <c r="AW722">
        <v>6</v>
      </c>
      <c r="AX722" t="s">
        <v>74</v>
      </c>
      <c r="AY722" t="s">
        <v>74</v>
      </c>
      <c r="AZ722" t="s">
        <v>730</v>
      </c>
      <c r="BA722" t="s">
        <v>74</v>
      </c>
      <c r="BB722">
        <v>952</v>
      </c>
      <c r="BC722">
        <v>957</v>
      </c>
      <c r="BD722" t="s">
        <v>74</v>
      </c>
      <c r="BE722" t="s">
        <v>14093</v>
      </c>
      <c r="BF722" t="str">
        <f>HYPERLINK("http://dx.doi.org/10.1111/jfb.13928","http://dx.doi.org/10.1111/jfb.13928")</f>
        <v>http://dx.doi.org/10.1111/jfb.13928</v>
      </c>
      <c r="BG722" t="s">
        <v>74</v>
      </c>
      <c r="BH722" t="s">
        <v>74</v>
      </c>
      <c r="BI722">
        <v>6</v>
      </c>
      <c r="BJ722" t="s">
        <v>162</v>
      </c>
      <c r="BK722" t="s">
        <v>13241</v>
      </c>
      <c r="BL722" t="s">
        <v>162</v>
      </c>
      <c r="BM722" t="s">
        <v>14094</v>
      </c>
      <c r="BN722">
        <v>30746702</v>
      </c>
      <c r="BO722" t="s">
        <v>1308</v>
      </c>
      <c r="BP722" t="s">
        <v>74</v>
      </c>
      <c r="BQ722" t="s">
        <v>74</v>
      </c>
      <c r="BR722" t="s">
        <v>103</v>
      </c>
      <c r="BS722" t="s">
        <v>14095</v>
      </c>
      <c r="BT722" t="str">
        <f>HYPERLINK("https%3A%2F%2Fwww.webofscience.com%2Fwos%2Fwoscc%2Ffull-record%2FWOS:000472976300013","View Full Record in Web of Science")</f>
        <v>View Full Record in Web of Science</v>
      </c>
    </row>
    <row r="723" spans="1:72" x14ac:dyDescent="0.15">
      <c r="A723" t="s">
        <v>72</v>
      </c>
      <c r="B723" t="s">
        <v>14096</v>
      </c>
      <c r="C723" t="s">
        <v>74</v>
      </c>
      <c r="D723" t="s">
        <v>74</v>
      </c>
      <c r="E723" t="s">
        <v>74</v>
      </c>
      <c r="F723" t="s">
        <v>14097</v>
      </c>
      <c r="G723" t="s">
        <v>74</v>
      </c>
      <c r="H723" t="s">
        <v>74</v>
      </c>
      <c r="I723" t="s">
        <v>14098</v>
      </c>
      <c r="J723" t="s">
        <v>14099</v>
      </c>
      <c r="K723" t="s">
        <v>74</v>
      </c>
      <c r="L723" t="s">
        <v>74</v>
      </c>
      <c r="M723" t="s">
        <v>78</v>
      </c>
      <c r="N723" t="s">
        <v>108</v>
      </c>
      <c r="O723" t="s">
        <v>74</v>
      </c>
      <c r="P723" t="s">
        <v>74</v>
      </c>
      <c r="Q723" t="s">
        <v>74</v>
      </c>
      <c r="R723" t="s">
        <v>74</v>
      </c>
      <c r="S723" t="s">
        <v>74</v>
      </c>
      <c r="T723" t="s">
        <v>14100</v>
      </c>
      <c r="U723" t="s">
        <v>14101</v>
      </c>
      <c r="V723" t="s">
        <v>14102</v>
      </c>
      <c r="W723" t="s">
        <v>14103</v>
      </c>
      <c r="X723" t="s">
        <v>14104</v>
      </c>
      <c r="Y723" t="s">
        <v>14105</v>
      </c>
      <c r="Z723" t="s">
        <v>14106</v>
      </c>
      <c r="AA723" t="s">
        <v>14107</v>
      </c>
      <c r="AB723" t="s">
        <v>14108</v>
      </c>
      <c r="AC723" t="s">
        <v>14109</v>
      </c>
      <c r="AD723" t="s">
        <v>14110</v>
      </c>
      <c r="AE723" t="s">
        <v>14111</v>
      </c>
      <c r="AF723" t="s">
        <v>74</v>
      </c>
      <c r="AG723">
        <v>48</v>
      </c>
      <c r="AH723">
        <v>0</v>
      </c>
      <c r="AI723">
        <v>0</v>
      </c>
      <c r="AJ723">
        <v>0</v>
      </c>
      <c r="AK723">
        <v>13</v>
      </c>
      <c r="AL723" t="s">
        <v>14112</v>
      </c>
      <c r="AM723" t="s">
        <v>3737</v>
      </c>
      <c r="AN723" t="s">
        <v>14113</v>
      </c>
      <c r="AO723" t="s">
        <v>14114</v>
      </c>
      <c r="AP723" t="s">
        <v>14115</v>
      </c>
      <c r="AQ723" t="s">
        <v>74</v>
      </c>
      <c r="AR723" t="s">
        <v>14116</v>
      </c>
      <c r="AS723" t="s">
        <v>14117</v>
      </c>
      <c r="AT723" t="s">
        <v>6722</v>
      </c>
      <c r="AU723">
        <v>2019</v>
      </c>
      <c r="AV723">
        <v>54</v>
      </c>
      <c r="AW723">
        <v>2</v>
      </c>
      <c r="AX723" t="s">
        <v>74</v>
      </c>
      <c r="AY723" t="s">
        <v>74</v>
      </c>
      <c r="AZ723" t="s">
        <v>74</v>
      </c>
      <c r="BA723" t="s">
        <v>74</v>
      </c>
      <c r="BB723">
        <v>287</v>
      </c>
      <c r="BC723">
        <v>295</v>
      </c>
      <c r="BD723" t="s">
        <v>74</v>
      </c>
      <c r="BE723" t="s">
        <v>14118</v>
      </c>
      <c r="BF723" t="str">
        <f>HYPERLINK("http://dx.doi.org/10.1007/s12601-019-0006-x","http://dx.doi.org/10.1007/s12601-019-0006-x")</f>
        <v>http://dx.doi.org/10.1007/s12601-019-0006-x</v>
      </c>
      <c r="BG723" t="s">
        <v>74</v>
      </c>
      <c r="BH723" t="s">
        <v>74</v>
      </c>
      <c r="BI723">
        <v>9</v>
      </c>
      <c r="BJ723" t="s">
        <v>3596</v>
      </c>
      <c r="BK723" t="s">
        <v>101</v>
      </c>
      <c r="BL723" t="s">
        <v>3596</v>
      </c>
      <c r="BM723" t="s">
        <v>14119</v>
      </c>
      <c r="BN723" t="s">
        <v>74</v>
      </c>
      <c r="BO723" t="s">
        <v>74</v>
      </c>
      <c r="BP723" t="s">
        <v>74</v>
      </c>
      <c r="BQ723" t="s">
        <v>74</v>
      </c>
      <c r="BR723" t="s">
        <v>103</v>
      </c>
      <c r="BS723" t="s">
        <v>14120</v>
      </c>
      <c r="BT723" t="str">
        <f>HYPERLINK("https%3A%2F%2Fwww.webofscience.com%2Fwos%2Fwoscc%2Ffull-record%2FWOS:000473082100011","View Full Record in Web of Science")</f>
        <v>View Full Record in Web of Science</v>
      </c>
    </row>
    <row r="724" spans="1:72" x14ac:dyDescent="0.15">
      <c r="A724" t="s">
        <v>72</v>
      </c>
      <c r="B724" t="s">
        <v>14121</v>
      </c>
      <c r="C724" t="s">
        <v>74</v>
      </c>
      <c r="D724" t="s">
        <v>74</v>
      </c>
      <c r="E724" t="s">
        <v>74</v>
      </c>
      <c r="F724" t="s">
        <v>14122</v>
      </c>
      <c r="G724" t="s">
        <v>74</v>
      </c>
      <c r="H724" t="s">
        <v>74</v>
      </c>
      <c r="I724" t="s">
        <v>14123</v>
      </c>
      <c r="J724" t="s">
        <v>6342</v>
      </c>
      <c r="K724" t="s">
        <v>74</v>
      </c>
      <c r="L724" t="s">
        <v>74</v>
      </c>
      <c r="M724" t="s">
        <v>78</v>
      </c>
      <c r="N724" t="s">
        <v>108</v>
      </c>
      <c r="O724" t="s">
        <v>74</v>
      </c>
      <c r="P724" t="s">
        <v>74</v>
      </c>
      <c r="Q724" t="s">
        <v>74</v>
      </c>
      <c r="R724" t="s">
        <v>74</v>
      </c>
      <c r="S724" t="s">
        <v>74</v>
      </c>
      <c r="T724" t="s">
        <v>14124</v>
      </c>
      <c r="U724" t="s">
        <v>14125</v>
      </c>
      <c r="V724" t="s">
        <v>14126</v>
      </c>
      <c r="W724" t="s">
        <v>14127</v>
      </c>
      <c r="X724" t="s">
        <v>14128</v>
      </c>
      <c r="Y724" t="s">
        <v>14129</v>
      </c>
      <c r="Z724" t="s">
        <v>14130</v>
      </c>
      <c r="AA724" t="s">
        <v>14131</v>
      </c>
      <c r="AB724" t="s">
        <v>14132</v>
      </c>
      <c r="AC724" t="s">
        <v>14133</v>
      </c>
      <c r="AD724" t="s">
        <v>14133</v>
      </c>
      <c r="AE724" t="s">
        <v>14133</v>
      </c>
      <c r="AF724" t="s">
        <v>74</v>
      </c>
      <c r="AG724">
        <v>41</v>
      </c>
      <c r="AH724">
        <v>8</v>
      </c>
      <c r="AI724">
        <v>8</v>
      </c>
      <c r="AJ724">
        <v>2</v>
      </c>
      <c r="AK724">
        <v>20</v>
      </c>
      <c r="AL724" t="s">
        <v>1140</v>
      </c>
      <c r="AM724" t="s">
        <v>1141</v>
      </c>
      <c r="AN724" t="s">
        <v>1142</v>
      </c>
      <c r="AO724" t="s">
        <v>6352</v>
      </c>
      <c r="AP724" t="s">
        <v>6353</v>
      </c>
      <c r="AQ724" t="s">
        <v>74</v>
      </c>
      <c r="AR724" t="s">
        <v>6354</v>
      </c>
      <c r="AS724" t="s">
        <v>6355</v>
      </c>
      <c r="AT724" t="s">
        <v>6722</v>
      </c>
      <c r="AU724">
        <v>2019</v>
      </c>
      <c r="AV724">
        <v>29</v>
      </c>
      <c r="AW724">
        <v>6</v>
      </c>
      <c r="AX724" t="s">
        <v>74</v>
      </c>
      <c r="AY724" t="s">
        <v>74</v>
      </c>
      <c r="AZ724" t="s">
        <v>74</v>
      </c>
      <c r="BA724" t="s">
        <v>74</v>
      </c>
      <c r="BB724">
        <v>865</v>
      </c>
      <c r="BC724">
        <v>880</v>
      </c>
      <c r="BD724" t="s">
        <v>74</v>
      </c>
      <c r="BE724" t="s">
        <v>14134</v>
      </c>
      <c r="BF724" t="str">
        <f>HYPERLINK("http://dx.doi.org/10.1002/aqc.3087","http://dx.doi.org/10.1002/aqc.3087")</f>
        <v>http://dx.doi.org/10.1002/aqc.3087</v>
      </c>
      <c r="BG724" t="s">
        <v>74</v>
      </c>
      <c r="BH724" t="s">
        <v>74</v>
      </c>
      <c r="BI724">
        <v>16</v>
      </c>
      <c r="BJ724" t="s">
        <v>6357</v>
      </c>
      <c r="BK724" t="s">
        <v>101</v>
      </c>
      <c r="BL724" t="s">
        <v>6358</v>
      </c>
      <c r="BM724" t="s">
        <v>14135</v>
      </c>
      <c r="BN724" t="s">
        <v>74</v>
      </c>
      <c r="BO724" t="s">
        <v>74</v>
      </c>
      <c r="BP724" t="s">
        <v>74</v>
      </c>
      <c r="BQ724" t="s">
        <v>74</v>
      </c>
      <c r="BR724" t="s">
        <v>103</v>
      </c>
      <c r="BS724" t="s">
        <v>14136</v>
      </c>
      <c r="BT724" t="str">
        <f>HYPERLINK("https%3A%2F%2Fwww.webofscience.com%2Fwos%2Fwoscc%2Ffull-record%2FWOS:000472569200002","View Full Record in Web of Science")</f>
        <v>View Full Record in Web of Science</v>
      </c>
    </row>
    <row r="725" spans="1:72" x14ac:dyDescent="0.15">
      <c r="A725" t="s">
        <v>72</v>
      </c>
      <c r="B725" t="s">
        <v>14137</v>
      </c>
      <c r="C725" t="s">
        <v>74</v>
      </c>
      <c r="D725" t="s">
        <v>74</v>
      </c>
      <c r="E725" t="s">
        <v>74</v>
      </c>
      <c r="F725" t="s">
        <v>14138</v>
      </c>
      <c r="G725" t="s">
        <v>74</v>
      </c>
      <c r="H725" t="s">
        <v>74</v>
      </c>
      <c r="I725" t="s">
        <v>14139</v>
      </c>
      <c r="J725" t="s">
        <v>14140</v>
      </c>
      <c r="K725" t="s">
        <v>74</v>
      </c>
      <c r="L725" t="s">
        <v>74</v>
      </c>
      <c r="M725" t="s">
        <v>78</v>
      </c>
      <c r="N725" t="s">
        <v>108</v>
      </c>
      <c r="O725" t="s">
        <v>74</v>
      </c>
      <c r="P725" t="s">
        <v>74</v>
      </c>
      <c r="Q725" t="s">
        <v>74</v>
      </c>
      <c r="R725" t="s">
        <v>74</v>
      </c>
      <c r="S725" t="s">
        <v>74</v>
      </c>
      <c r="T725" t="s">
        <v>14141</v>
      </c>
      <c r="U725" t="s">
        <v>14142</v>
      </c>
      <c r="V725" t="s">
        <v>14143</v>
      </c>
      <c r="W725" t="s">
        <v>14144</v>
      </c>
      <c r="X725" t="s">
        <v>14145</v>
      </c>
      <c r="Y725" t="s">
        <v>14146</v>
      </c>
      <c r="Z725" t="s">
        <v>14147</v>
      </c>
      <c r="AA725" t="s">
        <v>14148</v>
      </c>
      <c r="AB725" t="s">
        <v>14149</v>
      </c>
      <c r="AC725" t="s">
        <v>14150</v>
      </c>
      <c r="AD725" t="s">
        <v>14151</v>
      </c>
      <c r="AE725" t="s">
        <v>14152</v>
      </c>
      <c r="AF725" t="s">
        <v>74</v>
      </c>
      <c r="AG725">
        <v>38</v>
      </c>
      <c r="AH725">
        <v>2</v>
      </c>
      <c r="AI725">
        <v>2</v>
      </c>
      <c r="AJ725">
        <v>2</v>
      </c>
      <c r="AK725">
        <v>13</v>
      </c>
      <c r="AL725" t="s">
        <v>14153</v>
      </c>
      <c r="AM725" t="s">
        <v>4255</v>
      </c>
      <c r="AN725" t="s">
        <v>14154</v>
      </c>
      <c r="AO725" t="s">
        <v>14155</v>
      </c>
      <c r="AP725" t="s">
        <v>14156</v>
      </c>
      <c r="AQ725" t="s">
        <v>74</v>
      </c>
      <c r="AR725" t="s">
        <v>14157</v>
      </c>
      <c r="AS725" t="s">
        <v>14158</v>
      </c>
      <c r="AT725" t="s">
        <v>6722</v>
      </c>
      <c r="AU725">
        <v>2019</v>
      </c>
      <c r="AV725">
        <v>13</v>
      </c>
      <c r="AW725">
        <v>3</v>
      </c>
      <c r="AX725" t="s">
        <v>74</v>
      </c>
      <c r="AY725" t="s">
        <v>74</v>
      </c>
      <c r="AZ725" t="s">
        <v>74</v>
      </c>
      <c r="BA725" t="s">
        <v>74</v>
      </c>
      <c r="BB725" t="s">
        <v>74</v>
      </c>
      <c r="BC725" t="s">
        <v>74</v>
      </c>
      <c r="BD725">
        <v>44</v>
      </c>
      <c r="BE725" t="s">
        <v>14159</v>
      </c>
      <c r="BF725" t="str">
        <f>HYPERLINK("http://dx.doi.org/10.1007/s11783-019-1128-1","http://dx.doi.org/10.1007/s11783-019-1128-1")</f>
        <v>http://dx.doi.org/10.1007/s11783-019-1128-1</v>
      </c>
      <c r="BG725" t="s">
        <v>74</v>
      </c>
      <c r="BH725" t="s">
        <v>74</v>
      </c>
      <c r="BI725">
        <v>12</v>
      </c>
      <c r="BJ725" t="s">
        <v>1585</v>
      </c>
      <c r="BK725" t="s">
        <v>101</v>
      </c>
      <c r="BL725" t="s">
        <v>1586</v>
      </c>
      <c r="BM725" t="s">
        <v>14160</v>
      </c>
      <c r="BN725" t="s">
        <v>74</v>
      </c>
      <c r="BO725" t="s">
        <v>1125</v>
      </c>
      <c r="BP725" t="s">
        <v>74</v>
      </c>
      <c r="BQ725" t="s">
        <v>74</v>
      </c>
      <c r="BR725" t="s">
        <v>103</v>
      </c>
      <c r="BS725" t="s">
        <v>14161</v>
      </c>
      <c r="BT725" t="str">
        <f>HYPERLINK("https%3A%2F%2Fwww.webofscience.com%2Fwos%2Fwoscc%2Ffull-record%2FWOS:000472863400001","View Full Record in Web of Science")</f>
        <v>View Full Record in Web of Science</v>
      </c>
    </row>
    <row r="726" spans="1:72" x14ac:dyDescent="0.15">
      <c r="A726" t="s">
        <v>72</v>
      </c>
      <c r="B726" t="s">
        <v>14162</v>
      </c>
      <c r="C726" t="s">
        <v>74</v>
      </c>
      <c r="D726" t="s">
        <v>74</v>
      </c>
      <c r="E726" t="s">
        <v>74</v>
      </c>
      <c r="F726" t="s">
        <v>14163</v>
      </c>
      <c r="G726" t="s">
        <v>74</v>
      </c>
      <c r="H726" t="s">
        <v>74</v>
      </c>
      <c r="I726" t="s">
        <v>14164</v>
      </c>
      <c r="J726" t="s">
        <v>14165</v>
      </c>
      <c r="K726" t="s">
        <v>74</v>
      </c>
      <c r="L726" t="s">
        <v>74</v>
      </c>
      <c r="M726" t="s">
        <v>78</v>
      </c>
      <c r="N726" t="s">
        <v>108</v>
      </c>
      <c r="O726" t="s">
        <v>74</v>
      </c>
      <c r="P726" t="s">
        <v>74</v>
      </c>
      <c r="Q726" t="s">
        <v>74</v>
      </c>
      <c r="R726" t="s">
        <v>74</v>
      </c>
      <c r="S726" t="s">
        <v>74</v>
      </c>
      <c r="T726" t="s">
        <v>14166</v>
      </c>
      <c r="U726" t="s">
        <v>14167</v>
      </c>
      <c r="V726" t="s">
        <v>14168</v>
      </c>
      <c r="W726" t="s">
        <v>14169</v>
      </c>
      <c r="X726" t="s">
        <v>14170</v>
      </c>
      <c r="Y726" t="s">
        <v>14171</v>
      </c>
      <c r="Z726" t="s">
        <v>14172</v>
      </c>
      <c r="AA726" t="s">
        <v>14173</v>
      </c>
      <c r="AB726" t="s">
        <v>14174</v>
      </c>
      <c r="AC726" t="s">
        <v>14175</v>
      </c>
      <c r="AD726" t="s">
        <v>14175</v>
      </c>
      <c r="AE726" t="s">
        <v>14176</v>
      </c>
      <c r="AF726" t="s">
        <v>74</v>
      </c>
      <c r="AG726">
        <v>41</v>
      </c>
      <c r="AH726">
        <v>6</v>
      </c>
      <c r="AI726">
        <v>6</v>
      </c>
      <c r="AJ726">
        <v>0</v>
      </c>
      <c r="AK726">
        <v>2</v>
      </c>
      <c r="AL726" t="s">
        <v>3533</v>
      </c>
      <c r="AM726" t="s">
        <v>93</v>
      </c>
      <c r="AN726" t="s">
        <v>3534</v>
      </c>
      <c r="AO726" t="s">
        <v>14177</v>
      </c>
      <c r="AP726" t="s">
        <v>14178</v>
      </c>
      <c r="AQ726" t="s">
        <v>74</v>
      </c>
      <c r="AR726" t="s">
        <v>14179</v>
      </c>
      <c r="AS726" t="s">
        <v>14180</v>
      </c>
      <c r="AT726" t="s">
        <v>6722</v>
      </c>
      <c r="AU726">
        <v>2019</v>
      </c>
      <c r="AV726">
        <v>138</v>
      </c>
      <c r="AW726" t="s">
        <v>74</v>
      </c>
      <c r="AX726" t="s">
        <v>74</v>
      </c>
      <c r="AY726" t="s">
        <v>74</v>
      </c>
      <c r="AZ726" t="s">
        <v>74</v>
      </c>
      <c r="BA726" t="s">
        <v>74</v>
      </c>
      <c r="BB726">
        <v>107</v>
      </c>
      <c r="BC726">
        <v>121</v>
      </c>
      <c r="BD726" t="s">
        <v>74</v>
      </c>
      <c r="BE726" t="s">
        <v>14181</v>
      </c>
      <c r="BF726" t="str">
        <f>HYPERLINK("http://dx.doi.org/10.1016/j.ocemod.2019.04.002","http://dx.doi.org/10.1016/j.ocemod.2019.04.002")</f>
        <v>http://dx.doi.org/10.1016/j.ocemod.2019.04.002</v>
      </c>
      <c r="BG726" t="s">
        <v>74</v>
      </c>
      <c r="BH726" t="s">
        <v>74</v>
      </c>
      <c r="BI726">
        <v>15</v>
      </c>
      <c r="BJ726" t="s">
        <v>1077</v>
      </c>
      <c r="BK726" t="s">
        <v>101</v>
      </c>
      <c r="BL726" t="s">
        <v>1077</v>
      </c>
      <c r="BM726" t="s">
        <v>14182</v>
      </c>
      <c r="BN726" t="s">
        <v>74</v>
      </c>
      <c r="BO726" t="s">
        <v>1648</v>
      </c>
      <c r="BP726" t="s">
        <v>74</v>
      </c>
      <c r="BQ726" t="s">
        <v>74</v>
      </c>
      <c r="BR726" t="s">
        <v>103</v>
      </c>
      <c r="BS726" t="s">
        <v>14183</v>
      </c>
      <c r="BT726" t="str">
        <f>HYPERLINK("https%3A%2F%2Fwww.webofscience.com%2Fwos%2Fwoscc%2Ffull-record%2FWOS:000472819600008","View Full Record in Web of Science")</f>
        <v>View Full Record in Web of Science</v>
      </c>
    </row>
    <row r="727" spans="1:72" x14ac:dyDescent="0.15">
      <c r="A727" t="s">
        <v>72</v>
      </c>
      <c r="B727" t="s">
        <v>14184</v>
      </c>
      <c r="C727" t="s">
        <v>74</v>
      </c>
      <c r="D727" t="s">
        <v>74</v>
      </c>
      <c r="E727" t="s">
        <v>74</v>
      </c>
      <c r="F727" t="s">
        <v>14185</v>
      </c>
      <c r="G727" t="s">
        <v>74</v>
      </c>
      <c r="H727" t="s">
        <v>74</v>
      </c>
      <c r="I727" t="s">
        <v>14186</v>
      </c>
      <c r="J727" t="s">
        <v>14187</v>
      </c>
      <c r="K727" t="s">
        <v>74</v>
      </c>
      <c r="L727" t="s">
        <v>74</v>
      </c>
      <c r="M727" t="s">
        <v>78</v>
      </c>
      <c r="N727" t="s">
        <v>108</v>
      </c>
      <c r="O727" t="s">
        <v>74</v>
      </c>
      <c r="P727" t="s">
        <v>74</v>
      </c>
      <c r="Q727" t="s">
        <v>74</v>
      </c>
      <c r="R727" t="s">
        <v>74</v>
      </c>
      <c r="S727" t="s">
        <v>74</v>
      </c>
      <c r="T727" t="s">
        <v>14188</v>
      </c>
      <c r="U727" t="s">
        <v>14189</v>
      </c>
      <c r="V727" t="s">
        <v>14190</v>
      </c>
      <c r="W727" t="s">
        <v>14191</v>
      </c>
      <c r="X727" t="s">
        <v>14192</v>
      </c>
      <c r="Y727" t="s">
        <v>14193</v>
      </c>
      <c r="Z727" t="s">
        <v>14194</v>
      </c>
      <c r="AA727" t="s">
        <v>14195</v>
      </c>
      <c r="AB727" t="s">
        <v>14196</v>
      </c>
      <c r="AC727" t="s">
        <v>14197</v>
      </c>
      <c r="AD727" t="s">
        <v>2329</v>
      </c>
      <c r="AE727" t="s">
        <v>74</v>
      </c>
      <c r="AF727" t="s">
        <v>74</v>
      </c>
      <c r="AG727">
        <v>25</v>
      </c>
      <c r="AH727">
        <v>4</v>
      </c>
      <c r="AI727">
        <v>4</v>
      </c>
      <c r="AJ727">
        <v>1</v>
      </c>
      <c r="AK727">
        <v>3</v>
      </c>
      <c r="AL727" t="s">
        <v>14198</v>
      </c>
      <c r="AM727" t="s">
        <v>4016</v>
      </c>
      <c r="AN727" t="s">
        <v>14199</v>
      </c>
      <c r="AO727" t="s">
        <v>14200</v>
      </c>
      <c r="AP727" t="s">
        <v>14201</v>
      </c>
      <c r="AQ727" t="s">
        <v>74</v>
      </c>
      <c r="AR727" t="s">
        <v>14202</v>
      </c>
      <c r="AS727" t="s">
        <v>14203</v>
      </c>
      <c r="AT727" t="s">
        <v>6722</v>
      </c>
      <c r="AU727">
        <v>2019</v>
      </c>
      <c r="AV727">
        <v>30</v>
      </c>
      <c r="AW727">
        <v>2</v>
      </c>
      <c r="AX727" t="s">
        <v>74</v>
      </c>
      <c r="AY727" t="s">
        <v>74</v>
      </c>
      <c r="AZ727" t="s">
        <v>74</v>
      </c>
      <c r="BA727" t="s">
        <v>74</v>
      </c>
      <c r="BB727">
        <v>210</v>
      </c>
      <c r="BC727">
        <v>216</v>
      </c>
      <c r="BD727" t="s">
        <v>74</v>
      </c>
      <c r="BE727" t="s">
        <v>14204</v>
      </c>
      <c r="BF727" t="str">
        <f>HYPERLINK("http://dx.doi.org/10.1016/j.wem.2018.12.010","http://dx.doi.org/10.1016/j.wem.2018.12.010")</f>
        <v>http://dx.doi.org/10.1016/j.wem.2018.12.010</v>
      </c>
      <c r="BG727" t="s">
        <v>74</v>
      </c>
      <c r="BH727" t="s">
        <v>74</v>
      </c>
      <c r="BI727">
        <v>7</v>
      </c>
      <c r="BJ727" t="s">
        <v>14205</v>
      </c>
      <c r="BK727" t="s">
        <v>101</v>
      </c>
      <c r="BL727" t="s">
        <v>14205</v>
      </c>
      <c r="BM727" t="s">
        <v>14206</v>
      </c>
      <c r="BN727">
        <v>32734898</v>
      </c>
      <c r="BO727" t="s">
        <v>5300</v>
      </c>
      <c r="BP727" t="s">
        <v>74</v>
      </c>
      <c r="BQ727" t="s">
        <v>74</v>
      </c>
      <c r="BR727" t="s">
        <v>103</v>
      </c>
      <c r="BS727" t="s">
        <v>14207</v>
      </c>
      <c r="BT727" t="str">
        <f>HYPERLINK("https%3A%2F%2Fwww.webofscience.com%2Fwos%2Fwoscc%2Ffull-record%2FWOS:000472986100017","View Full Record in Web of Science")</f>
        <v>View Full Record in Web of Science</v>
      </c>
    </row>
    <row r="728" spans="1:72" x14ac:dyDescent="0.15">
      <c r="A728" t="s">
        <v>72</v>
      </c>
      <c r="B728" t="s">
        <v>14208</v>
      </c>
      <c r="C728" t="s">
        <v>74</v>
      </c>
      <c r="D728" t="s">
        <v>74</v>
      </c>
      <c r="E728" t="s">
        <v>74</v>
      </c>
      <c r="F728" t="s">
        <v>14209</v>
      </c>
      <c r="G728" t="s">
        <v>74</v>
      </c>
      <c r="H728" t="s">
        <v>74</v>
      </c>
      <c r="I728" t="s">
        <v>14210</v>
      </c>
      <c r="J728" t="s">
        <v>11152</v>
      </c>
      <c r="K728" t="s">
        <v>74</v>
      </c>
      <c r="L728" t="s">
        <v>74</v>
      </c>
      <c r="M728" t="s">
        <v>78</v>
      </c>
      <c r="N728" t="s">
        <v>108</v>
      </c>
      <c r="O728" t="s">
        <v>74</v>
      </c>
      <c r="P728" t="s">
        <v>74</v>
      </c>
      <c r="Q728" t="s">
        <v>74</v>
      </c>
      <c r="R728" t="s">
        <v>74</v>
      </c>
      <c r="S728" t="s">
        <v>74</v>
      </c>
      <c r="T728" t="s">
        <v>14211</v>
      </c>
      <c r="U728" t="s">
        <v>14212</v>
      </c>
      <c r="V728" t="s">
        <v>14213</v>
      </c>
      <c r="W728" t="s">
        <v>14214</v>
      </c>
      <c r="X728" t="s">
        <v>14215</v>
      </c>
      <c r="Y728" t="s">
        <v>14216</v>
      </c>
      <c r="Z728" t="s">
        <v>14217</v>
      </c>
      <c r="AA728" t="s">
        <v>14218</v>
      </c>
      <c r="AB728" t="s">
        <v>14219</v>
      </c>
      <c r="AC728" t="s">
        <v>14220</v>
      </c>
      <c r="AD728" t="s">
        <v>14221</v>
      </c>
      <c r="AE728" t="s">
        <v>14222</v>
      </c>
      <c r="AF728" t="s">
        <v>74</v>
      </c>
      <c r="AG728">
        <v>74</v>
      </c>
      <c r="AH728">
        <v>16</v>
      </c>
      <c r="AI728">
        <v>16</v>
      </c>
      <c r="AJ728">
        <v>2</v>
      </c>
      <c r="AK728">
        <v>13</v>
      </c>
      <c r="AL728" t="s">
        <v>3084</v>
      </c>
      <c r="AM728" t="s">
        <v>93</v>
      </c>
      <c r="AN728" t="s">
        <v>3085</v>
      </c>
      <c r="AO728" t="s">
        <v>11165</v>
      </c>
      <c r="AP728" t="s">
        <v>11166</v>
      </c>
      <c r="AQ728" t="s">
        <v>74</v>
      </c>
      <c r="AR728" t="s">
        <v>11167</v>
      </c>
      <c r="AS728" t="s">
        <v>11168</v>
      </c>
      <c r="AT728" t="s">
        <v>6722</v>
      </c>
      <c r="AU728">
        <v>2019</v>
      </c>
      <c r="AV728">
        <v>217</v>
      </c>
      <c r="AW728">
        <v>3</v>
      </c>
      <c r="AX728" t="s">
        <v>74</v>
      </c>
      <c r="AY728" t="s">
        <v>74</v>
      </c>
      <c r="AZ728" t="s">
        <v>74</v>
      </c>
      <c r="BA728" t="s">
        <v>74</v>
      </c>
      <c r="BB728">
        <v>1821</v>
      </c>
      <c r="BC728">
        <v>1853</v>
      </c>
      <c r="BD728" t="s">
        <v>74</v>
      </c>
      <c r="BE728" t="s">
        <v>14223</v>
      </c>
      <c r="BF728" t="str">
        <f>HYPERLINK("http://dx.doi.org/10.1093/gji/ggz087","http://dx.doi.org/10.1093/gji/ggz087")</f>
        <v>http://dx.doi.org/10.1093/gji/ggz087</v>
      </c>
      <c r="BG728" t="s">
        <v>74</v>
      </c>
      <c r="BH728" t="s">
        <v>74</v>
      </c>
      <c r="BI728">
        <v>33</v>
      </c>
      <c r="BJ728" t="s">
        <v>190</v>
      </c>
      <c r="BK728" t="s">
        <v>101</v>
      </c>
      <c r="BL728" t="s">
        <v>190</v>
      </c>
      <c r="BM728" t="s">
        <v>14224</v>
      </c>
      <c r="BN728" t="s">
        <v>74</v>
      </c>
      <c r="BO728" t="s">
        <v>74</v>
      </c>
      <c r="BP728" t="s">
        <v>74</v>
      </c>
      <c r="BQ728" t="s">
        <v>74</v>
      </c>
      <c r="BR728" t="s">
        <v>103</v>
      </c>
      <c r="BS728" t="s">
        <v>14225</v>
      </c>
      <c r="BT728" t="str">
        <f>HYPERLINK("https%3A%2F%2Fwww.webofscience.com%2Fwos%2Fwoscc%2Ffull-record%2FWOS:000471966200022","View Full Record in Web of Science")</f>
        <v>View Full Record in Web of Science</v>
      </c>
    </row>
    <row r="729" spans="1:72" x14ac:dyDescent="0.15">
      <c r="A729" t="s">
        <v>72</v>
      </c>
      <c r="B729" t="s">
        <v>14226</v>
      </c>
      <c r="C729" t="s">
        <v>74</v>
      </c>
      <c r="D729" t="s">
        <v>74</v>
      </c>
      <c r="E729" t="s">
        <v>74</v>
      </c>
      <c r="F729" t="s">
        <v>14227</v>
      </c>
      <c r="G729" t="s">
        <v>74</v>
      </c>
      <c r="H729" t="s">
        <v>74</v>
      </c>
      <c r="I729" t="s">
        <v>14228</v>
      </c>
      <c r="J729" t="s">
        <v>14229</v>
      </c>
      <c r="K729" t="s">
        <v>74</v>
      </c>
      <c r="L729" t="s">
        <v>74</v>
      </c>
      <c r="M729" t="s">
        <v>78</v>
      </c>
      <c r="N729" t="s">
        <v>108</v>
      </c>
      <c r="O729" t="s">
        <v>74</v>
      </c>
      <c r="P729" t="s">
        <v>74</v>
      </c>
      <c r="Q729" t="s">
        <v>74</v>
      </c>
      <c r="R729" t="s">
        <v>74</v>
      </c>
      <c r="S729" t="s">
        <v>74</v>
      </c>
      <c r="T729" t="s">
        <v>14230</v>
      </c>
      <c r="U729" t="s">
        <v>14231</v>
      </c>
      <c r="V729" t="s">
        <v>14232</v>
      </c>
      <c r="W729" t="s">
        <v>14233</v>
      </c>
      <c r="X729" t="s">
        <v>14234</v>
      </c>
      <c r="Y729" t="s">
        <v>14235</v>
      </c>
      <c r="Z729" t="s">
        <v>14236</v>
      </c>
      <c r="AA729" t="s">
        <v>14237</v>
      </c>
      <c r="AB729" t="s">
        <v>14238</v>
      </c>
      <c r="AC729" t="s">
        <v>14239</v>
      </c>
      <c r="AD729" t="s">
        <v>14240</v>
      </c>
      <c r="AE729" t="s">
        <v>14241</v>
      </c>
      <c r="AF729" t="s">
        <v>74</v>
      </c>
      <c r="AG729">
        <v>35</v>
      </c>
      <c r="AH729">
        <v>10</v>
      </c>
      <c r="AI729">
        <v>10</v>
      </c>
      <c r="AJ729">
        <v>2</v>
      </c>
      <c r="AK729">
        <v>29</v>
      </c>
      <c r="AL729" t="s">
        <v>3533</v>
      </c>
      <c r="AM729" t="s">
        <v>93</v>
      </c>
      <c r="AN729" t="s">
        <v>3534</v>
      </c>
      <c r="AO729" t="s">
        <v>14242</v>
      </c>
      <c r="AP729" t="s">
        <v>14243</v>
      </c>
      <c r="AQ729" t="s">
        <v>74</v>
      </c>
      <c r="AR729" t="s">
        <v>14244</v>
      </c>
      <c r="AS729" t="s">
        <v>14245</v>
      </c>
      <c r="AT729" t="s">
        <v>6722</v>
      </c>
      <c r="AU729">
        <v>2019</v>
      </c>
      <c r="AV729">
        <v>17</v>
      </c>
      <c r="AW729" t="s">
        <v>74</v>
      </c>
      <c r="AX729" t="s">
        <v>74</v>
      </c>
      <c r="AY729" t="s">
        <v>74</v>
      </c>
      <c r="AZ729" t="s">
        <v>74</v>
      </c>
      <c r="BA729" t="s">
        <v>74</v>
      </c>
      <c r="BB729">
        <v>72</v>
      </c>
      <c r="BC729">
        <v>78</v>
      </c>
      <c r="BD729" t="s">
        <v>74</v>
      </c>
      <c r="BE729" t="s">
        <v>14246</v>
      </c>
      <c r="BF729" t="str">
        <f>HYPERLINK("http://dx.doi.org/10.1016/j.jgar.2018.11.005","http://dx.doi.org/10.1016/j.jgar.2018.11.005")</f>
        <v>http://dx.doi.org/10.1016/j.jgar.2018.11.005</v>
      </c>
      <c r="BG729" t="s">
        <v>74</v>
      </c>
      <c r="BH729" t="s">
        <v>74</v>
      </c>
      <c r="BI729">
        <v>7</v>
      </c>
      <c r="BJ729" t="s">
        <v>14247</v>
      </c>
      <c r="BK729" t="s">
        <v>101</v>
      </c>
      <c r="BL729" t="s">
        <v>14247</v>
      </c>
      <c r="BM729" t="s">
        <v>14248</v>
      </c>
      <c r="BN729">
        <v>30468914</v>
      </c>
      <c r="BO729" t="s">
        <v>74</v>
      </c>
      <c r="BP729" t="s">
        <v>74</v>
      </c>
      <c r="BQ729" t="s">
        <v>74</v>
      </c>
      <c r="BR729" t="s">
        <v>103</v>
      </c>
      <c r="BS729" t="s">
        <v>14249</v>
      </c>
      <c r="BT729" t="str">
        <f>HYPERLINK("https%3A%2F%2Fwww.webofscience.com%2Fwos%2Fwoscc%2Ffull-record%2FWOS:000471951900016","View Full Record in Web of Science")</f>
        <v>View Full Record in Web of Science</v>
      </c>
    </row>
    <row r="730" spans="1:72" x14ac:dyDescent="0.15">
      <c r="A730" t="s">
        <v>72</v>
      </c>
      <c r="B730" t="s">
        <v>14250</v>
      </c>
      <c r="C730" t="s">
        <v>74</v>
      </c>
      <c r="D730" t="s">
        <v>74</v>
      </c>
      <c r="E730" t="s">
        <v>74</v>
      </c>
      <c r="F730" t="s">
        <v>14251</v>
      </c>
      <c r="G730" t="s">
        <v>74</v>
      </c>
      <c r="H730" t="s">
        <v>74</v>
      </c>
      <c r="I730" t="s">
        <v>14252</v>
      </c>
      <c r="J730" t="s">
        <v>14253</v>
      </c>
      <c r="K730" t="s">
        <v>74</v>
      </c>
      <c r="L730" t="s">
        <v>74</v>
      </c>
      <c r="M730" t="s">
        <v>78</v>
      </c>
      <c r="N730" t="s">
        <v>108</v>
      </c>
      <c r="O730" t="s">
        <v>74</v>
      </c>
      <c r="P730" t="s">
        <v>74</v>
      </c>
      <c r="Q730" t="s">
        <v>74</v>
      </c>
      <c r="R730" t="s">
        <v>74</v>
      </c>
      <c r="S730" t="s">
        <v>74</v>
      </c>
      <c r="T730" t="s">
        <v>14254</v>
      </c>
      <c r="U730" t="s">
        <v>14255</v>
      </c>
      <c r="V730" t="s">
        <v>14256</v>
      </c>
      <c r="W730" t="s">
        <v>14257</v>
      </c>
      <c r="X730" t="s">
        <v>14258</v>
      </c>
      <c r="Y730" t="s">
        <v>14259</v>
      </c>
      <c r="Z730" t="s">
        <v>14260</v>
      </c>
      <c r="AA730" t="s">
        <v>14261</v>
      </c>
      <c r="AB730" t="s">
        <v>14262</v>
      </c>
      <c r="AC730" t="s">
        <v>14263</v>
      </c>
      <c r="AD730" t="s">
        <v>3082</v>
      </c>
      <c r="AE730" t="s">
        <v>14264</v>
      </c>
      <c r="AF730" t="s">
        <v>74</v>
      </c>
      <c r="AG730">
        <v>46</v>
      </c>
      <c r="AH730">
        <v>9</v>
      </c>
      <c r="AI730">
        <v>9</v>
      </c>
      <c r="AJ730">
        <v>0</v>
      </c>
      <c r="AK730">
        <v>15</v>
      </c>
      <c r="AL730" t="s">
        <v>1140</v>
      </c>
      <c r="AM730" t="s">
        <v>1141</v>
      </c>
      <c r="AN730" t="s">
        <v>1142</v>
      </c>
      <c r="AO730" t="s">
        <v>14265</v>
      </c>
      <c r="AP730" t="s">
        <v>14266</v>
      </c>
      <c r="AQ730" t="s">
        <v>74</v>
      </c>
      <c r="AR730" t="s">
        <v>14267</v>
      </c>
      <c r="AS730" t="s">
        <v>14268</v>
      </c>
      <c r="AT730" t="s">
        <v>6722</v>
      </c>
      <c r="AU730">
        <v>2019</v>
      </c>
      <c r="AV730">
        <v>138</v>
      </c>
      <c r="AW730">
        <v>2</v>
      </c>
      <c r="AX730" t="s">
        <v>74</v>
      </c>
      <c r="AY730" t="s">
        <v>74</v>
      </c>
      <c r="AZ730" t="s">
        <v>74</v>
      </c>
      <c r="BA730" t="s">
        <v>74</v>
      </c>
      <c r="BB730" t="s">
        <v>74</v>
      </c>
      <c r="BC730" t="s">
        <v>74</v>
      </c>
      <c r="BD730" t="s">
        <v>14269</v>
      </c>
      <c r="BE730" t="s">
        <v>14270</v>
      </c>
      <c r="BF730" t="str">
        <f>HYPERLINK("http://dx.doi.org/10.1111/ivb.12246","http://dx.doi.org/10.1111/ivb.12246")</f>
        <v>http://dx.doi.org/10.1111/ivb.12246</v>
      </c>
      <c r="BG730" t="s">
        <v>74</v>
      </c>
      <c r="BH730" t="s">
        <v>74</v>
      </c>
      <c r="BI730">
        <v>9</v>
      </c>
      <c r="BJ730" t="s">
        <v>3091</v>
      </c>
      <c r="BK730" t="s">
        <v>101</v>
      </c>
      <c r="BL730" t="s">
        <v>3091</v>
      </c>
      <c r="BM730" t="s">
        <v>14271</v>
      </c>
      <c r="BN730" t="s">
        <v>74</v>
      </c>
      <c r="BO730" t="s">
        <v>1308</v>
      </c>
      <c r="BP730" t="s">
        <v>74</v>
      </c>
      <c r="BQ730" t="s">
        <v>74</v>
      </c>
      <c r="BR730" t="s">
        <v>103</v>
      </c>
      <c r="BS730" t="s">
        <v>14272</v>
      </c>
      <c r="BT730" t="str">
        <f>HYPERLINK("https%3A%2F%2Fwww.webofscience.com%2Fwos%2Fwoscc%2Ffull-record%2FWOS:000471895200006","View Full Record in Web of Science")</f>
        <v>View Full Record in Web of Science</v>
      </c>
    </row>
    <row r="731" spans="1:72" x14ac:dyDescent="0.15">
      <c r="A731" t="s">
        <v>72</v>
      </c>
      <c r="B731" t="s">
        <v>14273</v>
      </c>
      <c r="C731" t="s">
        <v>74</v>
      </c>
      <c r="D731" t="s">
        <v>74</v>
      </c>
      <c r="E731" t="s">
        <v>74</v>
      </c>
      <c r="F731" t="s">
        <v>14274</v>
      </c>
      <c r="G731" t="s">
        <v>74</v>
      </c>
      <c r="H731" t="s">
        <v>74</v>
      </c>
      <c r="I731" t="s">
        <v>14275</v>
      </c>
      <c r="J731" t="s">
        <v>4823</v>
      </c>
      <c r="K731" t="s">
        <v>74</v>
      </c>
      <c r="L731" t="s">
        <v>74</v>
      </c>
      <c r="M731" t="s">
        <v>78</v>
      </c>
      <c r="N731" t="s">
        <v>108</v>
      </c>
      <c r="O731" t="s">
        <v>74</v>
      </c>
      <c r="P731" t="s">
        <v>74</v>
      </c>
      <c r="Q731" t="s">
        <v>74</v>
      </c>
      <c r="R731" t="s">
        <v>74</v>
      </c>
      <c r="S731" t="s">
        <v>74</v>
      </c>
      <c r="T731" t="s">
        <v>14276</v>
      </c>
      <c r="U731" t="s">
        <v>14277</v>
      </c>
      <c r="V731" t="s">
        <v>14278</v>
      </c>
      <c r="W731" t="s">
        <v>14279</v>
      </c>
      <c r="X731" t="s">
        <v>14280</v>
      </c>
      <c r="Y731" t="s">
        <v>14281</v>
      </c>
      <c r="Z731" t="s">
        <v>14282</v>
      </c>
      <c r="AA731" t="s">
        <v>14283</v>
      </c>
      <c r="AB731" t="s">
        <v>14284</v>
      </c>
      <c r="AC731" t="s">
        <v>14285</v>
      </c>
      <c r="AD731" t="s">
        <v>14286</v>
      </c>
      <c r="AE731" t="s">
        <v>14287</v>
      </c>
      <c r="AF731" t="s">
        <v>74</v>
      </c>
      <c r="AG731">
        <v>89</v>
      </c>
      <c r="AH731">
        <v>31</v>
      </c>
      <c r="AI731">
        <v>32</v>
      </c>
      <c r="AJ731">
        <v>6</v>
      </c>
      <c r="AK731">
        <v>32</v>
      </c>
      <c r="AL731" t="s">
        <v>2396</v>
      </c>
      <c r="AM731" t="s">
        <v>2397</v>
      </c>
      <c r="AN731" t="s">
        <v>2398</v>
      </c>
      <c r="AO731" t="s">
        <v>4834</v>
      </c>
      <c r="AP731" t="s">
        <v>4835</v>
      </c>
      <c r="AQ731" t="s">
        <v>74</v>
      </c>
      <c r="AR731" t="s">
        <v>4836</v>
      </c>
      <c r="AS731" t="s">
        <v>4837</v>
      </c>
      <c r="AT731" t="s">
        <v>6722</v>
      </c>
      <c r="AU731">
        <v>2019</v>
      </c>
      <c r="AV731">
        <v>26</v>
      </c>
      <c r="AW731">
        <v>18</v>
      </c>
      <c r="AX731" t="s">
        <v>74</v>
      </c>
      <c r="AY731" t="s">
        <v>74</v>
      </c>
      <c r="AZ731" t="s">
        <v>74</v>
      </c>
      <c r="BA731" t="s">
        <v>74</v>
      </c>
      <c r="BB731">
        <v>18143</v>
      </c>
      <c r="BC731">
        <v>18161</v>
      </c>
      <c r="BD731" t="s">
        <v>74</v>
      </c>
      <c r="BE731" t="s">
        <v>14288</v>
      </c>
      <c r="BF731" t="str">
        <f>HYPERLINK("http://dx.doi.org/10.1007/s11356-019-05045-w","http://dx.doi.org/10.1007/s11356-019-05045-w")</f>
        <v>http://dx.doi.org/10.1007/s11356-019-05045-w</v>
      </c>
      <c r="BG731" t="s">
        <v>74</v>
      </c>
      <c r="BH731" t="s">
        <v>74</v>
      </c>
      <c r="BI731">
        <v>19</v>
      </c>
      <c r="BJ731" t="s">
        <v>797</v>
      </c>
      <c r="BK731" t="s">
        <v>101</v>
      </c>
      <c r="BL731" t="s">
        <v>799</v>
      </c>
      <c r="BM731" t="s">
        <v>14289</v>
      </c>
      <c r="BN731">
        <v>31037533</v>
      </c>
      <c r="BO731" t="s">
        <v>952</v>
      </c>
      <c r="BP731" t="s">
        <v>74</v>
      </c>
      <c r="BQ731" t="s">
        <v>74</v>
      </c>
      <c r="BR731" t="s">
        <v>103</v>
      </c>
      <c r="BS731" t="s">
        <v>14290</v>
      </c>
      <c r="BT731" t="str">
        <f>HYPERLINK("https%3A%2F%2Fwww.webofscience.com%2Fwos%2Fwoscc%2Ffull-record%2FWOS:000471725900026","View Full Record in Web of Science")</f>
        <v>View Full Record in Web of Science</v>
      </c>
    </row>
    <row r="732" spans="1:72" x14ac:dyDescent="0.15">
      <c r="A732" t="s">
        <v>72</v>
      </c>
      <c r="B732" t="s">
        <v>14291</v>
      </c>
      <c r="C732" t="s">
        <v>74</v>
      </c>
      <c r="D732" t="s">
        <v>74</v>
      </c>
      <c r="E732" t="s">
        <v>74</v>
      </c>
      <c r="F732" t="s">
        <v>14292</v>
      </c>
      <c r="G732" t="s">
        <v>74</v>
      </c>
      <c r="H732" t="s">
        <v>74</v>
      </c>
      <c r="I732" t="s">
        <v>14293</v>
      </c>
      <c r="J732" t="s">
        <v>14294</v>
      </c>
      <c r="K732" t="s">
        <v>74</v>
      </c>
      <c r="L732" t="s">
        <v>74</v>
      </c>
      <c r="M732" t="s">
        <v>78</v>
      </c>
      <c r="N732" t="s">
        <v>79</v>
      </c>
      <c r="O732" t="s">
        <v>74</v>
      </c>
      <c r="P732" t="s">
        <v>74</v>
      </c>
      <c r="Q732" t="s">
        <v>74</v>
      </c>
      <c r="R732" t="s">
        <v>74</v>
      </c>
      <c r="S732" t="s">
        <v>74</v>
      </c>
      <c r="T732" t="s">
        <v>74</v>
      </c>
      <c r="U732" t="s">
        <v>14295</v>
      </c>
      <c r="V732" t="s">
        <v>14296</v>
      </c>
      <c r="W732" t="s">
        <v>14297</v>
      </c>
      <c r="X732" t="s">
        <v>3440</v>
      </c>
      <c r="Y732" t="s">
        <v>14298</v>
      </c>
      <c r="Z732" t="s">
        <v>14299</v>
      </c>
      <c r="AA732" t="s">
        <v>74</v>
      </c>
      <c r="AB732" t="s">
        <v>74</v>
      </c>
      <c r="AC732" t="s">
        <v>14197</v>
      </c>
      <c r="AD732" t="s">
        <v>2329</v>
      </c>
      <c r="AE732" t="s">
        <v>74</v>
      </c>
      <c r="AF732" t="s">
        <v>74</v>
      </c>
      <c r="AG732">
        <v>32</v>
      </c>
      <c r="AH732">
        <v>29</v>
      </c>
      <c r="AI732">
        <v>30</v>
      </c>
      <c r="AJ732">
        <v>1</v>
      </c>
      <c r="AK732">
        <v>11</v>
      </c>
      <c r="AL732" t="s">
        <v>14300</v>
      </c>
      <c r="AM732" t="s">
        <v>657</v>
      </c>
      <c r="AN732" t="s">
        <v>14301</v>
      </c>
      <c r="AO732" t="s">
        <v>14302</v>
      </c>
      <c r="AP732" t="s">
        <v>14303</v>
      </c>
      <c r="AQ732" t="s">
        <v>74</v>
      </c>
      <c r="AR732" t="s">
        <v>14304</v>
      </c>
      <c r="AS732" t="s">
        <v>14305</v>
      </c>
      <c r="AT732" t="s">
        <v>6722</v>
      </c>
      <c r="AU732">
        <v>2019</v>
      </c>
      <c r="AV732">
        <v>34</v>
      </c>
      <c r="AW732">
        <v>6</v>
      </c>
      <c r="AX732" t="s">
        <v>74</v>
      </c>
      <c r="AY732" t="s">
        <v>74</v>
      </c>
      <c r="AZ732" t="s">
        <v>74</v>
      </c>
      <c r="BA732" t="s">
        <v>74</v>
      </c>
      <c r="BB732">
        <v>502</v>
      </c>
      <c r="BC732">
        <v>509</v>
      </c>
      <c r="BD732" t="s">
        <v>74</v>
      </c>
      <c r="BE732" t="s">
        <v>14306</v>
      </c>
      <c r="BF732" t="str">
        <f>HYPERLINK("http://dx.doi.org/10.1016/j.tree.2019.02.003","http://dx.doi.org/10.1016/j.tree.2019.02.003")</f>
        <v>http://dx.doi.org/10.1016/j.tree.2019.02.003</v>
      </c>
      <c r="BG732" t="s">
        <v>74</v>
      </c>
      <c r="BH732" t="s">
        <v>74</v>
      </c>
      <c r="BI732">
        <v>8</v>
      </c>
      <c r="BJ732" t="s">
        <v>14307</v>
      </c>
      <c r="BK732" t="s">
        <v>101</v>
      </c>
      <c r="BL732" t="s">
        <v>14308</v>
      </c>
      <c r="BM732" t="s">
        <v>14309</v>
      </c>
      <c r="BN732">
        <v>30832986</v>
      </c>
      <c r="BO732" t="s">
        <v>164</v>
      </c>
      <c r="BP732" t="s">
        <v>74</v>
      </c>
      <c r="BQ732" t="s">
        <v>74</v>
      </c>
      <c r="BR732" t="s">
        <v>103</v>
      </c>
      <c r="BS732" t="s">
        <v>14310</v>
      </c>
      <c r="BT732" t="str">
        <f>HYPERLINK("https%3A%2F%2Fwww.webofscience.com%2Fwos%2Fwoscc%2Ffull-record%2FWOS:000471751300007","View Full Record in Web of Science")</f>
        <v>View Full Record in Web of Science</v>
      </c>
    </row>
    <row r="733" spans="1:72" x14ac:dyDescent="0.15">
      <c r="A733" t="s">
        <v>72</v>
      </c>
      <c r="B733" t="s">
        <v>14311</v>
      </c>
      <c r="C733" t="s">
        <v>74</v>
      </c>
      <c r="D733" t="s">
        <v>74</v>
      </c>
      <c r="E733" t="s">
        <v>74</v>
      </c>
      <c r="F733" t="s">
        <v>14312</v>
      </c>
      <c r="G733" t="s">
        <v>74</v>
      </c>
      <c r="H733" t="s">
        <v>74</v>
      </c>
      <c r="I733" t="s">
        <v>14313</v>
      </c>
      <c r="J733" t="s">
        <v>4531</v>
      </c>
      <c r="K733" t="s">
        <v>74</v>
      </c>
      <c r="L733" t="s">
        <v>74</v>
      </c>
      <c r="M733" t="s">
        <v>78</v>
      </c>
      <c r="N733" t="s">
        <v>108</v>
      </c>
      <c r="O733" t="s">
        <v>74</v>
      </c>
      <c r="P733" t="s">
        <v>74</v>
      </c>
      <c r="Q733" t="s">
        <v>74</v>
      </c>
      <c r="R733" t="s">
        <v>74</v>
      </c>
      <c r="S733" t="s">
        <v>74</v>
      </c>
      <c r="T733" t="s">
        <v>14314</v>
      </c>
      <c r="U733" t="s">
        <v>14315</v>
      </c>
      <c r="V733" t="s">
        <v>14316</v>
      </c>
      <c r="W733" t="s">
        <v>14317</v>
      </c>
      <c r="X733" t="s">
        <v>14318</v>
      </c>
      <c r="Y733" t="s">
        <v>14319</v>
      </c>
      <c r="Z733" t="s">
        <v>14320</v>
      </c>
      <c r="AA733" t="s">
        <v>74</v>
      </c>
      <c r="AB733" t="s">
        <v>14321</v>
      </c>
      <c r="AC733" t="s">
        <v>14322</v>
      </c>
      <c r="AD733" t="s">
        <v>14323</v>
      </c>
      <c r="AE733" t="s">
        <v>14324</v>
      </c>
      <c r="AF733" t="s">
        <v>74</v>
      </c>
      <c r="AG733">
        <v>25</v>
      </c>
      <c r="AH733">
        <v>0</v>
      </c>
      <c r="AI733">
        <v>0</v>
      </c>
      <c r="AJ733">
        <v>0</v>
      </c>
      <c r="AK733">
        <v>5</v>
      </c>
      <c r="AL733" t="s">
        <v>302</v>
      </c>
      <c r="AM733" t="s">
        <v>4016</v>
      </c>
      <c r="AN733" t="s">
        <v>4542</v>
      </c>
      <c r="AO733" t="s">
        <v>4543</v>
      </c>
      <c r="AP733" t="s">
        <v>4544</v>
      </c>
      <c r="AQ733" t="s">
        <v>74</v>
      </c>
      <c r="AR733" t="s">
        <v>4545</v>
      </c>
      <c r="AS733" t="s">
        <v>4546</v>
      </c>
      <c r="AT733" t="s">
        <v>6722</v>
      </c>
      <c r="AU733">
        <v>2019</v>
      </c>
      <c r="AV733">
        <v>31</v>
      </c>
      <c r="AW733">
        <v>3</v>
      </c>
      <c r="AX733" t="s">
        <v>74</v>
      </c>
      <c r="AY733" t="s">
        <v>74</v>
      </c>
      <c r="AZ733" t="s">
        <v>74</v>
      </c>
      <c r="BA733" t="s">
        <v>74</v>
      </c>
      <c r="BB733">
        <v>109</v>
      </c>
      <c r="BC733">
        <v>115</v>
      </c>
      <c r="BD733" t="s">
        <v>14325</v>
      </c>
      <c r="BE733" t="s">
        <v>14326</v>
      </c>
      <c r="BF733" t="str">
        <f>HYPERLINK("http://dx.doi.org/10.1017/S0954102019000051","http://dx.doi.org/10.1017/S0954102019000051")</f>
        <v>http://dx.doi.org/10.1017/S0954102019000051</v>
      </c>
      <c r="BG733" t="s">
        <v>74</v>
      </c>
      <c r="BH733" t="s">
        <v>74</v>
      </c>
      <c r="BI733">
        <v>7</v>
      </c>
      <c r="BJ733" t="s">
        <v>4549</v>
      </c>
      <c r="BK733" t="s">
        <v>101</v>
      </c>
      <c r="BL733" t="s">
        <v>4550</v>
      </c>
      <c r="BM733" t="s">
        <v>14327</v>
      </c>
      <c r="BN733" t="s">
        <v>74</v>
      </c>
      <c r="BO733" t="s">
        <v>74</v>
      </c>
      <c r="BP733" t="s">
        <v>74</v>
      </c>
      <c r="BQ733" t="s">
        <v>74</v>
      </c>
      <c r="BR733" t="s">
        <v>103</v>
      </c>
      <c r="BS733" t="s">
        <v>14328</v>
      </c>
      <c r="BT733" t="str">
        <f>HYPERLINK("https%3A%2F%2Fwww.webofscience.com%2Fwos%2Fwoscc%2Ffull-record%2FWOS:000471672400002","View Full Record in Web of Science")</f>
        <v>View Full Record in Web of Science</v>
      </c>
    </row>
    <row r="734" spans="1:72" x14ac:dyDescent="0.15">
      <c r="A734" t="s">
        <v>72</v>
      </c>
      <c r="B734" t="s">
        <v>14329</v>
      </c>
      <c r="C734" t="s">
        <v>74</v>
      </c>
      <c r="D734" t="s">
        <v>74</v>
      </c>
      <c r="E734" t="s">
        <v>74</v>
      </c>
      <c r="F734" t="s">
        <v>14330</v>
      </c>
      <c r="G734" t="s">
        <v>74</v>
      </c>
      <c r="H734" t="s">
        <v>74</v>
      </c>
      <c r="I734" t="s">
        <v>14331</v>
      </c>
      <c r="J734" t="s">
        <v>4531</v>
      </c>
      <c r="K734" t="s">
        <v>74</v>
      </c>
      <c r="L734" t="s">
        <v>74</v>
      </c>
      <c r="M734" t="s">
        <v>78</v>
      </c>
      <c r="N734" t="s">
        <v>108</v>
      </c>
      <c r="O734" t="s">
        <v>74</v>
      </c>
      <c r="P734" t="s">
        <v>74</v>
      </c>
      <c r="Q734" t="s">
        <v>74</v>
      </c>
      <c r="R734" t="s">
        <v>74</v>
      </c>
      <c r="S734" t="s">
        <v>74</v>
      </c>
      <c r="T734" t="s">
        <v>14332</v>
      </c>
      <c r="U734" t="s">
        <v>14333</v>
      </c>
      <c r="V734" t="s">
        <v>14334</v>
      </c>
      <c r="W734" t="s">
        <v>14335</v>
      </c>
      <c r="X734" t="s">
        <v>14336</v>
      </c>
      <c r="Y734" t="s">
        <v>14337</v>
      </c>
      <c r="Z734" t="s">
        <v>14338</v>
      </c>
      <c r="AA734" t="s">
        <v>14339</v>
      </c>
      <c r="AB734" t="s">
        <v>14340</v>
      </c>
      <c r="AC734" t="s">
        <v>14341</v>
      </c>
      <c r="AD734" t="s">
        <v>14342</v>
      </c>
      <c r="AE734" t="s">
        <v>14343</v>
      </c>
      <c r="AF734" t="s">
        <v>74</v>
      </c>
      <c r="AG734">
        <v>17</v>
      </c>
      <c r="AH734">
        <v>3</v>
      </c>
      <c r="AI734">
        <v>3</v>
      </c>
      <c r="AJ734">
        <v>0</v>
      </c>
      <c r="AK734">
        <v>7</v>
      </c>
      <c r="AL734" t="s">
        <v>302</v>
      </c>
      <c r="AM734" t="s">
        <v>4016</v>
      </c>
      <c r="AN734" t="s">
        <v>4542</v>
      </c>
      <c r="AO734" t="s">
        <v>4543</v>
      </c>
      <c r="AP734" t="s">
        <v>4544</v>
      </c>
      <c r="AQ734" t="s">
        <v>74</v>
      </c>
      <c r="AR734" t="s">
        <v>4545</v>
      </c>
      <c r="AS734" t="s">
        <v>4546</v>
      </c>
      <c r="AT734" t="s">
        <v>6722</v>
      </c>
      <c r="AU734">
        <v>2019</v>
      </c>
      <c r="AV734">
        <v>31</v>
      </c>
      <c r="AW734">
        <v>3</v>
      </c>
      <c r="AX734" t="s">
        <v>74</v>
      </c>
      <c r="AY734" t="s">
        <v>74</v>
      </c>
      <c r="AZ734" t="s">
        <v>74</v>
      </c>
      <c r="BA734" t="s">
        <v>74</v>
      </c>
      <c r="BB734">
        <v>116</v>
      </c>
      <c r="BC734">
        <v>122</v>
      </c>
      <c r="BD734" t="s">
        <v>74</v>
      </c>
      <c r="BE734" t="s">
        <v>14344</v>
      </c>
      <c r="BF734" t="str">
        <f>HYPERLINK("http://dx.doi.org/10.1017/S0954102019000063","http://dx.doi.org/10.1017/S0954102019000063")</f>
        <v>http://dx.doi.org/10.1017/S0954102019000063</v>
      </c>
      <c r="BG734" t="s">
        <v>74</v>
      </c>
      <c r="BH734" t="s">
        <v>74</v>
      </c>
      <c r="BI734">
        <v>7</v>
      </c>
      <c r="BJ734" t="s">
        <v>4549</v>
      </c>
      <c r="BK734" t="s">
        <v>101</v>
      </c>
      <c r="BL734" t="s">
        <v>4550</v>
      </c>
      <c r="BM734" t="s">
        <v>14327</v>
      </c>
      <c r="BN734" t="s">
        <v>74</v>
      </c>
      <c r="BO734" t="s">
        <v>74</v>
      </c>
      <c r="BP734" t="s">
        <v>74</v>
      </c>
      <c r="BQ734" t="s">
        <v>74</v>
      </c>
      <c r="BR734" t="s">
        <v>103</v>
      </c>
      <c r="BS734" t="s">
        <v>14345</v>
      </c>
      <c r="BT734" t="str">
        <f>HYPERLINK("https%3A%2F%2Fwww.webofscience.com%2Fwos%2Fwoscc%2Ffull-record%2FWOS:000471672400003","View Full Record in Web of Science")</f>
        <v>View Full Record in Web of Science</v>
      </c>
    </row>
    <row r="735" spans="1:72" x14ac:dyDescent="0.15">
      <c r="A735" t="s">
        <v>72</v>
      </c>
      <c r="B735" t="s">
        <v>14346</v>
      </c>
      <c r="C735" t="s">
        <v>74</v>
      </c>
      <c r="D735" t="s">
        <v>74</v>
      </c>
      <c r="E735" t="s">
        <v>74</v>
      </c>
      <c r="F735" t="s">
        <v>14347</v>
      </c>
      <c r="G735" t="s">
        <v>74</v>
      </c>
      <c r="H735" t="s">
        <v>74</v>
      </c>
      <c r="I735" t="s">
        <v>14348</v>
      </c>
      <c r="J735" t="s">
        <v>4531</v>
      </c>
      <c r="K735" t="s">
        <v>74</v>
      </c>
      <c r="L735" t="s">
        <v>74</v>
      </c>
      <c r="M735" t="s">
        <v>78</v>
      </c>
      <c r="N735" t="s">
        <v>108</v>
      </c>
      <c r="O735" t="s">
        <v>74</v>
      </c>
      <c r="P735" t="s">
        <v>74</v>
      </c>
      <c r="Q735" t="s">
        <v>74</v>
      </c>
      <c r="R735" t="s">
        <v>74</v>
      </c>
      <c r="S735" t="s">
        <v>74</v>
      </c>
      <c r="T735" t="s">
        <v>14349</v>
      </c>
      <c r="U735" t="s">
        <v>14350</v>
      </c>
      <c r="V735" t="s">
        <v>14351</v>
      </c>
      <c r="W735" t="s">
        <v>14352</v>
      </c>
      <c r="X735" t="s">
        <v>14353</v>
      </c>
      <c r="Y735" t="s">
        <v>14354</v>
      </c>
      <c r="Z735" t="s">
        <v>7010</v>
      </c>
      <c r="AA735" t="s">
        <v>14355</v>
      </c>
      <c r="AB735" t="s">
        <v>14356</v>
      </c>
      <c r="AC735" t="s">
        <v>14357</v>
      </c>
      <c r="AD735" t="s">
        <v>14358</v>
      </c>
      <c r="AE735" t="s">
        <v>14359</v>
      </c>
      <c r="AF735" t="s">
        <v>74</v>
      </c>
      <c r="AG735">
        <v>39</v>
      </c>
      <c r="AH735">
        <v>5</v>
      </c>
      <c r="AI735">
        <v>6</v>
      </c>
      <c r="AJ735">
        <v>0</v>
      </c>
      <c r="AK735">
        <v>29</v>
      </c>
      <c r="AL735" t="s">
        <v>302</v>
      </c>
      <c r="AM735" t="s">
        <v>4016</v>
      </c>
      <c r="AN735" t="s">
        <v>4542</v>
      </c>
      <c r="AO735" t="s">
        <v>4543</v>
      </c>
      <c r="AP735" t="s">
        <v>4544</v>
      </c>
      <c r="AQ735" t="s">
        <v>74</v>
      </c>
      <c r="AR735" t="s">
        <v>4545</v>
      </c>
      <c r="AS735" t="s">
        <v>4546</v>
      </c>
      <c r="AT735" t="s">
        <v>6722</v>
      </c>
      <c r="AU735">
        <v>2019</v>
      </c>
      <c r="AV735">
        <v>31</v>
      </c>
      <c r="AW735">
        <v>3</v>
      </c>
      <c r="AX735" t="s">
        <v>74</v>
      </c>
      <c r="AY735" t="s">
        <v>74</v>
      </c>
      <c r="AZ735" t="s">
        <v>74</v>
      </c>
      <c r="BA735" t="s">
        <v>74</v>
      </c>
      <c r="BB735">
        <v>123</v>
      </c>
      <c r="BC735">
        <v>132</v>
      </c>
      <c r="BD735" t="s">
        <v>14360</v>
      </c>
      <c r="BE735" t="s">
        <v>14361</v>
      </c>
      <c r="BF735" t="str">
        <f>HYPERLINK("http://dx.doi.org/10.1017/S0954102019000075","http://dx.doi.org/10.1017/S0954102019000075")</f>
        <v>http://dx.doi.org/10.1017/S0954102019000075</v>
      </c>
      <c r="BG735" t="s">
        <v>74</v>
      </c>
      <c r="BH735" t="s">
        <v>74</v>
      </c>
      <c r="BI735">
        <v>10</v>
      </c>
      <c r="BJ735" t="s">
        <v>4549</v>
      </c>
      <c r="BK735" t="s">
        <v>101</v>
      </c>
      <c r="BL735" t="s">
        <v>4550</v>
      </c>
      <c r="BM735" t="s">
        <v>14327</v>
      </c>
      <c r="BN735" t="s">
        <v>74</v>
      </c>
      <c r="BO735" t="s">
        <v>74</v>
      </c>
      <c r="BP735" t="s">
        <v>74</v>
      </c>
      <c r="BQ735" t="s">
        <v>74</v>
      </c>
      <c r="BR735" t="s">
        <v>103</v>
      </c>
      <c r="BS735" t="s">
        <v>14362</v>
      </c>
      <c r="BT735" t="str">
        <f>HYPERLINK("https%3A%2F%2Fwww.webofscience.com%2Fwos%2Fwoscc%2Ffull-record%2FWOS:000471672400004","View Full Record in Web of Science")</f>
        <v>View Full Record in Web of Science</v>
      </c>
    </row>
    <row r="736" spans="1:72" x14ac:dyDescent="0.15">
      <c r="A736" t="s">
        <v>72</v>
      </c>
      <c r="B736" t="s">
        <v>14363</v>
      </c>
      <c r="C736" t="s">
        <v>74</v>
      </c>
      <c r="D736" t="s">
        <v>74</v>
      </c>
      <c r="E736" t="s">
        <v>74</v>
      </c>
      <c r="F736" t="s">
        <v>14364</v>
      </c>
      <c r="G736" t="s">
        <v>74</v>
      </c>
      <c r="H736" t="s">
        <v>74</v>
      </c>
      <c r="I736" t="s">
        <v>14365</v>
      </c>
      <c r="J736" t="s">
        <v>4531</v>
      </c>
      <c r="K736" t="s">
        <v>74</v>
      </c>
      <c r="L736" t="s">
        <v>74</v>
      </c>
      <c r="M736" t="s">
        <v>78</v>
      </c>
      <c r="N736" t="s">
        <v>108</v>
      </c>
      <c r="O736" t="s">
        <v>74</v>
      </c>
      <c r="P736" t="s">
        <v>74</v>
      </c>
      <c r="Q736" t="s">
        <v>74</v>
      </c>
      <c r="R736" t="s">
        <v>74</v>
      </c>
      <c r="S736" t="s">
        <v>74</v>
      </c>
      <c r="T736" t="s">
        <v>14366</v>
      </c>
      <c r="U736" t="s">
        <v>14367</v>
      </c>
      <c r="V736" t="s">
        <v>14368</v>
      </c>
      <c r="W736" t="s">
        <v>14369</v>
      </c>
      <c r="X736" t="s">
        <v>3440</v>
      </c>
      <c r="Y736" t="s">
        <v>14370</v>
      </c>
      <c r="Z736" t="s">
        <v>14371</v>
      </c>
      <c r="AA736" t="s">
        <v>74</v>
      </c>
      <c r="AB736" t="s">
        <v>74</v>
      </c>
      <c r="AC736" t="s">
        <v>14372</v>
      </c>
      <c r="AD736" t="s">
        <v>14373</v>
      </c>
      <c r="AE736" t="s">
        <v>14374</v>
      </c>
      <c r="AF736" t="s">
        <v>74</v>
      </c>
      <c r="AG736">
        <v>20</v>
      </c>
      <c r="AH736">
        <v>25</v>
      </c>
      <c r="AI736">
        <v>27</v>
      </c>
      <c r="AJ736">
        <v>2</v>
      </c>
      <c r="AK736">
        <v>37</v>
      </c>
      <c r="AL736" t="s">
        <v>302</v>
      </c>
      <c r="AM736" t="s">
        <v>4016</v>
      </c>
      <c r="AN736" t="s">
        <v>4542</v>
      </c>
      <c r="AO736" t="s">
        <v>4543</v>
      </c>
      <c r="AP736" t="s">
        <v>4544</v>
      </c>
      <c r="AQ736" t="s">
        <v>74</v>
      </c>
      <c r="AR736" t="s">
        <v>4545</v>
      </c>
      <c r="AS736" t="s">
        <v>4546</v>
      </c>
      <c r="AT736" t="s">
        <v>6722</v>
      </c>
      <c r="AU736">
        <v>2019</v>
      </c>
      <c r="AV736">
        <v>31</v>
      </c>
      <c r="AW736">
        <v>3</v>
      </c>
      <c r="AX736" t="s">
        <v>74</v>
      </c>
      <c r="AY736" t="s">
        <v>74</v>
      </c>
      <c r="AZ736" t="s">
        <v>74</v>
      </c>
      <c r="BA736" t="s">
        <v>74</v>
      </c>
      <c r="BB736">
        <v>133</v>
      </c>
      <c r="BC736">
        <v>138</v>
      </c>
      <c r="BD736" t="s">
        <v>74</v>
      </c>
      <c r="BE736" t="s">
        <v>14375</v>
      </c>
      <c r="BF736" t="str">
        <f>HYPERLINK("http://dx.doi.org/10.1017/S0954102019000099","http://dx.doi.org/10.1017/S0954102019000099")</f>
        <v>http://dx.doi.org/10.1017/S0954102019000099</v>
      </c>
      <c r="BG736" t="s">
        <v>74</v>
      </c>
      <c r="BH736" t="s">
        <v>74</v>
      </c>
      <c r="BI736">
        <v>6</v>
      </c>
      <c r="BJ736" t="s">
        <v>4549</v>
      </c>
      <c r="BK736" t="s">
        <v>101</v>
      </c>
      <c r="BL736" t="s">
        <v>4550</v>
      </c>
      <c r="BM736" t="s">
        <v>14327</v>
      </c>
      <c r="BN736" t="s">
        <v>74</v>
      </c>
      <c r="BO736" t="s">
        <v>1308</v>
      </c>
      <c r="BP736" t="s">
        <v>74</v>
      </c>
      <c r="BQ736" t="s">
        <v>74</v>
      </c>
      <c r="BR736" t="s">
        <v>103</v>
      </c>
      <c r="BS736" t="s">
        <v>14376</v>
      </c>
      <c r="BT736" t="str">
        <f>HYPERLINK("https%3A%2F%2Fwww.webofscience.com%2Fwos%2Fwoscc%2Ffull-record%2FWOS:000471672400005","View Full Record in Web of Science")</f>
        <v>View Full Record in Web of Science</v>
      </c>
    </row>
    <row r="737" spans="1:72" x14ac:dyDescent="0.15">
      <c r="A737" t="s">
        <v>72</v>
      </c>
      <c r="B737" t="s">
        <v>14377</v>
      </c>
      <c r="C737" t="s">
        <v>74</v>
      </c>
      <c r="D737" t="s">
        <v>74</v>
      </c>
      <c r="E737" t="s">
        <v>74</v>
      </c>
      <c r="F737" t="s">
        <v>14378</v>
      </c>
      <c r="G737" t="s">
        <v>74</v>
      </c>
      <c r="H737" t="s">
        <v>74</v>
      </c>
      <c r="I737" t="s">
        <v>14379</v>
      </c>
      <c r="J737" t="s">
        <v>4531</v>
      </c>
      <c r="K737" t="s">
        <v>74</v>
      </c>
      <c r="L737" t="s">
        <v>74</v>
      </c>
      <c r="M737" t="s">
        <v>78</v>
      </c>
      <c r="N737" t="s">
        <v>108</v>
      </c>
      <c r="O737" t="s">
        <v>74</v>
      </c>
      <c r="P737" t="s">
        <v>74</v>
      </c>
      <c r="Q737" t="s">
        <v>74</v>
      </c>
      <c r="R737" t="s">
        <v>74</v>
      </c>
      <c r="S737" t="s">
        <v>74</v>
      </c>
      <c r="T737" t="s">
        <v>14380</v>
      </c>
      <c r="U737" t="s">
        <v>14381</v>
      </c>
      <c r="V737" t="s">
        <v>14382</v>
      </c>
      <c r="W737" t="s">
        <v>14383</v>
      </c>
      <c r="X737" t="s">
        <v>14384</v>
      </c>
      <c r="Y737" t="s">
        <v>14385</v>
      </c>
      <c r="Z737" t="s">
        <v>14386</v>
      </c>
      <c r="AA737" t="s">
        <v>14387</v>
      </c>
      <c r="AB737" t="s">
        <v>14388</v>
      </c>
      <c r="AC737" t="s">
        <v>74</v>
      </c>
      <c r="AD737" t="s">
        <v>74</v>
      </c>
      <c r="AE737" t="s">
        <v>74</v>
      </c>
      <c r="AF737" t="s">
        <v>74</v>
      </c>
      <c r="AG737">
        <v>32</v>
      </c>
      <c r="AH737">
        <v>0</v>
      </c>
      <c r="AI737">
        <v>1</v>
      </c>
      <c r="AJ737">
        <v>0</v>
      </c>
      <c r="AK737">
        <v>3</v>
      </c>
      <c r="AL737" t="s">
        <v>302</v>
      </c>
      <c r="AM737" t="s">
        <v>4016</v>
      </c>
      <c r="AN737" t="s">
        <v>4542</v>
      </c>
      <c r="AO737" t="s">
        <v>4543</v>
      </c>
      <c r="AP737" t="s">
        <v>4544</v>
      </c>
      <c r="AQ737" t="s">
        <v>74</v>
      </c>
      <c r="AR737" t="s">
        <v>4545</v>
      </c>
      <c r="AS737" t="s">
        <v>4546</v>
      </c>
      <c r="AT737" t="s">
        <v>6722</v>
      </c>
      <c r="AU737">
        <v>2019</v>
      </c>
      <c r="AV737">
        <v>31</v>
      </c>
      <c r="AW737">
        <v>3</v>
      </c>
      <c r="AX737" t="s">
        <v>74</v>
      </c>
      <c r="AY737" t="s">
        <v>74</v>
      </c>
      <c r="AZ737" t="s">
        <v>74</v>
      </c>
      <c r="BA737" t="s">
        <v>74</v>
      </c>
      <c r="BB737">
        <v>139</v>
      </c>
      <c r="BC737">
        <v>149</v>
      </c>
      <c r="BD737" t="s">
        <v>14389</v>
      </c>
      <c r="BE737" t="s">
        <v>14390</v>
      </c>
      <c r="BF737" t="str">
        <f>HYPERLINK("http://dx.doi.org/10.1017/S0954102019000129","http://dx.doi.org/10.1017/S0954102019000129")</f>
        <v>http://dx.doi.org/10.1017/S0954102019000129</v>
      </c>
      <c r="BG737" t="s">
        <v>74</v>
      </c>
      <c r="BH737" t="s">
        <v>74</v>
      </c>
      <c r="BI737">
        <v>11</v>
      </c>
      <c r="BJ737" t="s">
        <v>4549</v>
      </c>
      <c r="BK737" t="s">
        <v>101</v>
      </c>
      <c r="BL737" t="s">
        <v>4550</v>
      </c>
      <c r="BM737" t="s">
        <v>14327</v>
      </c>
      <c r="BN737" t="s">
        <v>74</v>
      </c>
      <c r="BO737" t="s">
        <v>74</v>
      </c>
      <c r="BP737" t="s">
        <v>74</v>
      </c>
      <c r="BQ737" t="s">
        <v>74</v>
      </c>
      <c r="BR737" t="s">
        <v>103</v>
      </c>
      <c r="BS737" t="s">
        <v>14391</v>
      </c>
      <c r="BT737" t="str">
        <f>HYPERLINK("https%3A%2F%2Fwww.webofscience.com%2Fwos%2Fwoscc%2Ffull-record%2FWOS:000471672400006","View Full Record in Web of Science")</f>
        <v>View Full Record in Web of Science</v>
      </c>
    </row>
    <row r="738" spans="1:72" x14ac:dyDescent="0.15">
      <c r="A738" t="s">
        <v>72</v>
      </c>
      <c r="B738" t="s">
        <v>14392</v>
      </c>
      <c r="C738" t="s">
        <v>74</v>
      </c>
      <c r="D738" t="s">
        <v>74</v>
      </c>
      <c r="E738" t="s">
        <v>74</v>
      </c>
      <c r="F738" t="s">
        <v>14393</v>
      </c>
      <c r="G738" t="s">
        <v>74</v>
      </c>
      <c r="H738" t="s">
        <v>74</v>
      </c>
      <c r="I738" t="s">
        <v>14394</v>
      </c>
      <c r="J738" t="s">
        <v>4531</v>
      </c>
      <c r="K738" t="s">
        <v>74</v>
      </c>
      <c r="L738" t="s">
        <v>74</v>
      </c>
      <c r="M738" t="s">
        <v>78</v>
      </c>
      <c r="N738" t="s">
        <v>108</v>
      </c>
      <c r="O738" t="s">
        <v>74</v>
      </c>
      <c r="P738" t="s">
        <v>74</v>
      </c>
      <c r="Q738" t="s">
        <v>74</v>
      </c>
      <c r="R738" t="s">
        <v>74</v>
      </c>
      <c r="S738" t="s">
        <v>74</v>
      </c>
      <c r="T738" t="s">
        <v>14395</v>
      </c>
      <c r="U738" t="s">
        <v>14396</v>
      </c>
      <c r="V738" t="s">
        <v>14397</v>
      </c>
      <c r="W738" t="s">
        <v>14398</v>
      </c>
      <c r="X738" t="s">
        <v>7890</v>
      </c>
      <c r="Y738" t="s">
        <v>14399</v>
      </c>
      <c r="Z738" t="s">
        <v>14400</v>
      </c>
      <c r="AA738" t="s">
        <v>74</v>
      </c>
      <c r="AB738" t="s">
        <v>74</v>
      </c>
      <c r="AC738" t="s">
        <v>14401</v>
      </c>
      <c r="AD738" t="s">
        <v>14402</v>
      </c>
      <c r="AE738" t="s">
        <v>14403</v>
      </c>
      <c r="AF738" t="s">
        <v>74</v>
      </c>
      <c r="AG738">
        <v>41</v>
      </c>
      <c r="AH738">
        <v>1</v>
      </c>
      <c r="AI738">
        <v>2</v>
      </c>
      <c r="AJ738">
        <v>1</v>
      </c>
      <c r="AK738">
        <v>30</v>
      </c>
      <c r="AL738" t="s">
        <v>302</v>
      </c>
      <c r="AM738" t="s">
        <v>4016</v>
      </c>
      <c r="AN738" t="s">
        <v>4542</v>
      </c>
      <c r="AO738" t="s">
        <v>4543</v>
      </c>
      <c r="AP738" t="s">
        <v>4544</v>
      </c>
      <c r="AQ738" t="s">
        <v>74</v>
      </c>
      <c r="AR738" t="s">
        <v>4545</v>
      </c>
      <c r="AS738" t="s">
        <v>4546</v>
      </c>
      <c r="AT738" t="s">
        <v>6722</v>
      </c>
      <c r="AU738">
        <v>2019</v>
      </c>
      <c r="AV738">
        <v>31</v>
      </c>
      <c r="AW738">
        <v>3</v>
      </c>
      <c r="AX738" t="s">
        <v>74</v>
      </c>
      <c r="AY738" t="s">
        <v>74</v>
      </c>
      <c r="AZ738" t="s">
        <v>74</v>
      </c>
      <c r="BA738" t="s">
        <v>74</v>
      </c>
      <c r="BB738">
        <v>150</v>
      </c>
      <c r="BC738">
        <v>164</v>
      </c>
      <c r="BD738" t="s">
        <v>74</v>
      </c>
      <c r="BE738" t="s">
        <v>14404</v>
      </c>
      <c r="BF738" t="str">
        <f>HYPERLINK("http://dx.doi.org/10.1017/S0954102019000154","http://dx.doi.org/10.1017/S0954102019000154")</f>
        <v>http://dx.doi.org/10.1017/S0954102019000154</v>
      </c>
      <c r="BG738" t="s">
        <v>74</v>
      </c>
      <c r="BH738" t="s">
        <v>74</v>
      </c>
      <c r="BI738">
        <v>15</v>
      </c>
      <c r="BJ738" t="s">
        <v>4549</v>
      </c>
      <c r="BK738" t="s">
        <v>101</v>
      </c>
      <c r="BL738" t="s">
        <v>4550</v>
      </c>
      <c r="BM738" t="s">
        <v>14327</v>
      </c>
      <c r="BN738" t="s">
        <v>74</v>
      </c>
      <c r="BO738" t="s">
        <v>74</v>
      </c>
      <c r="BP738" t="s">
        <v>74</v>
      </c>
      <c r="BQ738" t="s">
        <v>74</v>
      </c>
      <c r="BR738" t="s">
        <v>103</v>
      </c>
      <c r="BS738" t="s">
        <v>14405</v>
      </c>
      <c r="BT738" t="str">
        <f>HYPERLINK("https%3A%2F%2Fwww.webofscience.com%2Fwos%2Fwoscc%2Ffull-record%2FWOS:000471672400007","View Full Record in Web of Science")</f>
        <v>View Full Record in Web of Science</v>
      </c>
    </row>
    <row r="739" spans="1:72" x14ac:dyDescent="0.15">
      <c r="A739" t="s">
        <v>72</v>
      </c>
      <c r="B739" t="s">
        <v>14406</v>
      </c>
      <c r="C739" t="s">
        <v>74</v>
      </c>
      <c r="D739" t="s">
        <v>74</v>
      </c>
      <c r="E739" t="s">
        <v>74</v>
      </c>
      <c r="F739" t="s">
        <v>14407</v>
      </c>
      <c r="G739" t="s">
        <v>74</v>
      </c>
      <c r="H739" t="s">
        <v>74</v>
      </c>
      <c r="I739" t="s">
        <v>14408</v>
      </c>
      <c r="J739" t="s">
        <v>4531</v>
      </c>
      <c r="K739" t="s">
        <v>74</v>
      </c>
      <c r="L739" t="s">
        <v>74</v>
      </c>
      <c r="M739" t="s">
        <v>78</v>
      </c>
      <c r="N739" t="s">
        <v>108</v>
      </c>
      <c r="O739" t="s">
        <v>74</v>
      </c>
      <c r="P739" t="s">
        <v>74</v>
      </c>
      <c r="Q739" t="s">
        <v>74</v>
      </c>
      <c r="R739" t="s">
        <v>74</v>
      </c>
      <c r="S739" t="s">
        <v>74</v>
      </c>
      <c r="T739" t="s">
        <v>74</v>
      </c>
      <c r="U739" t="s">
        <v>14409</v>
      </c>
      <c r="V739" t="s">
        <v>14410</v>
      </c>
      <c r="W739" t="s">
        <v>14411</v>
      </c>
      <c r="X739" t="s">
        <v>14412</v>
      </c>
      <c r="Y739" t="s">
        <v>14413</v>
      </c>
      <c r="Z739" t="s">
        <v>14414</v>
      </c>
      <c r="AA739" t="s">
        <v>74</v>
      </c>
      <c r="AB739" t="s">
        <v>14415</v>
      </c>
      <c r="AC739" t="s">
        <v>14416</v>
      </c>
      <c r="AD739" t="s">
        <v>4459</v>
      </c>
      <c r="AE739" t="s">
        <v>14417</v>
      </c>
      <c r="AF739" t="s">
        <v>74</v>
      </c>
      <c r="AG739">
        <v>13</v>
      </c>
      <c r="AH739">
        <v>3</v>
      </c>
      <c r="AI739">
        <v>3</v>
      </c>
      <c r="AJ739">
        <v>3</v>
      </c>
      <c r="AK739">
        <v>10</v>
      </c>
      <c r="AL739" t="s">
        <v>302</v>
      </c>
      <c r="AM739" t="s">
        <v>4016</v>
      </c>
      <c r="AN739" t="s">
        <v>4542</v>
      </c>
      <c r="AO739" t="s">
        <v>4543</v>
      </c>
      <c r="AP739" t="s">
        <v>4544</v>
      </c>
      <c r="AQ739" t="s">
        <v>74</v>
      </c>
      <c r="AR739" t="s">
        <v>4545</v>
      </c>
      <c r="AS739" t="s">
        <v>4546</v>
      </c>
      <c r="AT739" t="s">
        <v>6722</v>
      </c>
      <c r="AU739">
        <v>2019</v>
      </c>
      <c r="AV739">
        <v>31</v>
      </c>
      <c r="AW739">
        <v>3</v>
      </c>
      <c r="AX739" t="s">
        <v>74</v>
      </c>
      <c r="AY739" t="s">
        <v>74</v>
      </c>
      <c r="AZ739" t="s">
        <v>74</v>
      </c>
      <c r="BA739" t="s">
        <v>74</v>
      </c>
      <c r="BB739">
        <v>165</v>
      </c>
      <c r="BC739">
        <v>166</v>
      </c>
      <c r="BD739" t="s">
        <v>74</v>
      </c>
      <c r="BE739" t="s">
        <v>14418</v>
      </c>
      <c r="BF739" t="str">
        <f>HYPERLINK("http://dx.doi.org/10.1017/S095410201900004X","http://dx.doi.org/10.1017/S095410201900004X")</f>
        <v>http://dx.doi.org/10.1017/S095410201900004X</v>
      </c>
      <c r="BG739" t="s">
        <v>74</v>
      </c>
      <c r="BH739" t="s">
        <v>74</v>
      </c>
      <c r="BI739">
        <v>2</v>
      </c>
      <c r="BJ739" t="s">
        <v>4549</v>
      </c>
      <c r="BK739" t="s">
        <v>101</v>
      </c>
      <c r="BL739" t="s">
        <v>4550</v>
      </c>
      <c r="BM739" t="s">
        <v>14327</v>
      </c>
      <c r="BN739" t="s">
        <v>74</v>
      </c>
      <c r="BO739" t="s">
        <v>74</v>
      </c>
      <c r="BP739" t="s">
        <v>74</v>
      </c>
      <c r="BQ739" t="s">
        <v>74</v>
      </c>
      <c r="BR739" t="s">
        <v>103</v>
      </c>
      <c r="BS739" t="s">
        <v>14419</v>
      </c>
      <c r="BT739" t="str">
        <f>HYPERLINK("https%3A%2F%2Fwww.webofscience.com%2Fwos%2Fwoscc%2Ffull-record%2FWOS:000471672400008","View Full Record in Web of Science")</f>
        <v>View Full Record in Web of Science</v>
      </c>
    </row>
    <row r="740" spans="1:72" x14ac:dyDescent="0.15">
      <c r="A740" t="s">
        <v>72</v>
      </c>
      <c r="B740" t="s">
        <v>14420</v>
      </c>
      <c r="C740" t="s">
        <v>74</v>
      </c>
      <c r="D740" t="s">
        <v>74</v>
      </c>
      <c r="E740" t="s">
        <v>74</v>
      </c>
      <c r="F740" t="s">
        <v>14421</v>
      </c>
      <c r="G740" t="s">
        <v>74</v>
      </c>
      <c r="H740" t="s">
        <v>74</v>
      </c>
      <c r="I740" t="s">
        <v>14422</v>
      </c>
      <c r="J740" t="s">
        <v>14423</v>
      </c>
      <c r="K740" t="s">
        <v>74</v>
      </c>
      <c r="L740" t="s">
        <v>74</v>
      </c>
      <c r="M740" t="s">
        <v>78</v>
      </c>
      <c r="N740" t="s">
        <v>108</v>
      </c>
      <c r="O740" t="s">
        <v>74</v>
      </c>
      <c r="P740" t="s">
        <v>74</v>
      </c>
      <c r="Q740" t="s">
        <v>74</v>
      </c>
      <c r="R740" t="s">
        <v>74</v>
      </c>
      <c r="S740" t="s">
        <v>74</v>
      </c>
      <c r="T740" t="s">
        <v>14424</v>
      </c>
      <c r="U740" t="s">
        <v>14425</v>
      </c>
      <c r="V740" t="s">
        <v>14426</v>
      </c>
      <c r="W740" t="s">
        <v>14427</v>
      </c>
      <c r="X740" t="s">
        <v>14428</v>
      </c>
      <c r="Y740" t="s">
        <v>14429</v>
      </c>
      <c r="Z740" t="s">
        <v>14430</v>
      </c>
      <c r="AA740" t="s">
        <v>14431</v>
      </c>
      <c r="AB740" t="s">
        <v>14432</v>
      </c>
      <c r="AC740" t="s">
        <v>14433</v>
      </c>
      <c r="AD740" t="s">
        <v>14434</v>
      </c>
      <c r="AE740" t="s">
        <v>14435</v>
      </c>
      <c r="AF740" t="s">
        <v>74</v>
      </c>
      <c r="AG740">
        <v>65</v>
      </c>
      <c r="AH740">
        <v>8</v>
      </c>
      <c r="AI740">
        <v>10</v>
      </c>
      <c r="AJ740">
        <v>1</v>
      </c>
      <c r="AK740">
        <v>8</v>
      </c>
      <c r="AL740" t="s">
        <v>13392</v>
      </c>
      <c r="AM740" t="s">
        <v>13393</v>
      </c>
      <c r="AN740" t="s">
        <v>13394</v>
      </c>
      <c r="AO740" t="s">
        <v>14436</v>
      </c>
      <c r="AP740" t="s">
        <v>14437</v>
      </c>
      <c r="AQ740" t="s">
        <v>74</v>
      </c>
      <c r="AR740" t="s">
        <v>14438</v>
      </c>
      <c r="AS740" t="s">
        <v>14439</v>
      </c>
      <c r="AT740" t="s">
        <v>6722</v>
      </c>
      <c r="AU740">
        <v>2019</v>
      </c>
      <c r="AV740">
        <v>41</v>
      </c>
      <c r="AW740">
        <v>2</v>
      </c>
      <c r="AX740" t="s">
        <v>74</v>
      </c>
      <c r="AY740" t="s">
        <v>74</v>
      </c>
      <c r="AZ740" t="s">
        <v>74</v>
      </c>
      <c r="BA740" t="s">
        <v>74</v>
      </c>
      <c r="BB740" t="s">
        <v>74</v>
      </c>
      <c r="BC740" t="s">
        <v>74</v>
      </c>
      <c r="BD740">
        <v>26</v>
      </c>
      <c r="BE740" t="s">
        <v>14440</v>
      </c>
      <c r="BF740" t="str">
        <f>HYPERLINK("http://dx.doi.org/10.1007/s40656-019-0264-z","http://dx.doi.org/10.1007/s40656-019-0264-z")</f>
        <v>http://dx.doi.org/10.1007/s40656-019-0264-z</v>
      </c>
      <c r="BG740" t="s">
        <v>74</v>
      </c>
      <c r="BH740" t="s">
        <v>74</v>
      </c>
      <c r="BI740">
        <v>20</v>
      </c>
      <c r="BJ740" t="s">
        <v>14441</v>
      </c>
      <c r="BK740" t="s">
        <v>14442</v>
      </c>
      <c r="BL740" t="s">
        <v>14443</v>
      </c>
      <c r="BM740" t="s">
        <v>14444</v>
      </c>
      <c r="BN740">
        <v>31197607</v>
      </c>
      <c r="BO740" t="s">
        <v>595</v>
      </c>
      <c r="BP740" t="s">
        <v>74</v>
      </c>
      <c r="BQ740" t="s">
        <v>74</v>
      </c>
      <c r="BR740" t="s">
        <v>103</v>
      </c>
      <c r="BS740" t="s">
        <v>14445</v>
      </c>
      <c r="BT740" t="str">
        <f>HYPERLINK("https%3A%2F%2Fwww.webofscience.com%2Fwos%2Fwoscc%2Ffull-record%2FWOS:000471606700002","View Full Record in Web of Science")</f>
        <v>View Full Record in Web of Science</v>
      </c>
    </row>
    <row r="741" spans="1:72" x14ac:dyDescent="0.15">
      <c r="A741" t="s">
        <v>72</v>
      </c>
      <c r="B741" t="s">
        <v>14446</v>
      </c>
      <c r="C741" t="s">
        <v>74</v>
      </c>
      <c r="D741" t="s">
        <v>74</v>
      </c>
      <c r="E741" t="s">
        <v>74</v>
      </c>
      <c r="F741" t="s">
        <v>14447</v>
      </c>
      <c r="G741" t="s">
        <v>74</v>
      </c>
      <c r="H741" t="s">
        <v>74</v>
      </c>
      <c r="I741" t="s">
        <v>14448</v>
      </c>
      <c r="J741" t="s">
        <v>10959</v>
      </c>
      <c r="K741" t="s">
        <v>74</v>
      </c>
      <c r="L741" t="s">
        <v>74</v>
      </c>
      <c r="M741" t="s">
        <v>78</v>
      </c>
      <c r="N741" t="s">
        <v>108</v>
      </c>
      <c r="O741" t="s">
        <v>74</v>
      </c>
      <c r="P741" t="s">
        <v>74</v>
      </c>
      <c r="Q741" t="s">
        <v>74</v>
      </c>
      <c r="R741" t="s">
        <v>74</v>
      </c>
      <c r="S741" t="s">
        <v>74</v>
      </c>
      <c r="T741" t="s">
        <v>14449</v>
      </c>
      <c r="U741" t="s">
        <v>14450</v>
      </c>
      <c r="V741" t="s">
        <v>14451</v>
      </c>
      <c r="W741" t="s">
        <v>14452</v>
      </c>
      <c r="X741" t="s">
        <v>14453</v>
      </c>
      <c r="Y741" t="s">
        <v>14454</v>
      </c>
      <c r="Z741" t="s">
        <v>14455</v>
      </c>
      <c r="AA741" t="s">
        <v>14456</v>
      </c>
      <c r="AB741" t="s">
        <v>14457</v>
      </c>
      <c r="AC741" t="s">
        <v>14458</v>
      </c>
      <c r="AD741" t="s">
        <v>14459</v>
      </c>
      <c r="AE741" t="s">
        <v>14460</v>
      </c>
      <c r="AF741" t="s">
        <v>74</v>
      </c>
      <c r="AG741">
        <v>67</v>
      </c>
      <c r="AH741">
        <v>17</v>
      </c>
      <c r="AI741">
        <v>18</v>
      </c>
      <c r="AJ741">
        <v>6</v>
      </c>
      <c r="AK741">
        <v>64</v>
      </c>
      <c r="AL741" t="s">
        <v>3533</v>
      </c>
      <c r="AM741" t="s">
        <v>93</v>
      </c>
      <c r="AN741" t="s">
        <v>3534</v>
      </c>
      <c r="AO741" t="s">
        <v>10972</v>
      </c>
      <c r="AP741" t="s">
        <v>10973</v>
      </c>
      <c r="AQ741" t="s">
        <v>74</v>
      </c>
      <c r="AR741" t="s">
        <v>10974</v>
      </c>
      <c r="AS741" t="s">
        <v>10975</v>
      </c>
      <c r="AT741" t="s">
        <v>6722</v>
      </c>
      <c r="AU741">
        <v>2019</v>
      </c>
      <c r="AV741">
        <v>249</v>
      </c>
      <c r="AW741" t="s">
        <v>74</v>
      </c>
      <c r="AX741" t="s">
        <v>74</v>
      </c>
      <c r="AY741" t="s">
        <v>74</v>
      </c>
      <c r="AZ741" t="s">
        <v>74</v>
      </c>
      <c r="BA741" t="s">
        <v>74</v>
      </c>
      <c r="BB741">
        <v>54</v>
      </c>
      <c r="BC741">
        <v>62</v>
      </c>
      <c r="BD741" t="s">
        <v>74</v>
      </c>
      <c r="BE741" t="s">
        <v>14461</v>
      </c>
      <c r="BF741" t="str">
        <f>HYPERLINK("http://dx.doi.org/10.1016/j.envpol.2019.02.016","http://dx.doi.org/10.1016/j.envpol.2019.02.016")</f>
        <v>http://dx.doi.org/10.1016/j.envpol.2019.02.016</v>
      </c>
      <c r="BG741" t="s">
        <v>74</v>
      </c>
      <c r="BH741" t="s">
        <v>74</v>
      </c>
      <c r="BI741">
        <v>9</v>
      </c>
      <c r="BJ741" t="s">
        <v>797</v>
      </c>
      <c r="BK741" t="s">
        <v>101</v>
      </c>
      <c r="BL741" t="s">
        <v>799</v>
      </c>
      <c r="BM741" t="s">
        <v>14462</v>
      </c>
      <c r="BN741">
        <v>30878862</v>
      </c>
      <c r="BO741" t="s">
        <v>74</v>
      </c>
      <c r="BP741" t="s">
        <v>74</v>
      </c>
      <c r="BQ741" t="s">
        <v>74</v>
      </c>
      <c r="BR741" t="s">
        <v>103</v>
      </c>
      <c r="BS741" t="s">
        <v>14463</v>
      </c>
      <c r="BT741" t="str">
        <f>HYPERLINK("https%3A%2F%2Fwww.webofscience.com%2Fwos%2Fwoscc%2Ffull-record%2FWOS:000471081300006","View Full Record in Web of Science")</f>
        <v>View Full Record in Web of Science</v>
      </c>
    </row>
    <row r="742" spans="1:72" x14ac:dyDescent="0.15">
      <c r="A742" t="s">
        <v>72</v>
      </c>
      <c r="B742" t="s">
        <v>14464</v>
      </c>
      <c r="C742" t="s">
        <v>74</v>
      </c>
      <c r="D742" t="s">
        <v>74</v>
      </c>
      <c r="E742" t="s">
        <v>74</v>
      </c>
      <c r="F742" t="s">
        <v>14465</v>
      </c>
      <c r="G742" t="s">
        <v>74</v>
      </c>
      <c r="H742" t="s">
        <v>74</v>
      </c>
      <c r="I742" t="s">
        <v>14466</v>
      </c>
      <c r="J742" t="s">
        <v>10959</v>
      </c>
      <c r="K742" t="s">
        <v>74</v>
      </c>
      <c r="L742" t="s">
        <v>74</v>
      </c>
      <c r="M742" t="s">
        <v>78</v>
      </c>
      <c r="N742" t="s">
        <v>108</v>
      </c>
      <c r="O742" t="s">
        <v>74</v>
      </c>
      <c r="P742" t="s">
        <v>74</v>
      </c>
      <c r="Q742" t="s">
        <v>74</v>
      </c>
      <c r="R742" t="s">
        <v>74</v>
      </c>
      <c r="S742" t="s">
        <v>74</v>
      </c>
      <c r="T742" t="s">
        <v>14467</v>
      </c>
      <c r="U742" t="s">
        <v>14468</v>
      </c>
      <c r="V742" t="s">
        <v>14469</v>
      </c>
      <c r="W742" t="s">
        <v>14470</v>
      </c>
      <c r="X742" t="s">
        <v>14471</v>
      </c>
      <c r="Y742" t="s">
        <v>14472</v>
      </c>
      <c r="Z742" t="s">
        <v>14473</v>
      </c>
      <c r="AA742" t="s">
        <v>14474</v>
      </c>
      <c r="AB742" t="s">
        <v>14475</v>
      </c>
      <c r="AC742" t="s">
        <v>14476</v>
      </c>
      <c r="AD742" t="s">
        <v>14477</v>
      </c>
      <c r="AE742" t="s">
        <v>14478</v>
      </c>
      <c r="AF742" t="s">
        <v>74</v>
      </c>
      <c r="AG742">
        <v>71</v>
      </c>
      <c r="AH742">
        <v>42</v>
      </c>
      <c r="AI742">
        <v>45</v>
      </c>
      <c r="AJ742">
        <v>18</v>
      </c>
      <c r="AK742">
        <v>179</v>
      </c>
      <c r="AL742" t="s">
        <v>3533</v>
      </c>
      <c r="AM742" t="s">
        <v>93</v>
      </c>
      <c r="AN742" t="s">
        <v>3534</v>
      </c>
      <c r="AO742" t="s">
        <v>10972</v>
      </c>
      <c r="AP742" t="s">
        <v>10973</v>
      </c>
      <c r="AQ742" t="s">
        <v>74</v>
      </c>
      <c r="AR742" t="s">
        <v>10974</v>
      </c>
      <c r="AS742" t="s">
        <v>10975</v>
      </c>
      <c r="AT742" t="s">
        <v>6722</v>
      </c>
      <c r="AU742">
        <v>2019</v>
      </c>
      <c r="AV742">
        <v>249</v>
      </c>
      <c r="AW742" t="s">
        <v>74</v>
      </c>
      <c r="AX742" t="s">
        <v>74</v>
      </c>
      <c r="AY742" t="s">
        <v>74</v>
      </c>
      <c r="AZ742" t="s">
        <v>74</v>
      </c>
      <c r="BA742" t="s">
        <v>74</v>
      </c>
      <c r="BB742">
        <v>381</v>
      </c>
      <c r="BC742">
        <v>389</v>
      </c>
      <c r="BD742" t="s">
        <v>74</v>
      </c>
      <c r="BE742" t="s">
        <v>14479</v>
      </c>
      <c r="BF742" t="str">
        <f>HYPERLINK("http://dx.doi.org/10.1016/j.envpol.2019.03.039","http://dx.doi.org/10.1016/j.envpol.2019.03.039")</f>
        <v>http://dx.doi.org/10.1016/j.envpol.2019.03.039</v>
      </c>
      <c r="BG742" t="s">
        <v>74</v>
      </c>
      <c r="BH742" t="s">
        <v>74</v>
      </c>
      <c r="BI742">
        <v>9</v>
      </c>
      <c r="BJ742" t="s">
        <v>797</v>
      </c>
      <c r="BK742" t="s">
        <v>101</v>
      </c>
      <c r="BL742" t="s">
        <v>799</v>
      </c>
      <c r="BM742" t="s">
        <v>14462</v>
      </c>
      <c r="BN742">
        <v>30913437</v>
      </c>
      <c r="BO742" t="s">
        <v>74</v>
      </c>
      <c r="BP742" t="s">
        <v>74</v>
      </c>
      <c r="BQ742" t="s">
        <v>74</v>
      </c>
      <c r="BR742" t="s">
        <v>103</v>
      </c>
      <c r="BS742" t="s">
        <v>14480</v>
      </c>
      <c r="BT742" t="str">
        <f>HYPERLINK("https%3A%2F%2Fwww.webofscience.com%2Fwos%2Fwoscc%2Ffull-record%2FWOS:000471081300042","View Full Record in Web of Science")</f>
        <v>View Full Record in Web of Science</v>
      </c>
    </row>
    <row r="743" spans="1:72" x14ac:dyDescent="0.15">
      <c r="A743" t="s">
        <v>72</v>
      </c>
      <c r="B743" t="s">
        <v>14481</v>
      </c>
      <c r="C743" t="s">
        <v>74</v>
      </c>
      <c r="D743" t="s">
        <v>74</v>
      </c>
      <c r="E743" t="s">
        <v>74</v>
      </c>
      <c r="F743" t="s">
        <v>14482</v>
      </c>
      <c r="G743" t="s">
        <v>74</v>
      </c>
      <c r="H743" t="s">
        <v>74</v>
      </c>
      <c r="I743" t="s">
        <v>14483</v>
      </c>
      <c r="J743" t="s">
        <v>14484</v>
      </c>
      <c r="K743" t="s">
        <v>74</v>
      </c>
      <c r="L743" t="s">
        <v>74</v>
      </c>
      <c r="M743" t="s">
        <v>78</v>
      </c>
      <c r="N743" t="s">
        <v>108</v>
      </c>
      <c r="O743" t="s">
        <v>74</v>
      </c>
      <c r="P743" t="s">
        <v>74</v>
      </c>
      <c r="Q743" t="s">
        <v>74</v>
      </c>
      <c r="R743" t="s">
        <v>74</v>
      </c>
      <c r="S743" t="s">
        <v>74</v>
      </c>
      <c r="T743" t="s">
        <v>14485</v>
      </c>
      <c r="U743" t="s">
        <v>14486</v>
      </c>
      <c r="V743" t="s">
        <v>14487</v>
      </c>
      <c r="W743" t="s">
        <v>14488</v>
      </c>
      <c r="X743" t="s">
        <v>14489</v>
      </c>
      <c r="Y743" t="s">
        <v>14490</v>
      </c>
      <c r="Z743" t="s">
        <v>14491</v>
      </c>
      <c r="AA743" t="s">
        <v>13698</v>
      </c>
      <c r="AB743" t="s">
        <v>14492</v>
      </c>
      <c r="AC743" t="s">
        <v>14493</v>
      </c>
      <c r="AD743" t="s">
        <v>14494</v>
      </c>
      <c r="AE743" t="s">
        <v>14495</v>
      </c>
      <c r="AF743" t="s">
        <v>74</v>
      </c>
      <c r="AG743">
        <v>95</v>
      </c>
      <c r="AH743">
        <v>14</v>
      </c>
      <c r="AI743">
        <v>14</v>
      </c>
      <c r="AJ743">
        <v>0</v>
      </c>
      <c r="AK743">
        <v>11</v>
      </c>
      <c r="AL743" t="s">
        <v>2396</v>
      </c>
      <c r="AM743" t="s">
        <v>2397</v>
      </c>
      <c r="AN743" t="s">
        <v>2398</v>
      </c>
      <c r="AO743" t="s">
        <v>14496</v>
      </c>
      <c r="AP743" t="s">
        <v>14497</v>
      </c>
      <c r="AQ743" t="s">
        <v>74</v>
      </c>
      <c r="AR743" t="s">
        <v>14498</v>
      </c>
      <c r="AS743" t="s">
        <v>14499</v>
      </c>
      <c r="AT743" t="s">
        <v>6722</v>
      </c>
      <c r="AU743">
        <v>2019</v>
      </c>
      <c r="AV743">
        <v>58</v>
      </c>
      <c r="AW743">
        <v>4</v>
      </c>
      <c r="AX743" t="s">
        <v>74</v>
      </c>
      <c r="AY743" t="s">
        <v>74</v>
      </c>
      <c r="AZ743" t="s">
        <v>74</v>
      </c>
      <c r="BA743" t="s">
        <v>74</v>
      </c>
      <c r="BB743">
        <v>1429</v>
      </c>
      <c r="BC743">
        <v>1439</v>
      </c>
      <c r="BD743" t="s">
        <v>74</v>
      </c>
      <c r="BE743" t="s">
        <v>14500</v>
      </c>
      <c r="BF743" t="str">
        <f>HYPERLINK("http://dx.doi.org/10.1007/s00394-018-1667-4","http://dx.doi.org/10.1007/s00394-018-1667-4")</f>
        <v>http://dx.doi.org/10.1007/s00394-018-1667-4</v>
      </c>
      <c r="BG743" t="s">
        <v>74</v>
      </c>
      <c r="BH743" t="s">
        <v>74</v>
      </c>
      <c r="BI743">
        <v>11</v>
      </c>
      <c r="BJ743" t="s">
        <v>13706</v>
      </c>
      <c r="BK743" t="s">
        <v>3718</v>
      </c>
      <c r="BL743" t="s">
        <v>13706</v>
      </c>
      <c r="BM743" t="s">
        <v>14501</v>
      </c>
      <c r="BN743">
        <v>29549496</v>
      </c>
      <c r="BO743" t="s">
        <v>6963</v>
      </c>
      <c r="BP743" t="s">
        <v>74</v>
      </c>
      <c r="BQ743" t="s">
        <v>74</v>
      </c>
      <c r="BR743" t="s">
        <v>103</v>
      </c>
      <c r="BS743" t="s">
        <v>14502</v>
      </c>
      <c r="BT743" t="str">
        <f>HYPERLINK("https%3A%2F%2Fwww.webofscience.com%2Fwos%2Fwoscc%2Ffull-record%2FWOS:000471256100008","View Full Record in Web of Science")</f>
        <v>View Full Record in Web of Science</v>
      </c>
    </row>
    <row r="744" spans="1:72" x14ac:dyDescent="0.15">
      <c r="A744" t="s">
        <v>72</v>
      </c>
      <c r="B744" t="s">
        <v>14503</v>
      </c>
      <c r="C744" t="s">
        <v>74</v>
      </c>
      <c r="D744" t="s">
        <v>74</v>
      </c>
      <c r="E744" t="s">
        <v>74</v>
      </c>
      <c r="F744" t="s">
        <v>14504</v>
      </c>
      <c r="G744" t="s">
        <v>74</v>
      </c>
      <c r="H744" t="s">
        <v>74</v>
      </c>
      <c r="I744" t="s">
        <v>14505</v>
      </c>
      <c r="J744" t="s">
        <v>14506</v>
      </c>
      <c r="K744" t="s">
        <v>74</v>
      </c>
      <c r="L744" t="s">
        <v>74</v>
      </c>
      <c r="M744" t="s">
        <v>78</v>
      </c>
      <c r="N744" t="s">
        <v>108</v>
      </c>
      <c r="O744" t="s">
        <v>74</v>
      </c>
      <c r="P744" t="s">
        <v>74</v>
      </c>
      <c r="Q744" t="s">
        <v>74</v>
      </c>
      <c r="R744" t="s">
        <v>74</v>
      </c>
      <c r="S744" t="s">
        <v>74</v>
      </c>
      <c r="T744" t="s">
        <v>14507</v>
      </c>
      <c r="U744" t="s">
        <v>14508</v>
      </c>
      <c r="V744" t="s">
        <v>14509</v>
      </c>
      <c r="W744" t="s">
        <v>14510</v>
      </c>
      <c r="X744" t="s">
        <v>14511</v>
      </c>
      <c r="Y744" t="s">
        <v>14512</v>
      </c>
      <c r="Z744" t="s">
        <v>14513</v>
      </c>
      <c r="AA744" t="s">
        <v>14514</v>
      </c>
      <c r="AB744" t="s">
        <v>14515</v>
      </c>
      <c r="AC744" t="s">
        <v>14516</v>
      </c>
      <c r="AD744" t="s">
        <v>14517</v>
      </c>
      <c r="AE744" t="s">
        <v>14518</v>
      </c>
      <c r="AF744" t="s">
        <v>74</v>
      </c>
      <c r="AG744">
        <v>68</v>
      </c>
      <c r="AH744">
        <v>4</v>
      </c>
      <c r="AI744">
        <v>5</v>
      </c>
      <c r="AJ744">
        <v>3</v>
      </c>
      <c r="AK744">
        <v>17</v>
      </c>
      <c r="AL744" t="s">
        <v>1140</v>
      </c>
      <c r="AM744" t="s">
        <v>1141</v>
      </c>
      <c r="AN744" t="s">
        <v>1142</v>
      </c>
      <c r="AO744" t="s">
        <v>14519</v>
      </c>
      <c r="AP744" t="s">
        <v>14520</v>
      </c>
      <c r="AQ744" t="s">
        <v>74</v>
      </c>
      <c r="AR744" t="s">
        <v>14521</v>
      </c>
      <c r="AS744" t="s">
        <v>14522</v>
      </c>
      <c r="AT744" t="s">
        <v>6722</v>
      </c>
      <c r="AU744">
        <v>2019</v>
      </c>
      <c r="AV744">
        <v>90</v>
      </c>
      <c r="AW744">
        <v>2</v>
      </c>
      <c r="AX744" t="s">
        <v>74</v>
      </c>
      <c r="AY744" t="s">
        <v>74</v>
      </c>
      <c r="AZ744" t="s">
        <v>74</v>
      </c>
      <c r="BA744" t="s">
        <v>74</v>
      </c>
      <c r="BB744">
        <v>190</v>
      </c>
      <c r="BC744">
        <v>199</v>
      </c>
      <c r="BD744" t="s">
        <v>74</v>
      </c>
      <c r="BE744" t="s">
        <v>14523</v>
      </c>
      <c r="BF744" t="str">
        <f>HYPERLINK("http://dx.doi.org/10.1111/jofo.12297","http://dx.doi.org/10.1111/jofo.12297")</f>
        <v>http://dx.doi.org/10.1111/jofo.12297</v>
      </c>
      <c r="BG744" t="s">
        <v>74</v>
      </c>
      <c r="BH744" t="s">
        <v>74</v>
      </c>
      <c r="BI744">
        <v>10</v>
      </c>
      <c r="BJ744" t="s">
        <v>10780</v>
      </c>
      <c r="BK744" t="s">
        <v>101</v>
      </c>
      <c r="BL744" t="s">
        <v>1348</v>
      </c>
      <c r="BM744" t="s">
        <v>14524</v>
      </c>
      <c r="BN744" t="s">
        <v>74</v>
      </c>
      <c r="BO744" t="s">
        <v>1648</v>
      </c>
      <c r="BP744" t="s">
        <v>74</v>
      </c>
      <c r="BQ744" t="s">
        <v>74</v>
      </c>
      <c r="BR744" t="s">
        <v>103</v>
      </c>
      <c r="BS744" t="s">
        <v>14525</v>
      </c>
      <c r="BT744" t="str">
        <f>HYPERLINK("https%3A%2F%2Fwww.webofscience.com%2Fwos%2Fwoscc%2Ffull-record%2FWOS:000471051300008","View Full Record in Web of Science")</f>
        <v>View Full Record in Web of Science</v>
      </c>
    </row>
    <row r="745" spans="1:72" x14ac:dyDescent="0.15">
      <c r="A745" t="s">
        <v>72</v>
      </c>
      <c r="B745" t="s">
        <v>14526</v>
      </c>
      <c r="C745" t="s">
        <v>74</v>
      </c>
      <c r="D745" t="s">
        <v>74</v>
      </c>
      <c r="E745" t="s">
        <v>74</v>
      </c>
      <c r="F745" t="s">
        <v>14527</v>
      </c>
      <c r="G745" t="s">
        <v>74</v>
      </c>
      <c r="H745" t="s">
        <v>74</v>
      </c>
      <c r="I745" t="s">
        <v>14528</v>
      </c>
      <c r="J745" t="s">
        <v>14529</v>
      </c>
      <c r="K745" t="s">
        <v>74</v>
      </c>
      <c r="L745" t="s">
        <v>74</v>
      </c>
      <c r="M745" t="s">
        <v>78</v>
      </c>
      <c r="N745" t="s">
        <v>108</v>
      </c>
      <c r="O745" t="s">
        <v>74</v>
      </c>
      <c r="P745" t="s">
        <v>74</v>
      </c>
      <c r="Q745" t="s">
        <v>74</v>
      </c>
      <c r="R745" t="s">
        <v>74</v>
      </c>
      <c r="S745" t="s">
        <v>74</v>
      </c>
      <c r="T745" t="s">
        <v>14530</v>
      </c>
      <c r="U745" t="s">
        <v>14531</v>
      </c>
      <c r="V745" t="s">
        <v>14532</v>
      </c>
      <c r="W745" t="s">
        <v>14533</v>
      </c>
      <c r="X745" t="s">
        <v>14534</v>
      </c>
      <c r="Y745" t="s">
        <v>14535</v>
      </c>
      <c r="Z745" t="s">
        <v>14536</v>
      </c>
      <c r="AA745" t="s">
        <v>14537</v>
      </c>
      <c r="AB745" t="s">
        <v>14538</v>
      </c>
      <c r="AC745" t="s">
        <v>14539</v>
      </c>
      <c r="AD745" t="s">
        <v>14540</v>
      </c>
      <c r="AE745" t="s">
        <v>14541</v>
      </c>
      <c r="AF745" t="s">
        <v>74</v>
      </c>
      <c r="AG745">
        <v>43</v>
      </c>
      <c r="AH745">
        <v>14</v>
      </c>
      <c r="AI745">
        <v>16</v>
      </c>
      <c r="AJ745">
        <v>0</v>
      </c>
      <c r="AK745">
        <v>7</v>
      </c>
      <c r="AL745" t="s">
        <v>3533</v>
      </c>
      <c r="AM745" t="s">
        <v>93</v>
      </c>
      <c r="AN745" t="s">
        <v>3534</v>
      </c>
      <c r="AO745" t="s">
        <v>14542</v>
      </c>
      <c r="AP745" t="s">
        <v>14543</v>
      </c>
      <c r="AQ745" t="s">
        <v>74</v>
      </c>
      <c r="AR745" t="s">
        <v>14544</v>
      </c>
      <c r="AS745" t="s">
        <v>14545</v>
      </c>
      <c r="AT745" t="s">
        <v>6722</v>
      </c>
      <c r="AU745">
        <v>2019</v>
      </c>
      <c r="AV745">
        <v>52</v>
      </c>
      <c r="AW745" t="s">
        <v>74</v>
      </c>
      <c r="AX745" t="s">
        <v>74</v>
      </c>
      <c r="AY745" t="s">
        <v>74</v>
      </c>
      <c r="AZ745" t="s">
        <v>74</v>
      </c>
      <c r="BA745" t="s">
        <v>74</v>
      </c>
      <c r="BB745">
        <v>63</v>
      </c>
      <c r="BC745">
        <v>76</v>
      </c>
      <c r="BD745" t="s">
        <v>74</v>
      </c>
      <c r="BE745" t="s">
        <v>14546</v>
      </c>
      <c r="BF745" t="str">
        <f>HYPERLINK("http://dx.doi.org/10.1016/j.quageo.2019.02.006","http://dx.doi.org/10.1016/j.quageo.2019.02.006")</f>
        <v>http://dx.doi.org/10.1016/j.quageo.2019.02.006</v>
      </c>
      <c r="BG745" t="s">
        <v>74</v>
      </c>
      <c r="BH745" t="s">
        <v>74</v>
      </c>
      <c r="BI745">
        <v>14</v>
      </c>
      <c r="BJ745" t="s">
        <v>310</v>
      </c>
      <c r="BK745" t="s">
        <v>101</v>
      </c>
      <c r="BL745" t="s">
        <v>311</v>
      </c>
      <c r="BM745" t="s">
        <v>14547</v>
      </c>
      <c r="BN745" t="s">
        <v>74</v>
      </c>
      <c r="BO745" t="s">
        <v>474</v>
      </c>
      <c r="BP745" t="s">
        <v>74</v>
      </c>
      <c r="BQ745" t="s">
        <v>74</v>
      </c>
      <c r="BR745" t="s">
        <v>103</v>
      </c>
      <c r="BS745" t="s">
        <v>14548</v>
      </c>
      <c r="BT745" t="str">
        <f>HYPERLINK("https%3A%2F%2Fwww.webofscience.com%2Fwos%2Fwoscc%2Ffull-record%2FWOS:000471081100006","View Full Record in Web of Science")</f>
        <v>View Full Record in Web of Science</v>
      </c>
    </row>
    <row r="746" spans="1:72" x14ac:dyDescent="0.15">
      <c r="A746" t="s">
        <v>72</v>
      </c>
      <c r="B746" t="s">
        <v>14549</v>
      </c>
      <c r="C746" t="s">
        <v>74</v>
      </c>
      <c r="D746" t="s">
        <v>74</v>
      </c>
      <c r="E746" t="s">
        <v>74</v>
      </c>
      <c r="F746" t="s">
        <v>14550</v>
      </c>
      <c r="G746" t="s">
        <v>74</v>
      </c>
      <c r="H746" t="s">
        <v>74</v>
      </c>
      <c r="I746" t="s">
        <v>14551</v>
      </c>
      <c r="J746" t="s">
        <v>10345</v>
      </c>
      <c r="K746" t="s">
        <v>74</v>
      </c>
      <c r="L746" t="s">
        <v>74</v>
      </c>
      <c r="M746" t="s">
        <v>78</v>
      </c>
      <c r="N746" t="s">
        <v>79</v>
      </c>
      <c r="O746" t="s">
        <v>74</v>
      </c>
      <c r="P746" t="s">
        <v>74</v>
      </c>
      <c r="Q746" t="s">
        <v>74</v>
      </c>
      <c r="R746" t="s">
        <v>74</v>
      </c>
      <c r="S746" t="s">
        <v>74</v>
      </c>
      <c r="T746" t="s">
        <v>14552</v>
      </c>
      <c r="U746" t="s">
        <v>14553</v>
      </c>
      <c r="V746" t="s">
        <v>14554</v>
      </c>
      <c r="W746" t="s">
        <v>14555</v>
      </c>
      <c r="X746" t="s">
        <v>14556</v>
      </c>
      <c r="Y746" t="s">
        <v>14557</v>
      </c>
      <c r="Z746" t="s">
        <v>14558</v>
      </c>
      <c r="AA746" t="s">
        <v>74</v>
      </c>
      <c r="AB746" t="s">
        <v>74</v>
      </c>
      <c r="AC746" t="s">
        <v>14559</v>
      </c>
      <c r="AD746" t="s">
        <v>14559</v>
      </c>
      <c r="AE746" t="s">
        <v>14560</v>
      </c>
      <c r="AF746" t="s">
        <v>74</v>
      </c>
      <c r="AG746">
        <v>261</v>
      </c>
      <c r="AH746">
        <v>26</v>
      </c>
      <c r="AI746">
        <v>29</v>
      </c>
      <c r="AJ746">
        <v>0</v>
      </c>
      <c r="AK746">
        <v>11</v>
      </c>
      <c r="AL746" t="s">
        <v>638</v>
      </c>
      <c r="AM746" t="s">
        <v>439</v>
      </c>
      <c r="AN746" t="s">
        <v>639</v>
      </c>
      <c r="AO746" t="s">
        <v>10356</v>
      </c>
      <c r="AP746" t="s">
        <v>10357</v>
      </c>
      <c r="AQ746" t="s">
        <v>74</v>
      </c>
      <c r="AR746" t="s">
        <v>10358</v>
      </c>
      <c r="AS746" t="s">
        <v>10359</v>
      </c>
      <c r="AT746" t="s">
        <v>6722</v>
      </c>
      <c r="AU746">
        <v>2019</v>
      </c>
      <c r="AV746">
        <v>193</v>
      </c>
      <c r="AW746" t="s">
        <v>74</v>
      </c>
      <c r="AX746" t="s">
        <v>74</v>
      </c>
      <c r="AY746" t="s">
        <v>74</v>
      </c>
      <c r="AZ746" t="s">
        <v>74</v>
      </c>
      <c r="BA746" t="s">
        <v>74</v>
      </c>
      <c r="BB746">
        <v>260</v>
      </c>
      <c r="BC746">
        <v>298</v>
      </c>
      <c r="BD746" t="s">
        <v>74</v>
      </c>
      <c r="BE746" t="s">
        <v>14561</v>
      </c>
      <c r="BF746" t="str">
        <f>HYPERLINK("http://dx.doi.org/10.1016/j.earscirev.2019.04.017","http://dx.doi.org/10.1016/j.earscirev.2019.04.017")</f>
        <v>http://dx.doi.org/10.1016/j.earscirev.2019.04.017</v>
      </c>
      <c r="BG746" t="s">
        <v>74</v>
      </c>
      <c r="BH746" t="s">
        <v>74</v>
      </c>
      <c r="BI746">
        <v>39</v>
      </c>
      <c r="BJ746" t="s">
        <v>471</v>
      </c>
      <c r="BK746" t="s">
        <v>101</v>
      </c>
      <c r="BL746" t="s">
        <v>472</v>
      </c>
      <c r="BM746" t="s">
        <v>14562</v>
      </c>
      <c r="BN746" t="s">
        <v>74</v>
      </c>
      <c r="BO746" t="s">
        <v>74</v>
      </c>
      <c r="BP746" t="s">
        <v>74</v>
      </c>
      <c r="BQ746" t="s">
        <v>74</v>
      </c>
      <c r="BR746" t="s">
        <v>103</v>
      </c>
      <c r="BS746" t="s">
        <v>14563</v>
      </c>
      <c r="BT746" t="str">
        <f>HYPERLINK("https%3A%2F%2Fwww.webofscience.com%2Fwos%2Fwoscc%2Ffull-record%2FWOS:000470940800012","View Full Record in Web of Science")</f>
        <v>View Full Record in Web of Science</v>
      </c>
    </row>
    <row r="747" spans="1:72" x14ac:dyDescent="0.15">
      <c r="A747" t="s">
        <v>72</v>
      </c>
      <c r="B747" t="s">
        <v>14564</v>
      </c>
      <c r="C747" t="s">
        <v>74</v>
      </c>
      <c r="D747" t="s">
        <v>74</v>
      </c>
      <c r="E747" t="s">
        <v>74</v>
      </c>
      <c r="F747" t="s">
        <v>14565</v>
      </c>
      <c r="G747" t="s">
        <v>74</v>
      </c>
      <c r="H747" t="s">
        <v>74</v>
      </c>
      <c r="I747" t="s">
        <v>14566</v>
      </c>
      <c r="J747" t="s">
        <v>3920</v>
      </c>
      <c r="K747" t="s">
        <v>74</v>
      </c>
      <c r="L747" t="s">
        <v>74</v>
      </c>
      <c r="M747" t="s">
        <v>78</v>
      </c>
      <c r="N747" t="s">
        <v>108</v>
      </c>
      <c r="O747" t="s">
        <v>74</v>
      </c>
      <c r="P747" t="s">
        <v>74</v>
      </c>
      <c r="Q747" t="s">
        <v>74</v>
      </c>
      <c r="R747" t="s">
        <v>74</v>
      </c>
      <c r="S747" t="s">
        <v>74</v>
      </c>
      <c r="T747" t="s">
        <v>14567</v>
      </c>
      <c r="U747" t="s">
        <v>14568</v>
      </c>
      <c r="V747" t="s">
        <v>14569</v>
      </c>
      <c r="W747" t="s">
        <v>14570</v>
      </c>
      <c r="X747" t="s">
        <v>14571</v>
      </c>
      <c r="Y747" t="s">
        <v>14572</v>
      </c>
      <c r="Z747" t="s">
        <v>14573</v>
      </c>
      <c r="AA747" t="s">
        <v>14574</v>
      </c>
      <c r="AB747" t="s">
        <v>14575</v>
      </c>
      <c r="AC747" t="s">
        <v>14576</v>
      </c>
      <c r="AD747" t="s">
        <v>14577</v>
      </c>
      <c r="AE747" t="s">
        <v>14578</v>
      </c>
      <c r="AF747" t="s">
        <v>74</v>
      </c>
      <c r="AG747">
        <v>60</v>
      </c>
      <c r="AH747">
        <v>6</v>
      </c>
      <c r="AI747">
        <v>6</v>
      </c>
      <c r="AJ747">
        <v>0</v>
      </c>
      <c r="AK747">
        <v>10</v>
      </c>
      <c r="AL747" t="s">
        <v>302</v>
      </c>
      <c r="AM747" t="s">
        <v>303</v>
      </c>
      <c r="AN747" t="s">
        <v>304</v>
      </c>
      <c r="AO747" t="s">
        <v>3933</v>
      </c>
      <c r="AP747" t="s">
        <v>3934</v>
      </c>
      <c r="AQ747" t="s">
        <v>74</v>
      </c>
      <c r="AR747" t="s">
        <v>3935</v>
      </c>
      <c r="AS747" t="s">
        <v>3936</v>
      </c>
      <c r="AT747" t="s">
        <v>6722</v>
      </c>
      <c r="AU747">
        <v>2019</v>
      </c>
      <c r="AV747">
        <v>65</v>
      </c>
      <c r="AW747">
        <v>251</v>
      </c>
      <c r="AX747" t="s">
        <v>74</v>
      </c>
      <c r="AY747" t="s">
        <v>74</v>
      </c>
      <c r="AZ747" t="s">
        <v>74</v>
      </c>
      <c r="BA747" t="s">
        <v>74</v>
      </c>
      <c r="BB747">
        <v>410</v>
      </c>
      <c r="BC747">
        <v>421</v>
      </c>
      <c r="BD747" t="s">
        <v>74</v>
      </c>
      <c r="BE747" t="s">
        <v>14579</v>
      </c>
      <c r="BF747" t="str">
        <f>HYPERLINK("http://dx.doi.org/10.1017/jog.2019.19","http://dx.doi.org/10.1017/jog.2019.19")</f>
        <v>http://dx.doi.org/10.1017/jog.2019.19</v>
      </c>
      <c r="BG747" t="s">
        <v>74</v>
      </c>
      <c r="BH747" t="s">
        <v>74</v>
      </c>
      <c r="BI747">
        <v>12</v>
      </c>
      <c r="BJ747" t="s">
        <v>310</v>
      </c>
      <c r="BK747" t="s">
        <v>101</v>
      </c>
      <c r="BL747" t="s">
        <v>311</v>
      </c>
      <c r="BM747" t="s">
        <v>14580</v>
      </c>
      <c r="BN747" t="s">
        <v>74</v>
      </c>
      <c r="BO747" t="s">
        <v>366</v>
      </c>
      <c r="BP747" t="s">
        <v>74</v>
      </c>
      <c r="BQ747" t="s">
        <v>74</v>
      </c>
      <c r="BR747" t="s">
        <v>103</v>
      </c>
      <c r="BS747" t="s">
        <v>14581</v>
      </c>
      <c r="BT747" t="str">
        <f>HYPERLINK("https%3A%2F%2Fwww.webofscience.com%2Fwos%2Fwoscc%2Ffull-record%2FWOS:000470734900005","View Full Record in Web of Science")</f>
        <v>View Full Record in Web of Science</v>
      </c>
    </row>
    <row r="748" spans="1:72" x14ac:dyDescent="0.15">
      <c r="A748" t="s">
        <v>72</v>
      </c>
      <c r="B748" t="s">
        <v>14582</v>
      </c>
      <c r="C748" t="s">
        <v>74</v>
      </c>
      <c r="D748" t="s">
        <v>74</v>
      </c>
      <c r="E748" t="s">
        <v>74</v>
      </c>
      <c r="F748" t="s">
        <v>14583</v>
      </c>
      <c r="G748" t="s">
        <v>74</v>
      </c>
      <c r="H748" t="s">
        <v>74</v>
      </c>
      <c r="I748" t="s">
        <v>14584</v>
      </c>
      <c r="J748" t="s">
        <v>14585</v>
      </c>
      <c r="K748" t="s">
        <v>74</v>
      </c>
      <c r="L748" t="s">
        <v>74</v>
      </c>
      <c r="M748" t="s">
        <v>78</v>
      </c>
      <c r="N748" t="s">
        <v>52</v>
      </c>
      <c r="O748" t="s">
        <v>74</v>
      </c>
      <c r="P748" t="s">
        <v>74</v>
      </c>
      <c r="Q748" t="s">
        <v>74</v>
      </c>
      <c r="R748" t="s">
        <v>74</v>
      </c>
      <c r="S748" t="s">
        <v>74</v>
      </c>
      <c r="T748" t="s">
        <v>74</v>
      </c>
      <c r="U748" t="s">
        <v>74</v>
      </c>
      <c r="V748" t="s">
        <v>74</v>
      </c>
      <c r="W748" t="s">
        <v>14586</v>
      </c>
      <c r="X748" t="s">
        <v>14587</v>
      </c>
      <c r="Y748" t="s">
        <v>74</v>
      </c>
      <c r="Z748" t="s">
        <v>14588</v>
      </c>
      <c r="AA748" t="s">
        <v>14589</v>
      </c>
      <c r="AB748" t="s">
        <v>14590</v>
      </c>
      <c r="AC748" t="s">
        <v>74</v>
      </c>
      <c r="AD748" t="s">
        <v>74</v>
      </c>
      <c r="AE748" t="s">
        <v>74</v>
      </c>
      <c r="AF748" t="s">
        <v>74</v>
      </c>
      <c r="AG748">
        <v>0</v>
      </c>
      <c r="AH748">
        <v>0</v>
      </c>
      <c r="AI748">
        <v>0</v>
      </c>
      <c r="AJ748">
        <v>0</v>
      </c>
      <c r="AK748">
        <v>2</v>
      </c>
      <c r="AL748" t="s">
        <v>1140</v>
      </c>
      <c r="AM748" t="s">
        <v>1141</v>
      </c>
      <c r="AN748" t="s">
        <v>1142</v>
      </c>
      <c r="AO748" t="s">
        <v>14591</v>
      </c>
      <c r="AP748" t="s">
        <v>14592</v>
      </c>
      <c r="AQ748" t="s">
        <v>74</v>
      </c>
      <c r="AR748" t="s">
        <v>14593</v>
      </c>
      <c r="AS748" t="s">
        <v>14594</v>
      </c>
      <c r="AT748" t="s">
        <v>6722</v>
      </c>
      <c r="AU748">
        <v>2019</v>
      </c>
      <c r="AV748">
        <v>280</v>
      </c>
      <c r="AW748" t="s">
        <v>74</v>
      </c>
      <c r="AX748" t="s">
        <v>74</v>
      </c>
      <c r="AY748">
        <v>1</v>
      </c>
      <c r="AZ748" t="s">
        <v>74</v>
      </c>
      <c r="BA748" t="s">
        <v>74</v>
      </c>
      <c r="BB748" t="s">
        <v>14595</v>
      </c>
      <c r="BC748" t="s">
        <v>14595</v>
      </c>
      <c r="BD748" t="s">
        <v>74</v>
      </c>
      <c r="BE748" t="s">
        <v>74</v>
      </c>
      <c r="BF748" t="s">
        <v>74</v>
      </c>
      <c r="BG748" t="s">
        <v>74</v>
      </c>
      <c r="BH748" t="s">
        <v>74</v>
      </c>
      <c r="BI748">
        <v>1</v>
      </c>
      <c r="BJ748" t="s">
        <v>14596</v>
      </c>
      <c r="BK748" t="s">
        <v>101</v>
      </c>
      <c r="BL748" t="s">
        <v>14596</v>
      </c>
      <c r="BM748" t="s">
        <v>14597</v>
      </c>
      <c r="BN748" t="s">
        <v>74</v>
      </c>
      <c r="BO748" t="s">
        <v>74</v>
      </c>
      <c r="BP748" t="s">
        <v>74</v>
      </c>
      <c r="BQ748" t="s">
        <v>74</v>
      </c>
      <c r="BR748" t="s">
        <v>103</v>
      </c>
      <c r="BS748" t="s">
        <v>14598</v>
      </c>
      <c r="BT748" t="str">
        <f>HYPERLINK("https%3A%2F%2Fwww.webofscience.com%2Fwos%2Fwoscc%2Ffull-record%2FWOS:000470768500206","View Full Record in Web of Science")</f>
        <v>View Full Record in Web of Science</v>
      </c>
    </row>
    <row r="749" spans="1:72" x14ac:dyDescent="0.15">
      <c r="A749" t="s">
        <v>72</v>
      </c>
      <c r="B749" t="s">
        <v>14599</v>
      </c>
      <c r="C749" t="s">
        <v>74</v>
      </c>
      <c r="D749" t="s">
        <v>74</v>
      </c>
      <c r="E749" t="s">
        <v>74</v>
      </c>
      <c r="F749" t="s">
        <v>14600</v>
      </c>
      <c r="G749" t="s">
        <v>74</v>
      </c>
      <c r="H749" t="s">
        <v>74</v>
      </c>
      <c r="I749" t="s">
        <v>14601</v>
      </c>
      <c r="J749" t="s">
        <v>5818</v>
      </c>
      <c r="K749" t="s">
        <v>74</v>
      </c>
      <c r="L749" t="s">
        <v>74</v>
      </c>
      <c r="M749" t="s">
        <v>78</v>
      </c>
      <c r="N749" t="s">
        <v>108</v>
      </c>
      <c r="O749" t="s">
        <v>74</v>
      </c>
      <c r="P749" t="s">
        <v>74</v>
      </c>
      <c r="Q749" t="s">
        <v>74</v>
      </c>
      <c r="R749" t="s">
        <v>74</v>
      </c>
      <c r="S749" t="s">
        <v>74</v>
      </c>
      <c r="T749" t="s">
        <v>74</v>
      </c>
      <c r="U749" t="s">
        <v>14602</v>
      </c>
      <c r="V749" t="s">
        <v>14603</v>
      </c>
      <c r="W749" t="s">
        <v>14604</v>
      </c>
      <c r="X749" t="s">
        <v>14605</v>
      </c>
      <c r="Y749" t="s">
        <v>14606</v>
      </c>
      <c r="Z749" t="s">
        <v>14607</v>
      </c>
      <c r="AA749" t="s">
        <v>14608</v>
      </c>
      <c r="AB749" t="s">
        <v>14609</v>
      </c>
      <c r="AC749" t="s">
        <v>14610</v>
      </c>
      <c r="AD749" t="s">
        <v>14611</v>
      </c>
      <c r="AE749" t="s">
        <v>14612</v>
      </c>
      <c r="AF749" t="s">
        <v>74</v>
      </c>
      <c r="AG749">
        <v>100</v>
      </c>
      <c r="AH749">
        <v>6</v>
      </c>
      <c r="AI749">
        <v>6</v>
      </c>
      <c r="AJ749">
        <v>0</v>
      </c>
      <c r="AK749">
        <v>10</v>
      </c>
      <c r="AL749" t="s">
        <v>1140</v>
      </c>
      <c r="AM749" t="s">
        <v>1141</v>
      </c>
      <c r="AN749" t="s">
        <v>1142</v>
      </c>
      <c r="AO749" t="s">
        <v>5827</v>
      </c>
      <c r="AP749" t="s">
        <v>5828</v>
      </c>
      <c r="AQ749" t="s">
        <v>74</v>
      </c>
      <c r="AR749" t="s">
        <v>5829</v>
      </c>
      <c r="AS749" t="s">
        <v>5830</v>
      </c>
      <c r="AT749" t="s">
        <v>6722</v>
      </c>
      <c r="AU749">
        <v>2019</v>
      </c>
      <c r="AV749">
        <v>54</v>
      </c>
      <c r="AW749">
        <v>6</v>
      </c>
      <c r="AX749" t="s">
        <v>74</v>
      </c>
      <c r="AY749" t="s">
        <v>74</v>
      </c>
      <c r="AZ749" t="s">
        <v>74</v>
      </c>
      <c r="BA749" t="s">
        <v>74</v>
      </c>
      <c r="BB749">
        <v>1303</v>
      </c>
      <c r="BC749">
        <v>1324</v>
      </c>
      <c r="BD749" t="s">
        <v>74</v>
      </c>
      <c r="BE749" t="s">
        <v>14613</v>
      </c>
      <c r="BF749" t="str">
        <f>HYPERLINK("http://dx.doi.org/10.1111/maps.13279","http://dx.doi.org/10.1111/maps.13279")</f>
        <v>http://dx.doi.org/10.1111/maps.13279</v>
      </c>
      <c r="BG749" t="s">
        <v>74</v>
      </c>
      <c r="BH749" t="s">
        <v>74</v>
      </c>
      <c r="BI749">
        <v>22</v>
      </c>
      <c r="BJ749" t="s">
        <v>190</v>
      </c>
      <c r="BK749" t="s">
        <v>101</v>
      </c>
      <c r="BL749" t="s">
        <v>190</v>
      </c>
      <c r="BM749" t="s">
        <v>14614</v>
      </c>
      <c r="BN749" t="s">
        <v>74</v>
      </c>
      <c r="BO749" t="s">
        <v>1648</v>
      </c>
      <c r="BP749" t="s">
        <v>74</v>
      </c>
      <c r="BQ749" t="s">
        <v>74</v>
      </c>
      <c r="BR749" t="s">
        <v>103</v>
      </c>
      <c r="BS749" t="s">
        <v>14615</v>
      </c>
      <c r="BT749" t="str">
        <f>HYPERLINK("https%3A%2F%2Fwww.webofscience.com%2Fwos%2Fwoscc%2Ffull-record%2FWOS:000470741600007","View Full Record in Web of Science")</f>
        <v>View Full Record in Web of Science</v>
      </c>
    </row>
    <row r="750" spans="1:72" x14ac:dyDescent="0.15">
      <c r="A750" t="s">
        <v>72</v>
      </c>
      <c r="B750" t="s">
        <v>14616</v>
      </c>
      <c r="C750" t="s">
        <v>74</v>
      </c>
      <c r="D750" t="s">
        <v>74</v>
      </c>
      <c r="E750" t="s">
        <v>74</v>
      </c>
      <c r="F750" t="s">
        <v>14617</v>
      </c>
      <c r="G750" t="s">
        <v>74</v>
      </c>
      <c r="H750" t="s">
        <v>74</v>
      </c>
      <c r="I750" t="s">
        <v>14618</v>
      </c>
      <c r="J750" t="s">
        <v>5818</v>
      </c>
      <c r="K750" t="s">
        <v>74</v>
      </c>
      <c r="L750" t="s">
        <v>74</v>
      </c>
      <c r="M750" t="s">
        <v>78</v>
      </c>
      <c r="N750" t="s">
        <v>108</v>
      </c>
      <c r="O750" t="s">
        <v>74</v>
      </c>
      <c r="P750" t="s">
        <v>74</v>
      </c>
      <c r="Q750" t="s">
        <v>74</v>
      </c>
      <c r="R750" t="s">
        <v>74</v>
      </c>
      <c r="S750" t="s">
        <v>74</v>
      </c>
      <c r="T750" t="s">
        <v>74</v>
      </c>
      <c r="U750" t="s">
        <v>14619</v>
      </c>
      <c r="V750" t="s">
        <v>14620</v>
      </c>
      <c r="W750" t="s">
        <v>14621</v>
      </c>
      <c r="X750" t="s">
        <v>14622</v>
      </c>
      <c r="Y750" t="s">
        <v>14623</v>
      </c>
      <c r="Z750" t="s">
        <v>14624</v>
      </c>
      <c r="AA750" t="s">
        <v>74</v>
      </c>
      <c r="AB750" t="s">
        <v>14625</v>
      </c>
      <c r="AC750" t="s">
        <v>14626</v>
      </c>
      <c r="AD750" t="s">
        <v>14627</v>
      </c>
      <c r="AE750" t="s">
        <v>14628</v>
      </c>
      <c r="AF750" t="s">
        <v>74</v>
      </c>
      <c r="AG750">
        <v>51</v>
      </c>
      <c r="AH750">
        <v>22</v>
      </c>
      <c r="AI750">
        <v>25</v>
      </c>
      <c r="AJ750">
        <v>0</v>
      </c>
      <c r="AK750">
        <v>10</v>
      </c>
      <c r="AL750" t="s">
        <v>1140</v>
      </c>
      <c r="AM750" t="s">
        <v>1141</v>
      </c>
      <c r="AN750" t="s">
        <v>1142</v>
      </c>
      <c r="AO750" t="s">
        <v>5827</v>
      </c>
      <c r="AP750" t="s">
        <v>5828</v>
      </c>
      <c r="AQ750" t="s">
        <v>74</v>
      </c>
      <c r="AR750" t="s">
        <v>5829</v>
      </c>
      <c r="AS750" t="s">
        <v>5830</v>
      </c>
      <c r="AT750" t="s">
        <v>6722</v>
      </c>
      <c r="AU750">
        <v>2019</v>
      </c>
      <c r="AV750">
        <v>54</v>
      </c>
      <c r="AW750">
        <v>6</v>
      </c>
      <c r="AX750" t="s">
        <v>74</v>
      </c>
      <c r="AY750" t="s">
        <v>74</v>
      </c>
      <c r="AZ750" t="s">
        <v>74</v>
      </c>
      <c r="BA750" t="s">
        <v>74</v>
      </c>
      <c r="BB750">
        <v>1362</v>
      </c>
      <c r="BC750">
        <v>1378</v>
      </c>
      <c r="BD750" t="s">
        <v>74</v>
      </c>
      <c r="BE750" t="s">
        <v>14629</v>
      </c>
      <c r="BF750" t="str">
        <f>HYPERLINK("http://dx.doi.org/10.1111/maps.13282","http://dx.doi.org/10.1111/maps.13282")</f>
        <v>http://dx.doi.org/10.1111/maps.13282</v>
      </c>
      <c r="BG750" t="s">
        <v>74</v>
      </c>
      <c r="BH750" t="s">
        <v>74</v>
      </c>
      <c r="BI750">
        <v>17</v>
      </c>
      <c r="BJ750" t="s">
        <v>190</v>
      </c>
      <c r="BK750" t="s">
        <v>101</v>
      </c>
      <c r="BL750" t="s">
        <v>190</v>
      </c>
      <c r="BM750" t="s">
        <v>14614</v>
      </c>
      <c r="BN750" t="s">
        <v>74</v>
      </c>
      <c r="BO750" t="s">
        <v>1308</v>
      </c>
      <c r="BP750" t="s">
        <v>74</v>
      </c>
      <c r="BQ750" t="s">
        <v>74</v>
      </c>
      <c r="BR750" t="s">
        <v>103</v>
      </c>
      <c r="BS750" t="s">
        <v>14630</v>
      </c>
      <c r="BT750" t="str">
        <f>HYPERLINK("https%3A%2F%2Fwww.webofscience.com%2Fwos%2Fwoscc%2Ffull-record%2FWOS:000470741600010","View Full Record in Web of Science")</f>
        <v>View Full Record in Web of Science</v>
      </c>
    </row>
    <row r="751" spans="1:72" x14ac:dyDescent="0.15">
      <c r="A751" t="s">
        <v>72</v>
      </c>
      <c r="B751" t="s">
        <v>14631</v>
      </c>
      <c r="C751" t="s">
        <v>74</v>
      </c>
      <c r="D751" t="s">
        <v>74</v>
      </c>
      <c r="E751" t="s">
        <v>74</v>
      </c>
      <c r="F751" t="s">
        <v>14632</v>
      </c>
      <c r="G751" t="s">
        <v>74</v>
      </c>
      <c r="H751" t="s">
        <v>74</v>
      </c>
      <c r="I751" t="s">
        <v>14633</v>
      </c>
      <c r="J751" t="s">
        <v>4003</v>
      </c>
      <c r="K751" t="s">
        <v>74</v>
      </c>
      <c r="L751" t="s">
        <v>74</v>
      </c>
      <c r="M751" t="s">
        <v>78</v>
      </c>
      <c r="N751" t="s">
        <v>108</v>
      </c>
      <c r="O751" t="s">
        <v>74</v>
      </c>
      <c r="P751" t="s">
        <v>74</v>
      </c>
      <c r="Q751" t="s">
        <v>74</v>
      </c>
      <c r="R751" t="s">
        <v>74</v>
      </c>
      <c r="S751" t="s">
        <v>74</v>
      </c>
      <c r="T751" t="s">
        <v>14634</v>
      </c>
      <c r="U751" t="s">
        <v>14635</v>
      </c>
      <c r="V751" t="s">
        <v>14636</v>
      </c>
      <c r="W751" t="s">
        <v>14637</v>
      </c>
      <c r="X751" t="s">
        <v>14638</v>
      </c>
      <c r="Y751" t="s">
        <v>14639</v>
      </c>
      <c r="Z751" t="s">
        <v>14640</v>
      </c>
      <c r="AA751" t="s">
        <v>14641</v>
      </c>
      <c r="AB751" t="s">
        <v>14642</v>
      </c>
      <c r="AC751" t="s">
        <v>14643</v>
      </c>
      <c r="AD751" t="s">
        <v>14644</v>
      </c>
      <c r="AE751" t="s">
        <v>14645</v>
      </c>
      <c r="AF751" t="s">
        <v>74</v>
      </c>
      <c r="AG751">
        <v>58</v>
      </c>
      <c r="AH751">
        <v>9</v>
      </c>
      <c r="AI751">
        <v>10</v>
      </c>
      <c r="AJ751">
        <v>0</v>
      </c>
      <c r="AK751">
        <v>11</v>
      </c>
      <c r="AL751" t="s">
        <v>154</v>
      </c>
      <c r="AM751" t="s">
        <v>4016</v>
      </c>
      <c r="AN751" t="s">
        <v>4040</v>
      </c>
      <c r="AO751" t="s">
        <v>4018</v>
      </c>
      <c r="AP751" t="s">
        <v>4019</v>
      </c>
      <c r="AQ751" t="s">
        <v>74</v>
      </c>
      <c r="AR751" t="s">
        <v>4020</v>
      </c>
      <c r="AS751" t="s">
        <v>4021</v>
      </c>
      <c r="AT751" t="s">
        <v>6722</v>
      </c>
      <c r="AU751">
        <v>2019</v>
      </c>
      <c r="AV751">
        <v>42</v>
      </c>
      <c r="AW751">
        <v>6</v>
      </c>
      <c r="AX751" t="s">
        <v>74</v>
      </c>
      <c r="AY751" t="s">
        <v>74</v>
      </c>
      <c r="AZ751" t="s">
        <v>74</v>
      </c>
      <c r="BA751" t="s">
        <v>74</v>
      </c>
      <c r="BB751">
        <v>1081</v>
      </c>
      <c r="BC751">
        <v>1091</v>
      </c>
      <c r="BD751" t="s">
        <v>74</v>
      </c>
      <c r="BE751" t="s">
        <v>14646</v>
      </c>
      <c r="BF751" t="str">
        <f>HYPERLINK("http://dx.doi.org/10.1007/s00300-019-02496-2","http://dx.doi.org/10.1007/s00300-019-02496-2")</f>
        <v>http://dx.doi.org/10.1007/s00300-019-02496-2</v>
      </c>
      <c r="BG751" t="s">
        <v>74</v>
      </c>
      <c r="BH751" t="s">
        <v>74</v>
      </c>
      <c r="BI751">
        <v>11</v>
      </c>
      <c r="BJ751" t="s">
        <v>3802</v>
      </c>
      <c r="BK751" t="s">
        <v>101</v>
      </c>
      <c r="BL751" t="s">
        <v>1646</v>
      </c>
      <c r="BM751" t="s">
        <v>14647</v>
      </c>
      <c r="BN751" t="s">
        <v>74</v>
      </c>
      <c r="BO751" t="s">
        <v>74</v>
      </c>
      <c r="BP751" t="s">
        <v>74</v>
      </c>
      <c r="BQ751" t="s">
        <v>74</v>
      </c>
      <c r="BR751" t="s">
        <v>103</v>
      </c>
      <c r="BS751" t="s">
        <v>14648</v>
      </c>
      <c r="BT751" t="str">
        <f>HYPERLINK("https%3A%2F%2Fwww.webofscience.com%2Fwos%2Fwoscc%2Ffull-record%2FWOS:000470694200002","View Full Record in Web of Science")</f>
        <v>View Full Record in Web of Science</v>
      </c>
    </row>
    <row r="752" spans="1:72" x14ac:dyDescent="0.15">
      <c r="A752" t="s">
        <v>72</v>
      </c>
      <c r="B752" t="s">
        <v>14649</v>
      </c>
      <c r="C752" t="s">
        <v>74</v>
      </c>
      <c r="D752" t="s">
        <v>74</v>
      </c>
      <c r="E752" t="s">
        <v>74</v>
      </c>
      <c r="F752" t="s">
        <v>14650</v>
      </c>
      <c r="G752" t="s">
        <v>74</v>
      </c>
      <c r="H752" t="s">
        <v>74</v>
      </c>
      <c r="I752" t="s">
        <v>14651</v>
      </c>
      <c r="J752" t="s">
        <v>4003</v>
      </c>
      <c r="K752" t="s">
        <v>74</v>
      </c>
      <c r="L752" t="s">
        <v>74</v>
      </c>
      <c r="M752" t="s">
        <v>78</v>
      </c>
      <c r="N752" t="s">
        <v>108</v>
      </c>
      <c r="O752" t="s">
        <v>74</v>
      </c>
      <c r="P752" t="s">
        <v>74</v>
      </c>
      <c r="Q752" t="s">
        <v>74</v>
      </c>
      <c r="R752" t="s">
        <v>74</v>
      </c>
      <c r="S752" t="s">
        <v>74</v>
      </c>
      <c r="T752" t="s">
        <v>14652</v>
      </c>
      <c r="U752" t="s">
        <v>14653</v>
      </c>
      <c r="V752" t="s">
        <v>14654</v>
      </c>
      <c r="W752" t="s">
        <v>14655</v>
      </c>
      <c r="X752" t="s">
        <v>14656</v>
      </c>
      <c r="Y752" t="s">
        <v>14657</v>
      </c>
      <c r="Z752" t="s">
        <v>14658</v>
      </c>
      <c r="AA752" t="s">
        <v>14659</v>
      </c>
      <c r="AB752" t="s">
        <v>14660</v>
      </c>
      <c r="AC752" t="s">
        <v>14661</v>
      </c>
      <c r="AD752" t="s">
        <v>14662</v>
      </c>
      <c r="AE752" t="s">
        <v>14663</v>
      </c>
      <c r="AF752" t="s">
        <v>74</v>
      </c>
      <c r="AG752">
        <v>87</v>
      </c>
      <c r="AH752">
        <v>8</v>
      </c>
      <c r="AI752">
        <v>15</v>
      </c>
      <c r="AJ752">
        <v>3</v>
      </c>
      <c r="AK752">
        <v>50</v>
      </c>
      <c r="AL752" t="s">
        <v>154</v>
      </c>
      <c r="AM752" t="s">
        <v>4016</v>
      </c>
      <c r="AN752" t="s">
        <v>4017</v>
      </c>
      <c r="AO752" t="s">
        <v>4018</v>
      </c>
      <c r="AP752" t="s">
        <v>4019</v>
      </c>
      <c r="AQ752" t="s">
        <v>74</v>
      </c>
      <c r="AR752" t="s">
        <v>4020</v>
      </c>
      <c r="AS752" t="s">
        <v>4021</v>
      </c>
      <c r="AT752" t="s">
        <v>6722</v>
      </c>
      <c r="AU752">
        <v>2019</v>
      </c>
      <c r="AV752">
        <v>42</v>
      </c>
      <c r="AW752">
        <v>6</v>
      </c>
      <c r="AX752" t="s">
        <v>74</v>
      </c>
      <c r="AY752" t="s">
        <v>74</v>
      </c>
      <c r="AZ752" t="s">
        <v>74</v>
      </c>
      <c r="BA752" t="s">
        <v>74</v>
      </c>
      <c r="BB752">
        <v>1093</v>
      </c>
      <c r="BC752">
        <v>1105</v>
      </c>
      <c r="BD752" t="s">
        <v>74</v>
      </c>
      <c r="BE752" t="s">
        <v>14664</v>
      </c>
      <c r="BF752" t="str">
        <f>HYPERLINK("http://dx.doi.org/10.1007/s00300-019-02497-1","http://dx.doi.org/10.1007/s00300-019-02497-1")</f>
        <v>http://dx.doi.org/10.1007/s00300-019-02497-1</v>
      </c>
      <c r="BG752" t="s">
        <v>74</v>
      </c>
      <c r="BH752" t="s">
        <v>74</v>
      </c>
      <c r="BI752">
        <v>13</v>
      </c>
      <c r="BJ752" t="s">
        <v>3802</v>
      </c>
      <c r="BK752" t="s">
        <v>101</v>
      </c>
      <c r="BL752" t="s">
        <v>1646</v>
      </c>
      <c r="BM752" t="s">
        <v>14647</v>
      </c>
      <c r="BN752" t="s">
        <v>74</v>
      </c>
      <c r="BO752" t="s">
        <v>74</v>
      </c>
      <c r="BP752" t="s">
        <v>74</v>
      </c>
      <c r="BQ752" t="s">
        <v>74</v>
      </c>
      <c r="BR752" t="s">
        <v>103</v>
      </c>
      <c r="BS752" t="s">
        <v>14665</v>
      </c>
      <c r="BT752" t="str">
        <f>HYPERLINK("https%3A%2F%2Fwww.webofscience.com%2Fwos%2Fwoscc%2Ffull-record%2FWOS:000470694200003","View Full Record in Web of Science")</f>
        <v>View Full Record in Web of Science</v>
      </c>
    </row>
    <row r="753" spans="1:72" x14ac:dyDescent="0.15">
      <c r="A753" t="s">
        <v>72</v>
      </c>
      <c r="B753" t="s">
        <v>14666</v>
      </c>
      <c r="C753" t="s">
        <v>74</v>
      </c>
      <c r="D753" t="s">
        <v>74</v>
      </c>
      <c r="E753" t="s">
        <v>74</v>
      </c>
      <c r="F753" t="s">
        <v>14667</v>
      </c>
      <c r="G753" t="s">
        <v>74</v>
      </c>
      <c r="H753" t="s">
        <v>74</v>
      </c>
      <c r="I753" t="s">
        <v>14668</v>
      </c>
      <c r="J753" t="s">
        <v>4003</v>
      </c>
      <c r="K753" t="s">
        <v>74</v>
      </c>
      <c r="L753" t="s">
        <v>74</v>
      </c>
      <c r="M753" t="s">
        <v>78</v>
      </c>
      <c r="N753" t="s">
        <v>108</v>
      </c>
      <c r="O753" t="s">
        <v>74</v>
      </c>
      <c r="P753" t="s">
        <v>74</v>
      </c>
      <c r="Q753" t="s">
        <v>74</v>
      </c>
      <c r="R753" t="s">
        <v>74</v>
      </c>
      <c r="S753" t="s">
        <v>74</v>
      </c>
      <c r="T753" t="s">
        <v>14669</v>
      </c>
      <c r="U753" t="s">
        <v>14670</v>
      </c>
      <c r="V753" t="s">
        <v>14671</v>
      </c>
      <c r="W753" t="s">
        <v>14672</v>
      </c>
      <c r="X753" t="s">
        <v>14673</v>
      </c>
      <c r="Y753" t="s">
        <v>14674</v>
      </c>
      <c r="Z753" t="s">
        <v>14675</v>
      </c>
      <c r="AA753" t="s">
        <v>14676</v>
      </c>
      <c r="AB753" t="s">
        <v>14677</v>
      </c>
      <c r="AC753" t="s">
        <v>14678</v>
      </c>
      <c r="AD753" t="s">
        <v>4459</v>
      </c>
      <c r="AE753" t="s">
        <v>14679</v>
      </c>
      <c r="AF753" t="s">
        <v>74</v>
      </c>
      <c r="AG753">
        <v>156</v>
      </c>
      <c r="AH753">
        <v>18</v>
      </c>
      <c r="AI753">
        <v>18</v>
      </c>
      <c r="AJ753">
        <v>1</v>
      </c>
      <c r="AK753">
        <v>7</v>
      </c>
      <c r="AL753" t="s">
        <v>154</v>
      </c>
      <c r="AM753" t="s">
        <v>4016</v>
      </c>
      <c r="AN753" t="s">
        <v>4040</v>
      </c>
      <c r="AO753" t="s">
        <v>4018</v>
      </c>
      <c r="AP753" t="s">
        <v>4019</v>
      </c>
      <c r="AQ753" t="s">
        <v>74</v>
      </c>
      <c r="AR753" t="s">
        <v>4020</v>
      </c>
      <c r="AS753" t="s">
        <v>4021</v>
      </c>
      <c r="AT753" t="s">
        <v>6722</v>
      </c>
      <c r="AU753">
        <v>2019</v>
      </c>
      <c r="AV753">
        <v>42</v>
      </c>
      <c r="AW753">
        <v>6</v>
      </c>
      <c r="AX753" t="s">
        <v>74</v>
      </c>
      <c r="AY753" t="s">
        <v>74</v>
      </c>
      <c r="AZ753" t="s">
        <v>74</v>
      </c>
      <c r="BA753" t="s">
        <v>74</v>
      </c>
      <c r="BB753">
        <v>1131</v>
      </c>
      <c r="BC753">
        <v>1145</v>
      </c>
      <c r="BD753" t="s">
        <v>74</v>
      </c>
      <c r="BE753" t="s">
        <v>14680</v>
      </c>
      <c r="BF753" t="str">
        <f>HYPERLINK("http://dx.doi.org/10.1007/s00300-019-02502-7","http://dx.doi.org/10.1007/s00300-019-02502-7")</f>
        <v>http://dx.doi.org/10.1007/s00300-019-02502-7</v>
      </c>
      <c r="BG753" t="s">
        <v>74</v>
      </c>
      <c r="BH753" t="s">
        <v>74</v>
      </c>
      <c r="BI753">
        <v>15</v>
      </c>
      <c r="BJ753" t="s">
        <v>3802</v>
      </c>
      <c r="BK753" t="s">
        <v>101</v>
      </c>
      <c r="BL753" t="s">
        <v>1646</v>
      </c>
      <c r="BM753" t="s">
        <v>14647</v>
      </c>
      <c r="BN753" t="s">
        <v>74</v>
      </c>
      <c r="BO753" t="s">
        <v>74</v>
      </c>
      <c r="BP753" t="s">
        <v>74</v>
      </c>
      <c r="BQ753" t="s">
        <v>74</v>
      </c>
      <c r="BR753" t="s">
        <v>103</v>
      </c>
      <c r="BS753" t="s">
        <v>14681</v>
      </c>
      <c r="BT753" t="str">
        <f>HYPERLINK("https%3A%2F%2Fwww.webofscience.com%2Fwos%2Fwoscc%2Ffull-record%2FWOS:000470694200006","View Full Record in Web of Science")</f>
        <v>View Full Record in Web of Science</v>
      </c>
    </row>
    <row r="754" spans="1:72" x14ac:dyDescent="0.15">
      <c r="A754" t="s">
        <v>72</v>
      </c>
      <c r="B754" t="s">
        <v>14682</v>
      </c>
      <c r="C754" t="s">
        <v>74</v>
      </c>
      <c r="D754" t="s">
        <v>74</v>
      </c>
      <c r="E754" t="s">
        <v>74</v>
      </c>
      <c r="F754" t="s">
        <v>14683</v>
      </c>
      <c r="G754" t="s">
        <v>74</v>
      </c>
      <c r="H754" t="s">
        <v>74</v>
      </c>
      <c r="I754" t="s">
        <v>14684</v>
      </c>
      <c r="J754" t="s">
        <v>4003</v>
      </c>
      <c r="K754" t="s">
        <v>74</v>
      </c>
      <c r="L754" t="s">
        <v>74</v>
      </c>
      <c r="M754" t="s">
        <v>78</v>
      </c>
      <c r="N754" t="s">
        <v>108</v>
      </c>
      <c r="O754" t="s">
        <v>74</v>
      </c>
      <c r="P754" t="s">
        <v>74</v>
      </c>
      <c r="Q754" t="s">
        <v>74</v>
      </c>
      <c r="R754" t="s">
        <v>74</v>
      </c>
      <c r="S754" t="s">
        <v>74</v>
      </c>
      <c r="T754" t="s">
        <v>14685</v>
      </c>
      <c r="U754" t="s">
        <v>14686</v>
      </c>
      <c r="V754" t="s">
        <v>14687</v>
      </c>
      <c r="W754" t="s">
        <v>14688</v>
      </c>
      <c r="X754" t="s">
        <v>14689</v>
      </c>
      <c r="Y754" t="s">
        <v>14690</v>
      </c>
      <c r="Z754" t="s">
        <v>14691</v>
      </c>
      <c r="AA754" t="s">
        <v>14692</v>
      </c>
      <c r="AB754" t="s">
        <v>4141</v>
      </c>
      <c r="AC754" t="s">
        <v>14693</v>
      </c>
      <c r="AD754" t="s">
        <v>14694</v>
      </c>
      <c r="AE754" t="s">
        <v>14695</v>
      </c>
      <c r="AF754" t="s">
        <v>74</v>
      </c>
      <c r="AG754">
        <v>57</v>
      </c>
      <c r="AH754">
        <v>11</v>
      </c>
      <c r="AI754">
        <v>12</v>
      </c>
      <c r="AJ754">
        <v>1</v>
      </c>
      <c r="AK754">
        <v>23</v>
      </c>
      <c r="AL754" t="s">
        <v>154</v>
      </c>
      <c r="AM754" t="s">
        <v>4016</v>
      </c>
      <c r="AN754" t="s">
        <v>4017</v>
      </c>
      <c r="AO754" t="s">
        <v>4018</v>
      </c>
      <c r="AP754" t="s">
        <v>4019</v>
      </c>
      <c r="AQ754" t="s">
        <v>74</v>
      </c>
      <c r="AR754" t="s">
        <v>4020</v>
      </c>
      <c r="AS754" t="s">
        <v>4021</v>
      </c>
      <c r="AT754" t="s">
        <v>6722</v>
      </c>
      <c r="AU754">
        <v>2019</v>
      </c>
      <c r="AV754">
        <v>42</v>
      </c>
      <c r="AW754">
        <v>6</v>
      </c>
      <c r="AX754" t="s">
        <v>74</v>
      </c>
      <c r="AY754" t="s">
        <v>74</v>
      </c>
      <c r="AZ754" t="s">
        <v>74</v>
      </c>
      <c r="BA754" t="s">
        <v>74</v>
      </c>
      <c r="BB754">
        <v>1147</v>
      </c>
      <c r="BC754">
        <v>1156</v>
      </c>
      <c r="BD754" t="s">
        <v>74</v>
      </c>
      <c r="BE754" t="s">
        <v>14696</v>
      </c>
      <c r="BF754" t="str">
        <f>HYPERLINK("http://dx.doi.org/10.1007/s00300-019-02503-6","http://dx.doi.org/10.1007/s00300-019-02503-6")</f>
        <v>http://dx.doi.org/10.1007/s00300-019-02503-6</v>
      </c>
      <c r="BG754" t="s">
        <v>74</v>
      </c>
      <c r="BH754" t="s">
        <v>74</v>
      </c>
      <c r="BI754">
        <v>10</v>
      </c>
      <c r="BJ754" t="s">
        <v>3802</v>
      </c>
      <c r="BK754" t="s">
        <v>101</v>
      </c>
      <c r="BL754" t="s">
        <v>1646</v>
      </c>
      <c r="BM754" t="s">
        <v>14647</v>
      </c>
      <c r="BN754" t="s">
        <v>74</v>
      </c>
      <c r="BO754" t="s">
        <v>74</v>
      </c>
      <c r="BP754" t="s">
        <v>74</v>
      </c>
      <c r="BQ754" t="s">
        <v>74</v>
      </c>
      <c r="BR754" t="s">
        <v>103</v>
      </c>
      <c r="BS754" t="s">
        <v>14697</v>
      </c>
      <c r="BT754" t="str">
        <f>HYPERLINK("https%3A%2F%2Fwww.webofscience.com%2Fwos%2Fwoscc%2Ffull-record%2FWOS:000470694200007","View Full Record in Web of Science")</f>
        <v>View Full Record in Web of Science</v>
      </c>
    </row>
    <row r="755" spans="1:72" x14ac:dyDescent="0.15">
      <c r="A755" t="s">
        <v>72</v>
      </c>
      <c r="B755" t="s">
        <v>14698</v>
      </c>
      <c r="C755" t="s">
        <v>74</v>
      </c>
      <c r="D755" t="s">
        <v>74</v>
      </c>
      <c r="E755" t="s">
        <v>74</v>
      </c>
      <c r="F755" t="s">
        <v>14699</v>
      </c>
      <c r="G755" t="s">
        <v>74</v>
      </c>
      <c r="H755" t="s">
        <v>74</v>
      </c>
      <c r="I755" t="s">
        <v>14700</v>
      </c>
      <c r="J755" t="s">
        <v>4003</v>
      </c>
      <c r="K755" t="s">
        <v>74</v>
      </c>
      <c r="L755" t="s">
        <v>74</v>
      </c>
      <c r="M755" t="s">
        <v>78</v>
      </c>
      <c r="N755" t="s">
        <v>108</v>
      </c>
      <c r="O755" t="s">
        <v>74</v>
      </c>
      <c r="P755" t="s">
        <v>74</v>
      </c>
      <c r="Q755" t="s">
        <v>74</v>
      </c>
      <c r="R755" t="s">
        <v>74</v>
      </c>
      <c r="S755" t="s">
        <v>74</v>
      </c>
      <c r="T755" t="s">
        <v>14701</v>
      </c>
      <c r="U755" t="s">
        <v>14702</v>
      </c>
      <c r="V755" t="s">
        <v>14703</v>
      </c>
      <c r="W755" t="s">
        <v>14704</v>
      </c>
      <c r="X755" t="s">
        <v>14705</v>
      </c>
      <c r="Y755" t="s">
        <v>14706</v>
      </c>
      <c r="Z755" t="s">
        <v>14707</v>
      </c>
      <c r="AA755" t="s">
        <v>14708</v>
      </c>
      <c r="AB755" t="s">
        <v>14709</v>
      </c>
      <c r="AC755" t="s">
        <v>14710</v>
      </c>
      <c r="AD755" t="s">
        <v>14711</v>
      </c>
      <c r="AE755" t="s">
        <v>14712</v>
      </c>
      <c r="AF755" t="s">
        <v>74</v>
      </c>
      <c r="AG755">
        <v>41</v>
      </c>
      <c r="AH755">
        <v>5</v>
      </c>
      <c r="AI755">
        <v>6</v>
      </c>
      <c r="AJ755">
        <v>0</v>
      </c>
      <c r="AK755">
        <v>19</v>
      </c>
      <c r="AL755" t="s">
        <v>154</v>
      </c>
      <c r="AM755" t="s">
        <v>4016</v>
      </c>
      <c r="AN755" t="s">
        <v>4040</v>
      </c>
      <c r="AO755" t="s">
        <v>4018</v>
      </c>
      <c r="AP755" t="s">
        <v>4019</v>
      </c>
      <c r="AQ755" t="s">
        <v>74</v>
      </c>
      <c r="AR755" t="s">
        <v>4020</v>
      </c>
      <c r="AS755" t="s">
        <v>4021</v>
      </c>
      <c r="AT755" t="s">
        <v>6722</v>
      </c>
      <c r="AU755">
        <v>2019</v>
      </c>
      <c r="AV755">
        <v>42</v>
      </c>
      <c r="AW755">
        <v>6</v>
      </c>
      <c r="AX755" t="s">
        <v>74</v>
      </c>
      <c r="AY755" t="s">
        <v>74</v>
      </c>
      <c r="AZ755" t="s">
        <v>74</v>
      </c>
      <c r="BA755" t="s">
        <v>74</v>
      </c>
      <c r="BB755">
        <v>1157</v>
      </c>
      <c r="BC755">
        <v>1166</v>
      </c>
      <c r="BD755" t="s">
        <v>74</v>
      </c>
      <c r="BE755" t="s">
        <v>14713</v>
      </c>
      <c r="BF755" t="str">
        <f>HYPERLINK("http://dx.doi.org/10.1007/s00300-019-02508-1","http://dx.doi.org/10.1007/s00300-019-02508-1")</f>
        <v>http://dx.doi.org/10.1007/s00300-019-02508-1</v>
      </c>
      <c r="BG755" t="s">
        <v>74</v>
      </c>
      <c r="BH755" t="s">
        <v>74</v>
      </c>
      <c r="BI755">
        <v>10</v>
      </c>
      <c r="BJ755" t="s">
        <v>3802</v>
      </c>
      <c r="BK755" t="s">
        <v>101</v>
      </c>
      <c r="BL755" t="s">
        <v>1646</v>
      </c>
      <c r="BM755" t="s">
        <v>14647</v>
      </c>
      <c r="BN755" t="s">
        <v>74</v>
      </c>
      <c r="BO755" t="s">
        <v>261</v>
      </c>
      <c r="BP755" t="s">
        <v>74</v>
      </c>
      <c r="BQ755" t="s">
        <v>74</v>
      </c>
      <c r="BR755" t="s">
        <v>103</v>
      </c>
      <c r="BS755" t="s">
        <v>14714</v>
      </c>
      <c r="BT755" t="str">
        <f>HYPERLINK("https%3A%2F%2Fwww.webofscience.com%2Fwos%2Fwoscc%2Ffull-record%2FWOS:000470694200008","View Full Record in Web of Science")</f>
        <v>View Full Record in Web of Science</v>
      </c>
    </row>
    <row r="756" spans="1:72" x14ac:dyDescent="0.15">
      <c r="A756" t="s">
        <v>72</v>
      </c>
      <c r="B756" t="s">
        <v>14715</v>
      </c>
      <c r="C756" t="s">
        <v>74</v>
      </c>
      <c r="D756" t="s">
        <v>74</v>
      </c>
      <c r="E756" t="s">
        <v>74</v>
      </c>
      <c r="F756" t="s">
        <v>14716</v>
      </c>
      <c r="G756" t="s">
        <v>74</v>
      </c>
      <c r="H756" t="s">
        <v>74</v>
      </c>
      <c r="I756" t="s">
        <v>14717</v>
      </c>
      <c r="J756" t="s">
        <v>4003</v>
      </c>
      <c r="K756" t="s">
        <v>74</v>
      </c>
      <c r="L756" t="s">
        <v>74</v>
      </c>
      <c r="M756" t="s">
        <v>78</v>
      </c>
      <c r="N756" t="s">
        <v>108</v>
      </c>
      <c r="O756" t="s">
        <v>74</v>
      </c>
      <c r="P756" t="s">
        <v>74</v>
      </c>
      <c r="Q756" t="s">
        <v>74</v>
      </c>
      <c r="R756" t="s">
        <v>74</v>
      </c>
      <c r="S756" t="s">
        <v>74</v>
      </c>
      <c r="T756" t="s">
        <v>14718</v>
      </c>
      <c r="U756" t="s">
        <v>14719</v>
      </c>
      <c r="V756" t="s">
        <v>14720</v>
      </c>
      <c r="W756" t="s">
        <v>14721</v>
      </c>
      <c r="X756" t="s">
        <v>14722</v>
      </c>
      <c r="Y756" t="s">
        <v>14723</v>
      </c>
      <c r="Z756" t="s">
        <v>14724</v>
      </c>
      <c r="AA756" t="s">
        <v>14725</v>
      </c>
      <c r="AB756" t="s">
        <v>14726</v>
      </c>
      <c r="AC756" t="s">
        <v>14727</v>
      </c>
      <c r="AD756" t="s">
        <v>14728</v>
      </c>
      <c r="AE756" t="s">
        <v>14729</v>
      </c>
      <c r="AF756" t="s">
        <v>74</v>
      </c>
      <c r="AG756">
        <v>30</v>
      </c>
      <c r="AH756">
        <v>4</v>
      </c>
      <c r="AI756">
        <v>6</v>
      </c>
      <c r="AJ756">
        <v>0</v>
      </c>
      <c r="AK756">
        <v>16</v>
      </c>
      <c r="AL756" t="s">
        <v>154</v>
      </c>
      <c r="AM756" t="s">
        <v>4016</v>
      </c>
      <c r="AN756" t="s">
        <v>4040</v>
      </c>
      <c r="AO756" t="s">
        <v>4018</v>
      </c>
      <c r="AP756" t="s">
        <v>4019</v>
      </c>
      <c r="AQ756" t="s">
        <v>74</v>
      </c>
      <c r="AR756" t="s">
        <v>4020</v>
      </c>
      <c r="AS756" t="s">
        <v>4021</v>
      </c>
      <c r="AT756" t="s">
        <v>6722</v>
      </c>
      <c r="AU756">
        <v>2019</v>
      </c>
      <c r="AV756">
        <v>42</v>
      </c>
      <c r="AW756">
        <v>6</v>
      </c>
      <c r="AX756" t="s">
        <v>74</v>
      </c>
      <c r="AY756" t="s">
        <v>74</v>
      </c>
      <c r="AZ756" t="s">
        <v>74</v>
      </c>
      <c r="BA756" t="s">
        <v>74</v>
      </c>
      <c r="BB756">
        <v>1167</v>
      </c>
      <c r="BC756">
        <v>1173</v>
      </c>
      <c r="BD756" t="s">
        <v>74</v>
      </c>
      <c r="BE756" t="s">
        <v>14730</v>
      </c>
      <c r="BF756" t="str">
        <f>HYPERLINK("http://dx.doi.org/10.1007/s00300-019-02509-0","http://dx.doi.org/10.1007/s00300-019-02509-0")</f>
        <v>http://dx.doi.org/10.1007/s00300-019-02509-0</v>
      </c>
      <c r="BG756" t="s">
        <v>74</v>
      </c>
      <c r="BH756" t="s">
        <v>74</v>
      </c>
      <c r="BI756">
        <v>7</v>
      </c>
      <c r="BJ756" t="s">
        <v>3802</v>
      </c>
      <c r="BK756" t="s">
        <v>101</v>
      </c>
      <c r="BL756" t="s">
        <v>1646</v>
      </c>
      <c r="BM756" t="s">
        <v>14647</v>
      </c>
      <c r="BN756" t="s">
        <v>74</v>
      </c>
      <c r="BO756" t="s">
        <v>74</v>
      </c>
      <c r="BP756" t="s">
        <v>74</v>
      </c>
      <c r="BQ756" t="s">
        <v>74</v>
      </c>
      <c r="BR756" t="s">
        <v>103</v>
      </c>
      <c r="BS756" t="s">
        <v>14731</v>
      </c>
      <c r="BT756" t="str">
        <f>HYPERLINK("https%3A%2F%2Fwww.webofscience.com%2Fwos%2Fwoscc%2Ffull-record%2FWOS:000470694200009","View Full Record in Web of Science")</f>
        <v>View Full Record in Web of Science</v>
      </c>
    </row>
    <row r="757" spans="1:72" x14ac:dyDescent="0.15">
      <c r="A757" t="s">
        <v>72</v>
      </c>
      <c r="B757" t="s">
        <v>14732</v>
      </c>
      <c r="C757" t="s">
        <v>74</v>
      </c>
      <c r="D757" t="s">
        <v>74</v>
      </c>
      <c r="E757" t="s">
        <v>74</v>
      </c>
      <c r="F757" t="s">
        <v>14733</v>
      </c>
      <c r="G757" t="s">
        <v>74</v>
      </c>
      <c r="H757" t="s">
        <v>74</v>
      </c>
      <c r="I757" t="s">
        <v>14734</v>
      </c>
      <c r="J757" t="s">
        <v>4003</v>
      </c>
      <c r="K757" t="s">
        <v>74</v>
      </c>
      <c r="L757" t="s">
        <v>74</v>
      </c>
      <c r="M757" t="s">
        <v>78</v>
      </c>
      <c r="N757" t="s">
        <v>108</v>
      </c>
      <c r="O757" t="s">
        <v>74</v>
      </c>
      <c r="P757" t="s">
        <v>74</v>
      </c>
      <c r="Q757" t="s">
        <v>74</v>
      </c>
      <c r="R757" t="s">
        <v>74</v>
      </c>
      <c r="S757" t="s">
        <v>74</v>
      </c>
      <c r="T757" t="s">
        <v>14735</v>
      </c>
      <c r="U757" t="s">
        <v>14736</v>
      </c>
      <c r="V757" t="s">
        <v>14737</v>
      </c>
      <c r="W757" t="s">
        <v>14738</v>
      </c>
      <c r="X757" t="s">
        <v>14739</v>
      </c>
      <c r="Y757" t="s">
        <v>14740</v>
      </c>
      <c r="Z757" t="s">
        <v>14741</v>
      </c>
      <c r="AA757" t="s">
        <v>14742</v>
      </c>
      <c r="AB757" t="s">
        <v>14743</v>
      </c>
      <c r="AC757" t="s">
        <v>14744</v>
      </c>
      <c r="AD757" t="s">
        <v>14745</v>
      </c>
      <c r="AE757" t="s">
        <v>14746</v>
      </c>
      <c r="AF757" t="s">
        <v>74</v>
      </c>
      <c r="AG757">
        <v>51</v>
      </c>
      <c r="AH757">
        <v>6</v>
      </c>
      <c r="AI757">
        <v>6</v>
      </c>
      <c r="AJ757">
        <v>1</v>
      </c>
      <c r="AK757">
        <v>11</v>
      </c>
      <c r="AL757" t="s">
        <v>154</v>
      </c>
      <c r="AM757" t="s">
        <v>4016</v>
      </c>
      <c r="AN757" t="s">
        <v>4017</v>
      </c>
      <c r="AO757" t="s">
        <v>4018</v>
      </c>
      <c r="AP757" t="s">
        <v>4019</v>
      </c>
      <c r="AQ757" t="s">
        <v>74</v>
      </c>
      <c r="AR757" t="s">
        <v>4020</v>
      </c>
      <c r="AS757" t="s">
        <v>4021</v>
      </c>
      <c r="AT757" t="s">
        <v>6722</v>
      </c>
      <c r="AU757">
        <v>2019</v>
      </c>
      <c r="AV757">
        <v>42</v>
      </c>
      <c r="AW757">
        <v>6</v>
      </c>
      <c r="AX757" t="s">
        <v>74</v>
      </c>
      <c r="AY757" t="s">
        <v>74</v>
      </c>
      <c r="AZ757" t="s">
        <v>74</v>
      </c>
      <c r="BA757" t="s">
        <v>74</v>
      </c>
      <c r="BB757">
        <v>1175</v>
      </c>
      <c r="BC757">
        <v>1182</v>
      </c>
      <c r="BD757" t="s">
        <v>74</v>
      </c>
      <c r="BE757" t="s">
        <v>14747</v>
      </c>
      <c r="BF757" t="str">
        <f>HYPERLINK("http://dx.doi.org/10.1007/s00300-019-02511-6","http://dx.doi.org/10.1007/s00300-019-02511-6")</f>
        <v>http://dx.doi.org/10.1007/s00300-019-02511-6</v>
      </c>
      <c r="BG757" t="s">
        <v>74</v>
      </c>
      <c r="BH757" t="s">
        <v>74</v>
      </c>
      <c r="BI757">
        <v>8</v>
      </c>
      <c r="BJ757" t="s">
        <v>3802</v>
      </c>
      <c r="BK757" t="s">
        <v>101</v>
      </c>
      <c r="BL757" t="s">
        <v>1646</v>
      </c>
      <c r="BM757" t="s">
        <v>14647</v>
      </c>
      <c r="BN757" t="s">
        <v>74</v>
      </c>
      <c r="BO757" t="s">
        <v>74</v>
      </c>
      <c r="BP757" t="s">
        <v>74</v>
      </c>
      <c r="BQ757" t="s">
        <v>74</v>
      </c>
      <c r="BR757" t="s">
        <v>103</v>
      </c>
      <c r="BS757" t="s">
        <v>14748</v>
      </c>
      <c r="BT757" t="str">
        <f>HYPERLINK("https%3A%2F%2Fwww.webofscience.com%2Fwos%2Fwoscc%2Ffull-record%2FWOS:000470694200010","View Full Record in Web of Science")</f>
        <v>View Full Record in Web of Science</v>
      </c>
    </row>
    <row r="758" spans="1:72" x14ac:dyDescent="0.15">
      <c r="A758" t="s">
        <v>72</v>
      </c>
      <c r="B758" t="s">
        <v>11287</v>
      </c>
      <c r="C758" t="s">
        <v>74</v>
      </c>
      <c r="D758" t="s">
        <v>74</v>
      </c>
      <c r="E758" t="s">
        <v>74</v>
      </c>
      <c r="F758" t="s">
        <v>11288</v>
      </c>
      <c r="G758" t="s">
        <v>74</v>
      </c>
      <c r="H758" t="s">
        <v>74</v>
      </c>
      <c r="I758" t="s">
        <v>14749</v>
      </c>
      <c r="J758" t="s">
        <v>4003</v>
      </c>
      <c r="K758" t="s">
        <v>74</v>
      </c>
      <c r="L758" t="s">
        <v>74</v>
      </c>
      <c r="M758" t="s">
        <v>78</v>
      </c>
      <c r="N758" t="s">
        <v>108</v>
      </c>
      <c r="O758" t="s">
        <v>74</v>
      </c>
      <c r="P758" t="s">
        <v>74</v>
      </c>
      <c r="Q758" t="s">
        <v>74</v>
      </c>
      <c r="R758" t="s">
        <v>74</v>
      </c>
      <c r="S758" t="s">
        <v>74</v>
      </c>
      <c r="T758" t="s">
        <v>14750</v>
      </c>
      <c r="U758" t="s">
        <v>14751</v>
      </c>
      <c r="V758" t="s">
        <v>14752</v>
      </c>
      <c r="W758" t="s">
        <v>14753</v>
      </c>
      <c r="X758" t="s">
        <v>74</v>
      </c>
      <c r="Y758" t="s">
        <v>14754</v>
      </c>
      <c r="Z758" t="s">
        <v>11296</v>
      </c>
      <c r="AA758" t="s">
        <v>11297</v>
      </c>
      <c r="AB758" t="s">
        <v>11298</v>
      </c>
      <c r="AC758" t="s">
        <v>14755</v>
      </c>
      <c r="AD758" t="s">
        <v>14756</v>
      </c>
      <c r="AE758" t="s">
        <v>14757</v>
      </c>
      <c r="AF758" t="s">
        <v>74</v>
      </c>
      <c r="AG758">
        <v>23</v>
      </c>
      <c r="AH758">
        <v>6</v>
      </c>
      <c r="AI758">
        <v>6</v>
      </c>
      <c r="AJ758">
        <v>1</v>
      </c>
      <c r="AK758">
        <v>10</v>
      </c>
      <c r="AL758" t="s">
        <v>154</v>
      </c>
      <c r="AM758" t="s">
        <v>4016</v>
      </c>
      <c r="AN758" t="s">
        <v>4040</v>
      </c>
      <c r="AO758" t="s">
        <v>4018</v>
      </c>
      <c r="AP758" t="s">
        <v>4019</v>
      </c>
      <c r="AQ758" t="s">
        <v>74</v>
      </c>
      <c r="AR758" t="s">
        <v>4020</v>
      </c>
      <c r="AS758" t="s">
        <v>4021</v>
      </c>
      <c r="AT758" t="s">
        <v>6722</v>
      </c>
      <c r="AU758">
        <v>2019</v>
      </c>
      <c r="AV758">
        <v>42</v>
      </c>
      <c r="AW758">
        <v>6</v>
      </c>
      <c r="AX758" t="s">
        <v>74</v>
      </c>
      <c r="AY758" t="s">
        <v>74</v>
      </c>
      <c r="AZ758" t="s">
        <v>74</v>
      </c>
      <c r="BA758" t="s">
        <v>74</v>
      </c>
      <c r="BB758">
        <v>1205</v>
      </c>
      <c r="BC758">
        <v>1208</v>
      </c>
      <c r="BD758" t="s">
        <v>74</v>
      </c>
      <c r="BE758" t="s">
        <v>14758</v>
      </c>
      <c r="BF758" t="str">
        <f>HYPERLINK("http://dx.doi.org/10.1007/s00300-019-02504-5","http://dx.doi.org/10.1007/s00300-019-02504-5")</f>
        <v>http://dx.doi.org/10.1007/s00300-019-02504-5</v>
      </c>
      <c r="BG758" t="s">
        <v>74</v>
      </c>
      <c r="BH758" t="s">
        <v>74</v>
      </c>
      <c r="BI758">
        <v>4</v>
      </c>
      <c r="BJ758" t="s">
        <v>3802</v>
      </c>
      <c r="BK758" t="s">
        <v>101</v>
      </c>
      <c r="BL758" t="s">
        <v>1646</v>
      </c>
      <c r="BM758" t="s">
        <v>14647</v>
      </c>
      <c r="BN758" t="s">
        <v>74</v>
      </c>
      <c r="BO758" t="s">
        <v>74</v>
      </c>
      <c r="BP758" t="s">
        <v>74</v>
      </c>
      <c r="BQ758" t="s">
        <v>74</v>
      </c>
      <c r="BR758" t="s">
        <v>103</v>
      </c>
      <c r="BS758" t="s">
        <v>14759</v>
      </c>
      <c r="BT758" t="str">
        <f>HYPERLINK("https%3A%2F%2Fwww.webofscience.com%2Fwos%2Fwoscc%2Ffull-record%2FWOS:000470694200014","View Full Record in Web of Science")</f>
        <v>View Full Record in Web of Science</v>
      </c>
    </row>
    <row r="759" spans="1:72" x14ac:dyDescent="0.15">
      <c r="A759" t="s">
        <v>72</v>
      </c>
      <c r="B759" t="s">
        <v>14760</v>
      </c>
      <c r="C759" t="s">
        <v>74</v>
      </c>
      <c r="D759" t="s">
        <v>74</v>
      </c>
      <c r="E759" t="s">
        <v>74</v>
      </c>
      <c r="F759" t="s">
        <v>14761</v>
      </c>
      <c r="G759" t="s">
        <v>74</v>
      </c>
      <c r="H759" t="s">
        <v>74</v>
      </c>
      <c r="I759" t="s">
        <v>14762</v>
      </c>
      <c r="J759" t="s">
        <v>4003</v>
      </c>
      <c r="K759" t="s">
        <v>74</v>
      </c>
      <c r="L759" t="s">
        <v>74</v>
      </c>
      <c r="M759" t="s">
        <v>78</v>
      </c>
      <c r="N759" t="s">
        <v>108</v>
      </c>
      <c r="O759" t="s">
        <v>74</v>
      </c>
      <c r="P759" t="s">
        <v>74</v>
      </c>
      <c r="Q759" t="s">
        <v>74</v>
      </c>
      <c r="R759" t="s">
        <v>74</v>
      </c>
      <c r="S759" t="s">
        <v>74</v>
      </c>
      <c r="T759" t="s">
        <v>14763</v>
      </c>
      <c r="U759" t="s">
        <v>14764</v>
      </c>
      <c r="V759" t="s">
        <v>14765</v>
      </c>
      <c r="W759" t="s">
        <v>14766</v>
      </c>
      <c r="X759" t="s">
        <v>14767</v>
      </c>
      <c r="Y759" t="s">
        <v>14768</v>
      </c>
      <c r="Z759" t="s">
        <v>14769</v>
      </c>
      <c r="AA759" t="s">
        <v>14770</v>
      </c>
      <c r="AB759" t="s">
        <v>14771</v>
      </c>
      <c r="AC759" t="s">
        <v>14772</v>
      </c>
      <c r="AD759" t="s">
        <v>14773</v>
      </c>
      <c r="AE759" t="s">
        <v>14774</v>
      </c>
      <c r="AF759" t="s">
        <v>74</v>
      </c>
      <c r="AG759">
        <v>35</v>
      </c>
      <c r="AH759">
        <v>2</v>
      </c>
      <c r="AI759">
        <v>2</v>
      </c>
      <c r="AJ759">
        <v>1</v>
      </c>
      <c r="AK759">
        <v>12</v>
      </c>
      <c r="AL759" t="s">
        <v>154</v>
      </c>
      <c r="AM759" t="s">
        <v>4016</v>
      </c>
      <c r="AN759" t="s">
        <v>4040</v>
      </c>
      <c r="AO759" t="s">
        <v>4018</v>
      </c>
      <c r="AP759" t="s">
        <v>4019</v>
      </c>
      <c r="AQ759" t="s">
        <v>74</v>
      </c>
      <c r="AR759" t="s">
        <v>4020</v>
      </c>
      <c r="AS759" t="s">
        <v>4021</v>
      </c>
      <c r="AT759" t="s">
        <v>6722</v>
      </c>
      <c r="AU759">
        <v>2019</v>
      </c>
      <c r="AV759">
        <v>42</v>
      </c>
      <c r="AW759">
        <v>6</v>
      </c>
      <c r="AX759" t="s">
        <v>74</v>
      </c>
      <c r="AY759" t="s">
        <v>74</v>
      </c>
      <c r="AZ759" t="s">
        <v>74</v>
      </c>
      <c r="BA759" t="s">
        <v>74</v>
      </c>
      <c r="BB759">
        <v>1209</v>
      </c>
      <c r="BC759">
        <v>1215</v>
      </c>
      <c r="BD759" t="s">
        <v>74</v>
      </c>
      <c r="BE759" t="s">
        <v>14775</v>
      </c>
      <c r="BF759" t="str">
        <f>HYPERLINK("http://dx.doi.org/10.1007/s00300-019-02505-4","http://dx.doi.org/10.1007/s00300-019-02505-4")</f>
        <v>http://dx.doi.org/10.1007/s00300-019-02505-4</v>
      </c>
      <c r="BG759" t="s">
        <v>74</v>
      </c>
      <c r="BH759" t="s">
        <v>74</v>
      </c>
      <c r="BI759">
        <v>7</v>
      </c>
      <c r="BJ759" t="s">
        <v>3802</v>
      </c>
      <c r="BK759" t="s">
        <v>101</v>
      </c>
      <c r="BL759" t="s">
        <v>1646</v>
      </c>
      <c r="BM759" t="s">
        <v>14647</v>
      </c>
      <c r="BN759" t="s">
        <v>74</v>
      </c>
      <c r="BO759" t="s">
        <v>74</v>
      </c>
      <c r="BP759" t="s">
        <v>74</v>
      </c>
      <c r="BQ759" t="s">
        <v>74</v>
      </c>
      <c r="BR759" t="s">
        <v>103</v>
      </c>
      <c r="BS759" t="s">
        <v>14776</v>
      </c>
      <c r="BT759" t="str">
        <f>HYPERLINK("https%3A%2F%2Fwww.webofscience.com%2Fwos%2Fwoscc%2Ffull-record%2FWOS:000470694200015","View Full Record in Web of Science")</f>
        <v>View Full Record in Web of Science</v>
      </c>
    </row>
    <row r="760" spans="1:72" x14ac:dyDescent="0.15">
      <c r="A760" t="s">
        <v>72</v>
      </c>
      <c r="B760" t="s">
        <v>14777</v>
      </c>
      <c r="C760" t="s">
        <v>74</v>
      </c>
      <c r="D760" t="s">
        <v>74</v>
      </c>
      <c r="E760" t="s">
        <v>74</v>
      </c>
      <c r="F760" t="s">
        <v>14778</v>
      </c>
      <c r="G760" t="s">
        <v>74</v>
      </c>
      <c r="H760" t="s">
        <v>74</v>
      </c>
      <c r="I760" t="s">
        <v>14779</v>
      </c>
      <c r="J760" t="s">
        <v>4003</v>
      </c>
      <c r="K760" t="s">
        <v>74</v>
      </c>
      <c r="L760" t="s">
        <v>74</v>
      </c>
      <c r="M760" t="s">
        <v>78</v>
      </c>
      <c r="N760" t="s">
        <v>108</v>
      </c>
      <c r="O760" t="s">
        <v>74</v>
      </c>
      <c r="P760" t="s">
        <v>74</v>
      </c>
      <c r="Q760" t="s">
        <v>74</v>
      </c>
      <c r="R760" t="s">
        <v>74</v>
      </c>
      <c r="S760" t="s">
        <v>74</v>
      </c>
      <c r="T760" t="s">
        <v>14780</v>
      </c>
      <c r="U760" t="s">
        <v>14781</v>
      </c>
      <c r="V760" t="s">
        <v>14782</v>
      </c>
      <c r="W760" t="s">
        <v>14783</v>
      </c>
      <c r="X760" t="s">
        <v>14784</v>
      </c>
      <c r="Y760" t="s">
        <v>14785</v>
      </c>
      <c r="Z760" t="s">
        <v>14786</v>
      </c>
      <c r="AA760" t="s">
        <v>74</v>
      </c>
      <c r="AB760" t="s">
        <v>4072</v>
      </c>
      <c r="AC760" t="s">
        <v>14787</v>
      </c>
      <c r="AD760" t="s">
        <v>14788</v>
      </c>
      <c r="AE760" t="s">
        <v>14789</v>
      </c>
      <c r="AF760" t="s">
        <v>74</v>
      </c>
      <c r="AG760">
        <v>26</v>
      </c>
      <c r="AH760">
        <v>4</v>
      </c>
      <c r="AI760">
        <v>4</v>
      </c>
      <c r="AJ760">
        <v>0</v>
      </c>
      <c r="AK760">
        <v>2</v>
      </c>
      <c r="AL760" t="s">
        <v>154</v>
      </c>
      <c r="AM760" t="s">
        <v>4016</v>
      </c>
      <c r="AN760" t="s">
        <v>4040</v>
      </c>
      <c r="AO760" t="s">
        <v>4018</v>
      </c>
      <c r="AP760" t="s">
        <v>4019</v>
      </c>
      <c r="AQ760" t="s">
        <v>74</v>
      </c>
      <c r="AR760" t="s">
        <v>4020</v>
      </c>
      <c r="AS760" t="s">
        <v>4021</v>
      </c>
      <c r="AT760" t="s">
        <v>6722</v>
      </c>
      <c r="AU760">
        <v>2019</v>
      </c>
      <c r="AV760">
        <v>42</v>
      </c>
      <c r="AW760">
        <v>6</v>
      </c>
      <c r="AX760" t="s">
        <v>74</v>
      </c>
      <c r="AY760" t="s">
        <v>74</v>
      </c>
      <c r="AZ760" t="s">
        <v>74</v>
      </c>
      <c r="BA760" t="s">
        <v>74</v>
      </c>
      <c r="BB760">
        <v>1217</v>
      </c>
      <c r="BC760">
        <v>1220</v>
      </c>
      <c r="BD760" t="s">
        <v>74</v>
      </c>
      <c r="BE760" t="s">
        <v>14790</v>
      </c>
      <c r="BF760" t="str">
        <f>HYPERLINK("http://dx.doi.org/10.1007/s00300-019-02506-3","http://dx.doi.org/10.1007/s00300-019-02506-3")</f>
        <v>http://dx.doi.org/10.1007/s00300-019-02506-3</v>
      </c>
      <c r="BG760" t="s">
        <v>74</v>
      </c>
      <c r="BH760" t="s">
        <v>74</v>
      </c>
      <c r="BI760">
        <v>4</v>
      </c>
      <c r="BJ760" t="s">
        <v>3802</v>
      </c>
      <c r="BK760" t="s">
        <v>101</v>
      </c>
      <c r="BL760" t="s">
        <v>1646</v>
      </c>
      <c r="BM760" t="s">
        <v>14647</v>
      </c>
      <c r="BN760" t="s">
        <v>74</v>
      </c>
      <c r="BO760" t="s">
        <v>1648</v>
      </c>
      <c r="BP760" t="s">
        <v>74</v>
      </c>
      <c r="BQ760" t="s">
        <v>74</v>
      </c>
      <c r="BR760" t="s">
        <v>103</v>
      </c>
      <c r="BS760" t="s">
        <v>14791</v>
      </c>
      <c r="BT760" t="str">
        <f>HYPERLINK("https%3A%2F%2Fwww.webofscience.com%2Fwos%2Fwoscc%2Ffull-record%2FWOS:000470694200016","View Full Record in Web of Science")</f>
        <v>View Full Record in Web of Science</v>
      </c>
    </row>
    <row r="761" spans="1:72" x14ac:dyDescent="0.15">
      <c r="A761" t="s">
        <v>72</v>
      </c>
      <c r="B761" t="s">
        <v>14792</v>
      </c>
      <c r="C761" t="s">
        <v>74</v>
      </c>
      <c r="D761" t="s">
        <v>74</v>
      </c>
      <c r="E761" t="s">
        <v>74</v>
      </c>
      <c r="F761" t="s">
        <v>14793</v>
      </c>
      <c r="G761" t="s">
        <v>74</v>
      </c>
      <c r="H761" t="s">
        <v>74</v>
      </c>
      <c r="I761" t="s">
        <v>14794</v>
      </c>
      <c r="J761" t="s">
        <v>4003</v>
      </c>
      <c r="K761" t="s">
        <v>74</v>
      </c>
      <c r="L761" t="s">
        <v>74</v>
      </c>
      <c r="M761" t="s">
        <v>78</v>
      </c>
      <c r="N761" t="s">
        <v>108</v>
      </c>
      <c r="O761" t="s">
        <v>74</v>
      </c>
      <c r="P761" t="s">
        <v>74</v>
      </c>
      <c r="Q761" t="s">
        <v>74</v>
      </c>
      <c r="R761" t="s">
        <v>74</v>
      </c>
      <c r="S761" t="s">
        <v>74</v>
      </c>
      <c r="T761" t="s">
        <v>14795</v>
      </c>
      <c r="U761" t="s">
        <v>14796</v>
      </c>
      <c r="V761" t="s">
        <v>14797</v>
      </c>
      <c r="W761" t="s">
        <v>14798</v>
      </c>
      <c r="X761" t="s">
        <v>14799</v>
      </c>
      <c r="Y761" t="s">
        <v>14785</v>
      </c>
      <c r="Z761" t="s">
        <v>14786</v>
      </c>
      <c r="AA761" t="s">
        <v>74</v>
      </c>
      <c r="AB761" t="s">
        <v>74</v>
      </c>
      <c r="AC761" t="s">
        <v>74</v>
      </c>
      <c r="AD761" t="s">
        <v>74</v>
      </c>
      <c r="AE761" t="s">
        <v>74</v>
      </c>
      <c r="AF761" t="s">
        <v>74</v>
      </c>
      <c r="AG761">
        <v>14</v>
      </c>
      <c r="AH761">
        <v>1</v>
      </c>
      <c r="AI761">
        <v>1</v>
      </c>
      <c r="AJ761">
        <v>0</v>
      </c>
      <c r="AK761">
        <v>3</v>
      </c>
      <c r="AL761" t="s">
        <v>154</v>
      </c>
      <c r="AM761" t="s">
        <v>4016</v>
      </c>
      <c r="AN761" t="s">
        <v>4040</v>
      </c>
      <c r="AO761" t="s">
        <v>4018</v>
      </c>
      <c r="AP761" t="s">
        <v>4019</v>
      </c>
      <c r="AQ761" t="s">
        <v>74</v>
      </c>
      <c r="AR761" t="s">
        <v>4020</v>
      </c>
      <c r="AS761" t="s">
        <v>4021</v>
      </c>
      <c r="AT761" t="s">
        <v>6722</v>
      </c>
      <c r="AU761">
        <v>2019</v>
      </c>
      <c r="AV761">
        <v>42</v>
      </c>
      <c r="AW761">
        <v>6</v>
      </c>
      <c r="AX761" t="s">
        <v>74</v>
      </c>
      <c r="AY761" t="s">
        <v>74</v>
      </c>
      <c r="AZ761" t="s">
        <v>74</v>
      </c>
      <c r="BA761" t="s">
        <v>74</v>
      </c>
      <c r="BB761">
        <v>1221</v>
      </c>
      <c r="BC761">
        <v>1224</v>
      </c>
      <c r="BD761" t="s">
        <v>74</v>
      </c>
      <c r="BE761" t="s">
        <v>14800</v>
      </c>
      <c r="BF761" t="str">
        <f>HYPERLINK("http://dx.doi.org/10.1007/s00300-019-02510-7","http://dx.doi.org/10.1007/s00300-019-02510-7")</f>
        <v>http://dx.doi.org/10.1007/s00300-019-02510-7</v>
      </c>
      <c r="BG761" t="s">
        <v>74</v>
      </c>
      <c r="BH761" t="s">
        <v>74</v>
      </c>
      <c r="BI761">
        <v>4</v>
      </c>
      <c r="BJ761" t="s">
        <v>3802</v>
      </c>
      <c r="BK761" t="s">
        <v>101</v>
      </c>
      <c r="BL761" t="s">
        <v>1646</v>
      </c>
      <c r="BM761" t="s">
        <v>14647</v>
      </c>
      <c r="BN761" t="s">
        <v>74</v>
      </c>
      <c r="BO761" t="s">
        <v>1648</v>
      </c>
      <c r="BP761" t="s">
        <v>74</v>
      </c>
      <c r="BQ761" t="s">
        <v>74</v>
      </c>
      <c r="BR761" t="s">
        <v>103</v>
      </c>
      <c r="BS761" t="s">
        <v>14801</v>
      </c>
      <c r="BT761" t="str">
        <f>HYPERLINK("https%3A%2F%2Fwww.webofscience.com%2Fwos%2Fwoscc%2Ffull-record%2FWOS:000470694200017","View Full Record in Web of Science")</f>
        <v>View Full Record in Web of Science</v>
      </c>
    </row>
    <row r="762" spans="1:72" x14ac:dyDescent="0.15">
      <c r="A762" t="s">
        <v>72</v>
      </c>
      <c r="B762" t="s">
        <v>14802</v>
      </c>
      <c r="C762" t="s">
        <v>74</v>
      </c>
      <c r="D762" t="s">
        <v>74</v>
      </c>
      <c r="E762" t="s">
        <v>74</v>
      </c>
      <c r="F762" t="s">
        <v>14803</v>
      </c>
      <c r="G762" t="s">
        <v>74</v>
      </c>
      <c r="H762" t="s">
        <v>74</v>
      </c>
      <c r="I762" t="s">
        <v>14804</v>
      </c>
      <c r="J762" t="s">
        <v>5569</v>
      </c>
      <c r="K762" t="s">
        <v>74</v>
      </c>
      <c r="L762" t="s">
        <v>74</v>
      </c>
      <c r="M762" t="s">
        <v>78</v>
      </c>
      <c r="N762" t="s">
        <v>108</v>
      </c>
      <c r="O762" t="s">
        <v>74</v>
      </c>
      <c r="P762" t="s">
        <v>74</v>
      </c>
      <c r="Q762" t="s">
        <v>74</v>
      </c>
      <c r="R762" t="s">
        <v>74</v>
      </c>
      <c r="S762" t="s">
        <v>74</v>
      </c>
      <c r="T762" t="s">
        <v>14805</v>
      </c>
      <c r="U762" t="s">
        <v>14806</v>
      </c>
      <c r="V762" t="s">
        <v>14807</v>
      </c>
      <c r="W762" t="s">
        <v>14808</v>
      </c>
      <c r="X762" t="s">
        <v>1135</v>
      </c>
      <c r="Y762" t="s">
        <v>14809</v>
      </c>
      <c r="Z762" t="s">
        <v>6513</v>
      </c>
      <c r="AA762" t="s">
        <v>6514</v>
      </c>
      <c r="AB762" t="s">
        <v>14810</v>
      </c>
      <c r="AC762" t="s">
        <v>14811</v>
      </c>
      <c r="AD762" t="s">
        <v>14812</v>
      </c>
      <c r="AE762" t="s">
        <v>14813</v>
      </c>
      <c r="AF762" t="s">
        <v>74</v>
      </c>
      <c r="AG762">
        <v>56</v>
      </c>
      <c r="AH762">
        <v>13</v>
      </c>
      <c r="AI762">
        <v>13</v>
      </c>
      <c r="AJ762">
        <v>0</v>
      </c>
      <c r="AK762">
        <v>10</v>
      </c>
      <c r="AL762" t="s">
        <v>656</v>
      </c>
      <c r="AM762" t="s">
        <v>657</v>
      </c>
      <c r="AN762" t="s">
        <v>658</v>
      </c>
      <c r="AO762" t="s">
        <v>5576</v>
      </c>
      <c r="AP762" t="s">
        <v>5577</v>
      </c>
      <c r="AQ762" t="s">
        <v>74</v>
      </c>
      <c r="AR762" t="s">
        <v>5578</v>
      </c>
      <c r="AS762" t="s">
        <v>5579</v>
      </c>
      <c r="AT762" t="s">
        <v>6722</v>
      </c>
      <c r="AU762">
        <v>2019</v>
      </c>
      <c r="AV762">
        <v>89</v>
      </c>
      <c r="AW762" t="s">
        <v>74</v>
      </c>
      <c r="AX762" t="s">
        <v>74</v>
      </c>
      <c r="AY762" t="s">
        <v>74</v>
      </c>
      <c r="AZ762" t="s">
        <v>74</v>
      </c>
      <c r="BA762" t="s">
        <v>74</v>
      </c>
      <c r="BB762">
        <v>660</v>
      </c>
      <c r="BC762">
        <v>671</v>
      </c>
      <c r="BD762" t="s">
        <v>74</v>
      </c>
      <c r="BE762" t="s">
        <v>14814</v>
      </c>
      <c r="BF762" t="str">
        <f>HYPERLINK("http://dx.doi.org/10.1016/j.fsi.2019.03.043","http://dx.doi.org/10.1016/j.fsi.2019.03.043")</f>
        <v>http://dx.doi.org/10.1016/j.fsi.2019.03.043</v>
      </c>
      <c r="BG762" t="s">
        <v>74</v>
      </c>
      <c r="BH762" t="s">
        <v>74</v>
      </c>
      <c r="BI762">
        <v>12</v>
      </c>
      <c r="BJ762" t="s">
        <v>5582</v>
      </c>
      <c r="BK762" t="s">
        <v>101</v>
      </c>
      <c r="BL762" t="s">
        <v>5582</v>
      </c>
      <c r="BM762" t="s">
        <v>14815</v>
      </c>
      <c r="BN762">
        <v>30902723</v>
      </c>
      <c r="BO762" t="s">
        <v>74</v>
      </c>
      <c r="BP762" t="s">
        <v>74</v>
      </c>
      <c r="BQ762" t="s">
        <v>74</v>
      </c>
      <c r="BR762" t="s">
        <v>103</v>
      </c>
      <c r="BS762" t="s">
        <v>14816</v>
      </c>
      <c r="BT762" t="str">
        <f>HYPERLINK("https%3A%2F%2Fwww.webofscience.com%2Fwos%2Fwoscc%2Ffull-record%2FWOS:000469897700073","View Full Record in Web of Science")</f>
        <v>View Full Record in Web of Science</v>
      </c>
    </row>
    <row r="763" spans="1:72" x14ac:dyDescent="0.15">
      <c r="A763" t="s">
        <v>72</v>
      </c>
      <c r="B763" t="s">
        <v>14817</v>
      </c>
      <c r="C763" t="s">
        <v>74</v>
      </c>
      <c r="D763" t="s">
        <v>74</v>
      </c>
      <c r="E763" t="s">
        <v>74</v>
      </c>
      <c r="F763" t="s">
        <v>14818</v>
      </c>
      <c r="G763" t="s">
        <v>74</v>
      </c>
      <c r="H763" t="s">
        <v>74</v>
      </c>
      <c r="I763" t="s">
        <v>14819</v>
      </c>
      <c r="J763" t="s">
        <v>14820</v>
      </c>
      <c r="K763" t="s">
        <v>74</v>
      </c>
      <c r="L763" t="s">
        <v>74</v>
      </c>
      <c r="M763" t="s">
        <v>78</v>
      </c>
      <c r="N763" t="s">
        <v>108</v>
      </c>
      <c r="O763" t="s">
        <v>74</v>
      </c>
      <c r="P763" t="s">
        <v>74</v>
      </c>
      <c r="Q763" t="s">
        <v>74</v>
      </c>
      <c r="R763" t="s">
        <v>74</v>
      </c>
      <c r="S763" t="s">
        <v>74</v>
      </c>
      <c r="T763" t="s">
        <v>14821</v>
      </c>
      <c r="U763" t="s">
        <v>14822</v>
      </c>
      <c r="V763" t="s">
        <v>14823</v>
      </c>
      <c r="W763" t="s">
        <v>14824</v>
      </c>
      <c r="X763" t="s">
        <v>14825</v>
      </c>
      <c r="Y763" t="s">
        <v>14826</v>
      </c>
      <c r="Z763" t="s">
        <v>14827</v>
      </c>
      <c r="AA763" t="s">
        <v>14828</v>
      </c>
      <c r="AB763" t="s">
        <v>14829</v>
      </c>
      <c r="AC763" t="s">
        <v>14830</v>
      </c>
      <c r="AD763" t="s">
        <v>14831</v>
      </c>
      <c r="AE763" t="s">
        <v>14832</v>
      </c>
      <c r="AF763" t="s">
        <v>74</v>
      </c>
      <c r="AG763">
        <v>38</v>
      </c>
      <c r="AH763">
        <v>0</v>
      </c>
      <c r="AI763">
        <v>0</v>
      </c>
      <c r="AJ763">
        <v>0</v>
      </c>
      <c r="AK763">
        <v>8</v>
      </c>
      <c r="AL763" t="s">
        <v>1687</v>
      </c>
      <c r="AM763" t="s">
        <v>1688</v>
      </c>
      <c r="AN763" t="s">
        <v>1689</v>
      </c>
      <c r="AO763" t="s">
        <v>14833</v>
      </c>
      <c r="AP763" t="s">
        <v>14834</v>
      </c>
      <c r="AQ763" t="s">
        <v>74</v>
      </c>
      <c r="AR763" t="s">
        <v>14835</v>
      </c>
      <c r="AS763" t="s">
        <v>14836</v>
      </c>
      <c r="AT763" t="s">
        <v>13921</v>
      </c>
      <c r="AU763">
        <v>2019</v>
      </c>
      <c r="AV763">
        <v>877</v>
      </c>
      <c r="AW763">
        <v>2</v>
      </c>
      <c r="AX763" t="s">
        <v>74</v>
      </c>
      <c r="AY763" t="s">
        <v>74</v>
      </c>
      <c r="AZ763" t="s">
        <v>74</v>
      </c>
      <c r="BA763" t="s">
        <v>74</v>
      </c>
      <c r="BB763" t="s">
        <v>74</v>
      </c>
      <c r="BC763" t="s">
        <v>74</v>
      </c>
      <c r="BD763">
        <v>73</v>
      </c>
      <c r="BE763" t="s">
        <v>14837</v>
      </c>
      <c r="BF763" t="str">
        <f>HYPERLINK("http://dx.doi.org/10.3847/1538-4357/ab1aa5","http://dx.doi.org/10.3847/1538-4357/ab1aa5")</f>
        <v>http://dx.doi.org/10.3847/1538-4357/ab1aa5</v>
      </c>
      <c r="BG763" t="s">
        <v>74</v>
      </c>
      <c r="BH763" t="s">
        <v>74</v>
      </c>
      <c r="BI763">
        <v>10</v>
      </c>
      <c r="BJ763" t="s">
        <v>1696</v>
      </c>
      <c r="BK763" t="s">
        <v>101</v>
      </c>
      <c r="BL763" t="s">
        <v>1696</v>
      </c>
      <c r="BM763" t="s">
        <v>14838</v>
      </c>
      <c r="BN763" t="s">
        <v>74</v>
      </c>
      <c r="BO763" t="s">
        <v>1308</v>
      </c>
      <c r="BP763" t="s">
        <v>74</v>
      </c>
      <c r="BQ763" t="s">
        <v>74</v>
      </c>
      <c r="BR763" t="s">
        <v>103</v>
      </c>
      <c r="BS763" t="s">
        <v>14839</v>
      </c>
      <c r="BT763" t="str">
        <f>HYPERLINK("https%3A%2F%2Fwww.webofscience.com%2Fwos%2Fwoscc%2Ffull-record%2FWOS:000469433800009","View Full Record in Web of Science")</f>
        <v>View Full Record in Web of Science</v>
      </c>
    </row>
    <row r="764" spans="1:72" x14ac:dyDescent="0.15">
      <c r="A764" t="s">
        <v>72</v>
      </c>
      <c r="B764" t="s">
        <v>14840</v>
      </c>
      <c r="C764" t="s">
        <v>74</v>
      </c>
      <c r="D764" t="s">
        <v>74</v>
      </c>
      <c r="E764" t="s">
        <v>74</v>
      </c>
      <c r="F764" t="s">
        <v>14841</v>
      </c>
      <c r="G764" t="s">
        <v>74</v>
      </c>
      <c r="H764" t="s">
        <v>74</v>
      </c>
      <c r="I764" t="s">
        <v>14842</v>
      </c>
      <c r="J764" t="s">
        <v>10221</v>
      </c>
      <c r="K764" t="s">
        <v>74</v>
      </c>
      <c r="L764" t="s">
        <v>74</v>
      </c>
      <c r="M764" t="s">
        <v>78</v>
      </c>
      <c r="N764" t="s">
        <v>108</v>
      </c>
      <c r="O764" t="s">
        <v>74</v>
      </c>
      <c r="P764" t="s">
        <v>74</v>
      </c>
      <c r="Q764" t="s">
        <v>74</v>
      </c>
      <c r="R764" t="s">
        <v>74</v>
      </c>
      <c r="S764" t="s">
        <v>74</v>
      </c>
      <c r="T764" t="s">
        <v>14843</v>
      </c>
      <c r="U764" t="s">
        <v>14844</v>
      </c>
      <c r="V764" t="s">
        <v>14845</v>
      </c>
      <c r="W764" t="s">
        <v>14846</v>
      </c>
      <c r="X764" t="s">
        <v>14847</v>
      </c>
      <c r="Y764" t="s">
        <v>14848</v>
      </c>
      <c r="Z764" t="s">
        <v>14849</v>
      </c>
      <c r="AA764" t="s">
        <v>14850</v>
      </c>
      <c r="AB764" t="s">
        <v>14851</v>
      </c>
      <c r="AC764" t="s">
        <v>14852</v>
      </c>
      <c r="AD764" t="s">
        <v>14853</v>
      </c>
      <c r="AE764" t="s">
        <v>14854</v>
      </c>
      <c r="AF764" t="s">
        <v>74</v>
      </c>
      <c r="AG764">
        <v>54</v>
      </c>
      <c r="AH764">
        <v>17</v>
      </c>
      <c r="AI764">
        <v>17</v>
      </c>
      <c r="AJ764">
        <v>3</v>
      </c>
      <c r="AK764">
        <v>27</v>
      </c>
      <c r="AL764" t="s">
        <v>1140</v>
      </c>
      <c r="AM764" t="s">
        <v>1141</v>
      </c>
      <c r="AN764" t="s">
        <v>1142</v>
      </c>
      <c r="AO764" t="s">
        <v>10234</v>
      </c>
      <c r="AP764" t="s">
        <v>10235</v>
      </c>
      <c r="AQ764" t="s">
        <v>74</v>
      </c>
      <c r="AR764" t="s">
        <v>10236</v>
      </c>
      <c r="AS764" t="s">
        <v>10237</v>
      </c>
      <c r="AT764" t="s">
        <v>6722</v>
      </c>
      <c r="AU764">
        <v>2019</v>
      </c>
      <c r="AV764">
        <v>38</v>
      </c>
      <c r="AW764">
        <v>6</v>
      </c>
      <c r="AX764" t="s">
        <v>74</v>
      </c>
      <c r="AY764" t="s">
        <v>74</v>
      </c>
      <c r="AZ764" t="s">
        <v>74</v>
      </c>
      <c r="BA764" t="s">
        <v>74</v>
      </c>
      <c r="BB764">
        <v>1323</v>
      </c>
      <c r="BC764">
        <v>1333</v>
      </c>
      <c r="BD764" t="s">
        <v>74</v>
      </c>
      <c r="BE764" t="s">
        <v>14855</v>
      </c>
      <c r="BF764" t="str">
        <f>HYPERLINK("http://dx.doi.org/10.1002/etc.4399","http://dx.doi.org/10.1002/etc.4399")</f>
        <v>http://dx.doi.org/10.1002/etc.4399</v>
      </c>
      <c r="BG764" t="s">
        <v>74</v>
      </c>
      <c r="BH764" t="s">
        <v>74</v>
      </c>
      <c r="BI764">
        <v>11</v>
      </c>
      <c r="BJ764" t="s">
        <v>6166</v>
      </c>
      <c r="BK764" t="s">
        <v>101</v>
      </c>
      <c r="BL764" t="s">
        <v>6167</v>
      </c>
      <c r="BM764" t="s">
        <v>14856</v>
      </c>
      <c r="BN764">
        <v>30790357</v>
      </c>
      <c r="BO764" t="s">
        <v>8885</v>
      </c>
      <c r="BP764" t="s">
        <v>74</v>
      </c>
      <c r="BQ764" t="s">
        <v>74</v>
      </c>
      <c r="BR764" t="s">
        <v>103</v>
      </c>
      <c r="BS764" t="s">
        <v>14857</v>
      </c>
      <c r="BT764" t="str">
        <f>HYPERLINK("https%3A%2F%2Fwww.webofscience.com%2Fwos%2Fwoscc%2Ffull-record%2FWOS:000469271300017","View Full Record in Web of Science")</f>
        <v>View Full Record in Web of Science</v>
      </c>
    </row>
    <row r="765" spans="1:72" x14ac:dyDescent="0.15">
      <c r="A765" t="s">
        <v>72</v>
      </c>
      <c r="B765" t="s">
        <v>14858</v>
      </c>
      <c r="C765" t="s">
        <v>74</v>
      </c>
      <c r="D765" t="s">
        <v>74</v>
      </c>
      <c r="E765" t="s">
        <v>74</v>
      </c>
      <c r="F765" t="s">
        <v>14859</v>
      </c>
      <c r="G765" t="s">
        <v>74</v>
      </c>
      <c r="H765" t="s">
        <v>74</v>
      </c>
      <c r="I765" t="s">
        <v>14860</v>
      </c>
      <c r="J765" t="s">
        <v>14861</v>
      </c>
      <c r="K765" t="s">
        <v>74</v>
      </c>
      <c r="L765" t="s">
        <v>74</v>
      </c>
      <c r="M765" t="s">
        <v>78</v>
      </c>
      <c r="N765" t="s">
        <v>108</v>
      </c>
      <c r="O765" t="s">
        <v>74</v>
      </c>
      <c r="P765" t="s">
        <v>74</v>
      </c>
      <c r="Q765" t="s">
        <v>74</v>
      </c>
      <c r="R765" t="s">
        <v>74</v>
      </c>
      <c r="S765" t="s">
        <v>74</v>
      </c>
      <c r="T765" t="s">
        <v>14862</v>
      </c>
      <c r="U765" t="s">
        <v>14863</v>
      </c>
      <c r="V765" t="s">
        <v>14864</v>
      </c>
      <c r="W765" t="s">
        <v>14865</v>
      </c>
      <c r="X765" t="s">
        <v>14866</v>
      </c>
      <c r="Y765" t="s">
        <v>14867</v>
      </c>
      <c r="Z765" t="s">
        <v>14868</v>
      </c>
      <c r="AA765" t="s">
        <v>14869</v>
      </c>
      <c r="AB765" t="s">
        <v>14870</v>
      </c>
      <c r="AC765" t="s">
        <v>14871</v>
      </c>
      <c r="AD765" t="s">
        <v>14872</v>
      </c>
      <c r="AE765" t="s">
        <v>14873</v>
      </c>
      <c r="AF765" t="s">
        <v>74</v>
      </c>
      <c r="AG765">
        <v>21</v>
      </c>
      <c r="AH765">
        <v>87</v>
      </c>
      <c r="AI765">
        <v>92</v>
      </c>
      <c r="AJ765">
        <v>0</v>
      </c>
      <c r="AK765">
        <v>0</v>
      </c>
      <c r="AL765" t="s">
        <v>14874</v>
      </c>
      <c r="AM765" t="s">
        <v>14875</v>
      </c>
      <c r="AN765" t="s">
        <v>14876</v>
      </c>
      <c r="AO765" t="s">
        <v>14877</v>
      </c>
      <c r="AP765" t="s">
        <v>14878</v>
      </c>
      <c r="AQ765" t="s">
        <v>74</v>
      </c>
      <c r="AR765" t="s">
        <v>14879</v>
      </c>
      <c r="AS765" t="s">
        <v>14880</v>
      </c>
      <c r="AT765" t="s">
        <v>6722</v>
      </c>
      <c r="AU765">
        <v>2019</v>
      </c>
      <c r="AV765">
        <v>8</v>
      </c>
      <c r="AW765">
        <v>2</v>
      </c>
      <c r="AX765" t="s">
        <v>74</v>
      </c>
      <c r="AY765" t="s">
        <v>74</v>
      </c>
      <c r="AZ765" t="s">
        <v>74</v>
      </c>
      <c r="BA765" t="s">
        <v>74</v>
      </c>
      <c r="BB765" t="s">
        <v>74</v>
      </c>
      <c r="BC765" t="s">
        <v>74</v>
      </c>
      <c r="BD765">
        <v>1950004</v>
      </c>
      <c r="BE765" t="s">
        <v>14881</v>
      </c>
      <c r="BF765" t="str">
        <f>HYPERLINK("http://dx.doi.org/10.1142/S2251171719500041","http://dx.doi.org/10.1142/S2251171719500041")</f>
        <v>http://dx.doi.org/10.1142/S2251171719500041</v>
      </c>
      <c r="BG765" t="s">
        <v>74</v>
      </c>
      <c r="BH765" t="s">
        <v>74</v>
      </c>
      <c r="BI765">
        <v>11</v>
      </c>
      <c r="BJ765" t="s">
        <v>1696</v>
      </c>
      <c r="BK765" t="s">
        <v>2978</v>
      </c>
      <c r="BL765" t="s">
        <v>1696</v>
      </c>
      <c r="BM765" t="s">
        <v>14882</v>
      </c>
      <c r="BN765" t="s">
        <v>74</v>
      </c>
      <c r="BO765" t="s">
        <v>1985</v>
      </c>
      <c r="BP765" t="s">
        <v>74</v>
      </c>
      <c r="BQ765" t="s">
        <v>74</v>
      </c>
      <c r="BR765" t="s">
        <v>103</v>
      </c>
      <c r="BS765" t="s">
        <v>14883</v>
      </c>
      <c r="BT765" t="str">
        <f>HYPERLINK("https%3A%2F%2Fwww.webofscience.com%2Fwos%2Fwoscc%2Ffull-record%2FWOS:000469461300004","View Full Record in Web of Science")</f>
        <v>View Full Record in Web of Science</v>
      </c>
    </row>
    <row r="766" spans="1:72" x14ac:dyDescent="0.15">
      <c r="A766" t="s">
        <v>72</v>
      </c>
      <c r="B766" t="s">
        <v>14884</v>
      </c>
      <c r="C766" t="s">
        <v>74</v>
      </c>
      <c r="D766" t="s">
        <v>74</v>
      </c>
      <c r="E766" t="s">
        <v>74</v>
      </c>
      <c r="F766" t="s">
        <v>14885</v>
      </c>
      <c r="G766" t="s">
        <v>74</v>
      </c>
      <c r="H766" t="s">
        <v>74</v>
      </c>
      <c r="I766" t="s">
        <v>14886</v>
      </c>
      <c r="J766" t="s">
        <v>4861</v>
      </c>
      <c r="K766" t="s">
        <v>74</v>
      </c>
      <c r="L766" t="s">
        <v>74</v>
      </c>
      <c r="M766" t="s">
        <v>78</v>
      </c>
      <c r="N766" t="s">
        <v>108</v>
      </c>
      <c r="O766" t="s">
        <v>74</v>
      </c>
      <c r="P766" t="s">
        <v>74</v>
      </c>
      <c r="Q766" t="s">
        <v>74</v>
      </c>
      <c r="R766" t="s">
        <v>74</v>
      </c>
      <c r="S766" t="s">
        <v>74</v>
      </c>
      <c r="T766" t="s">
        <v>14887</v>
      </c>
      <c r="U766" t="s">
        <v>14888</v>
      </c>
      <c r="V766" t="s">
        <v>14889</v>
      </c>
      <c r="W766" t="s">
        <v>14890</v>
      </c>
      <c r="X766" t="s">
        <v>14891</v>
      </c>
      <c r="Y766" t="s">
        <v>14892</v>
      </c>
      <c r="Z766" t="s">
        <v>14893</v>
      </c>
      <c r="AA766" t="s">
        <v>74</v>
      </c>
      <c r="AB766" t="s">
        <v>14894</v>
      </c>
      <c r="AC766" t="s">
        <v>14895</v>
      </c>
      <c r="AD766" t="s">
        <v>3082</v>
      </c>
      <c r="AE766" t="s">
        <v>14896</v>
      </c>
      <c r="AF766" t="s">
        <v>74</v>
      </c>
      <c r="AG766">
        <v>64</v>
      </c>
      <c r="AH766">
        <v>10</v>
      </c>
      <c r="AI766">
        <v>13</v>
      </c>
      <c r="AJ766">
        <v>0</v>
      </c>
      <c r="AK766">
        <v>11</v>
      </c>
      <c r="AL766" t="s">
        <v>251</v>
      </c>
      <c r="AM766" t="s">
        <v>252</v>
      </c>
      <c r="AN766" t="s">
        <v>253</v>
      </c>
      <c r="AO766" t="s">
        <v>4874</v>
      </c>
      <c r="AP766" t="s">
        <v>4875</v>
      </c>
      <c r="AQ766" t="s">
        <v>74</v>
      </c>
      <c r="AR766" t="s">
        <v>4876</v>
      </c>
      <c r="AS766" t="s">
        <v>4877</v>
      </c>
      <c r="AT766" t="s">
        <v>6722</v>
      </c>
      <c r="AU766">
        <v>2019</v>
      </c>
      <c r="AV766">
        <v>49</v>
      </c>
      <c r="AW766">
        <v>6</v>
      </c>
      <c r="AX766" t="s">
        <v>74</v>
      </c>
      <c r="AY766" t="s">
        <v>74</v>
      </c>
      <c r="AZ766" t="s">
        <v>74</v>
      </c>
      <c r="BA766" t="s">
        <v>74</v>
      </c>
      <c r="BB766">
        <v>1485</v>
      </c>
      <c r="BC766">
        <v>1502</v>
      </c>
      <c r="BD766" t="s">
        <v>74</v>
      </c>
      <c r="BE766" t="s">
        <v>14897</v>
      </c>
      <c r="BF766" t="str">
        <f>HYPERLINK("http://dx.doi.org/10.1175/JPO-D-18-0119.1","http://dx.doi.org/10.1175/JPO-D-18-0119.1")</f>
        <v>http://dx.doi.org/10.1175/JPO-D-18-0119.1</v>
      </c>
      <c r="BG766" t="s">
        <v>74</v>
      </c>
      <c r="BH766" t="s">
        <v>74</v>
      </c>
      <c r="BI766">
        <v>18</v>
      </c>
      <c r="BJ766" t="s">
        <v>100</v>
      </c>
      <c r="BK766" t="s">
        <v>101</v>
      </c>
      <c r="BL766" t="s">
        <v>100</v>
      </c>
      <c r="BM766" t="s">
        <v>14898</v>
      </c>
      <c r="BN766" t="s">
        <v>74</v>
      </c>
      <c r="BO766" t="s">
        <v>1308</v>
      </c>
      <c r="BP766" t="s">
        <v>74</v>
      </c>
      <c r="BQ766" t="s">
        <v>74</v>
      </c>
      <c r="BR766" t="s">
        <v>103</v>
      </c>
      <c r="BS766" t="s">
        <v>14899</v>
      </c>
      <c r="BT766" t="str">
        <f>HYPERLINK("https%3A%2F%2Fwww.webofscience.com%2Fwos%2Fwoscc%2Ffull-record%2FWOS:000469352500002","View Full Record in Web of Science")</f>
        <v>View Full Record in Web of Science</v>
      </c>
    </row>
    <row r="767" spans="1:72" x14ac:dyDescent="0.15">
      <c r="A767" t="s">
        <v>72</v>
      </c>
      <c r="B767" t="s">
        <v>14900</v>
      </c>
      <c r="C767" t="s">
        <v>74</v>
      </c>
      <c r="D767" t="s">
        <v>74</v>
      </c>
      <c r="E767" t="s">
        <v>74</v>
      </c>
      <c r="F767" t="s">
        <v>14901</v>
      </c>
      <c r="G767" t="s">
        <v>74</v>
      </c>
      <c r="H767" t="s">
        <v>74</v>
      </c>
      <c r="I767" t="s">
        <v>14902</v>
      </c>
      <c r="J767" t="s">
        <v>4383</v>
      </c>
      <c r="K767" t="s">
        <v>74</v>
      </c>
      <c r="L767" t="s">
        <v>74</v>
      </c>
      <c r="M767" t="s">
        <v>78</v>
      </c>
      <c r="N767" t="s">
        <v>108</v>
      </c>
      <c r="O767" t="s">
        <v>74</v>
      </c>
      <c r="P767" t="s">
        <v>74</v>
      </c>
      <c r="Q767" t="s">
        <v>74</v>
      </c>
      <c r="R767" t="s">
        <v>74</v>
      </c>
      <c r="S767" t="s">
        <v>74</v>
      </c>
      <c r="T767" t="s">
        <v>14903</v>
      </c>
      <c r="U767" t="s">
        <v>14904</v>
      </c>
      <c r="V767" t="s">
        <v>14905</v>
      </c>
      <c r="W767" t="s">
        <v>14906</v>
      </c>
      <c r="X767" t="s">
        <v>14907</v>
      </c>
      <c r="Y767" t="s">
        <v>14908</v>
      </c>
      <c r="Z767" t="s">
        <v>14909</v>
      </c>
      <c r="AA767" t="s">
        <v>74</v>
      </c>
      <c r="AB767" t="s">
        <v>14910</v>
      </c>
      <c r="AC767" t="s">
        <v>14911</v>
      </c>
      <c r="AD767" t="s">
        <v>14912</v>
      </c>
      <c r="AE767" t="s">
        <v>14913</v>
      </c>
      <c r="AF767" t="s">
        <v>74</v>
      </c>
      <c r="AG767">
        <v>61</v>
      </c>
      <c r="AH767">
        <v>5</v>
      </c>
      <c r="AI767">
        <v>6</v>
      </c>
      <c r="AJ767">
        <v>0</v>
      </c>
      <c r="AK767">
        <v>20</v>
      </c>
      <c r="AL767" t="s">
        <v>2396</v>
      </c>
      <c r="AM767" t="s">
        <v>2397</v>
      </c>
      <c r="AN767" t="s">
        <v>2398</v>
      </c>
      <c r="AO767" t="s">
        <v>4396</v>
      </c>
      <c r="AP767" t="s">
        <v>4397</v>
      </c>
      <c r="AQ767" t="s">
        <v>74</v>
      </c>
      <c r="AR767" t="s">
        <v>4398</v>
      </c>
      <c r="AS767" t="s">
        <v>4399</v>
      </c>
      <c r="AT767" t="s">
        <v>6722</v>
      </c>
      <c r="AU767">
        <v>2019</v>
      </c>
      <c r="AV767">
        <v>49</v>
      </c>
      <c r="AW767">
        <v>3</v>
      </c>
      <c r="AX767" t="s">
        <v>74</v>
      </c>
      <c r="AY767" t="s">
        <v>74</v>
      </c>
      <c r="AZ767" t="s">
        <v>74</v>
      </c>
      <c r="BA767" t="s">
        <v>74</v>
      </c>
      <c r="BB767">
        <v>1361</v>
      </c>
      <c r="BC767">
        <v>1370</v>
      </c>
      <c r="BD767" t="s">
        <v>74</v>
      </c>
      <c r="BE767" t="s">
        <v>14914</v>
      </c>
      <c r="BF767" t="str">
        <f>HYPERLINK("http://dx.doi.org/10.1007/s12526-018-0916-3","http://dx.doi.org/10.1007/s12526-018-0916-3")</f>
        <v>http://dx.doi.org/10.1007/s12526-018-0916-3</v>
      </c>
      <c r="BG767" t="s">
        <v>74</v>
      </c>
      <c r="BH767" t="s">
        <v>74</v>
      </c>
      <c r="BI767">
        <v>10</v>
      </c>
      <c r="BJ767" t="s">
        <v>4401</v>
      </c>
      <c r="BK767" t="s">
        <v>101</v>
      </c>
      <c r="BL767" t="s">
        <v>4402</v>
      </c>
      <c r="BM767" t="s">
        <v>14915</v>
      </c>
      <c r="BN767" t="s">
        <v>74</v>
      </c>
      <c r="BO767" t="s">
        <v>261</v>
      </c>
      <c r="BP767" t="s">
        <v>74</v>
      </c>
      <c r="BQ767" t="s">
        <v>74</v>
      </c>
      <c r="BR767" t="s">
        <v>103</v>
      </c>
      <c r="BS767" t="s">
        <v>14916</v>
      </c>
      <c r="BT767" t="str">
        <f>HYPERLINK("https%3A%2F%2Fwww.webofscience.com%2Fwos%2Fwoscc%2Ffull-record%2FWOS:000469762000023","View Full Record in Web of Science")</f>
        <v>View Full Record in Web of Science</v>
      </c>
    </row>
    <row r="768" spans="1:72" x14ac:dyDescent="0.15">
      <c r="A768" t="s">
        <v>72</v>
      </c>
      <c r="B768" t="s">
        <v>14917</v>
      </c>
      <c r="C768" t="s">
        <v>74</v>
      </c>
      <c r="D768" t="s">
        <v>74</v>
      </c>
      <c r="E768" t="s">
        <v>74</v>
      </c>
      <c r="F768" t="s">
        <v>14918</v>
      </c>
      <c r="G768" t="s">
        <v>74</v>
      </c>
      <c r="H768" t="s">
        <v>74</v>
      </c>
      <c r="I768" t="s">
        <v>14919</v>
      </c>
      <c r="J768" t="s">
        <v>4765</v>
      </c>
      <c r="K768" t="s">
        <v>74</v>
      </c>
      <c r="L768" t="s">
        <v>74</v>
      </c>
      <c r="M768" t="s">
        <v>78</v>
      </c>
      <c r="N768" t="s">
        <v>108</v>
      </c>
      <c r="O768" t="s">
        <v>74</v>
      </c>
      <c r="P768" t="s">
        <v>74</v>
      </c>
      <c r="Q768" t="s">
        <v>74</v>
      </c>
      <c r="R768" t="s">
        <v>74</v>
      </c>
      <c r="S768" t="s">
        <v>74</v>
      </c>
      <c r="T768" t="s">
        <v>74</v>
      </c>
      <c r="U768" t="s">
        <v>14920</v>
      </c>
      <c r="V768" t="s">
        <v>14921</v>
      </c>
      <c r="W768" t="s">
        <v>14922</v>
      </c>
      <c r="X768" t="s">
        <v>14923</v>
      </c>
      <c r="Y768" t="s">
        <v>14924</v>
      </c>
      <c r="Z768" t="s">
        <v>14925</v>
      </c>
      <c r="AA768" t="s">
        <v>14926</v>
      </c>
      <c r="AB768" t="s">
        <v>14927</v>
      </c>
      <c r="AC768" t="s">
        <v>14928</v>
      </c>
      <c r="AD768" t="s">
        <v>14929</v>
      </c>
      <c r="AE768" t="s">
        <v>14930</v>
      </c>
      <c r="AF768" t="s">
        <v>74</v>
      </c>
      <c r="AG768">
        <v>61</v>
      </c>
      <c r="AH768">
        <v>64</v>
      </c>
      <c r="AI768">
        <v>71</v>
      </c>
      <c r="AJ768">
        <v>2</v>
      </c>
      <c r="AK768">
        <v>22</v>
      </c>
      <c r="AL768" t="s">
        <v>998</v>
      </c>
      <c r="AM768" t="s">
        <v>4016</v>
      </c>
      <c r="AN768" t="s">
        <v>4772</v>
      </c>
      <c r="AO768" t="s">
        <v>4773</v>
      </c>
      <c r="AP768" t="s">
        <v>4774</v>
      </c>
      <c r="AQ768" t="s">
        <v>74</v>
      </c>
      <c r="AR768" t="s">
        <v>4775</v>
      </c>
      <c r="AS768" t="s">
        <v>4776</v>
      </c>
      <c r="AT768" t="s">
        <v>6722</v>
      </c>
      <c r="AU768">
        <v>2019</v>
      </c>
      <c r="AV768">
        <v>12</v>
      </c>
      <c r="AW768">
        <v>6</v>
      </c>
      <c r="AX768" t="s">
        <v>74</v>
      </c>
      <c r="AY768" t="s">
        <v>74</v>
      </c>
      <c r="AZ768" t="s">
        <v>74</v>
      </c>
      <c r="BA768" t="s">
        <v>74</v>
      </c>
      <c r="BB768">
        <v>435</v>
      </c>
      <c r="BC768" t="s">
        <v>3569</v>
      </c>
      <c r="BD768" t="s">
        <v>74</v>
      </c>
      <c r="BE768" t="s">
        <v>14931</v>
      </c>
      <c r="BF768" t="str">
        <f>HYPERLINK("http://dx.doi.org/10.1038/s41561-019-0356-0","http://dx.doi.org/10.1038/s41561-019-0356-0")</f>
        <v>http://dx.doi.org/10.1038/s41561-019-0356-0</v>
      </c>
      <c r="BG768" t="s">
        <v>74</v>
      </c>
      <c r="BH768" t="s">
        <v>74</v>
      </c>
      <c r="BI768">
        <v>8</v>
      </c>
      <c r="BJ768" t="s">
        <v>471</v>
      </c>
      <c r="BK768" t="s">
        <v>101</v>
      </c>
      <c r="BL768" t="s">
        <v>472</v>
      </c>
      <c r="BM768" t="s">
        <v>14932</v>
      </c>
      <c r="BN768" t="s">
        <v>74</v>
      </c>
      <c r="BO768" t="s">
        <v>919</v>
      </c>
      <c r="BP768" t="s">
        <v>74</v>
      </c>
      <c r="BQ768" t="s">
        <v>74</v>
      </c>
      <c r="BR768" t="s">
        <v>103</v>
      </c>
      <c r="BS768" t="s">
        <v>14933</v>
      </c>
      <c r="BT768" t="str">
        <f>HYPERLINK("https%3A%2F%2Fwww.webofscience.com%2Fwos%2Fwoscc%2Ffull-record%2FWOS:000469459600010","View Full Record in Web of Science")</f>
        <v>View Full Record in Web of Science</v>
      </c>
    </row>
    <row r="769" spans="1:72" x14ac:dyDescent="0.15">
      <c r="A769" t="s">
        <v>72</v>
      </c>
      <c r="B769" t="s">
        <v>14934</v>
      </c>
      <c r="C769" t="s">
        <v>74</v>
      </c>
      <c r="D769" t="s">
        <v>74</v>
      </c>
      <c r="E769" t="s">
        <v>74</v>
      </c>
      <c r="F769" t="s">
        <v>14935</v>
      </c>
      <c r="G769" t="s">
        <v>74</v>
      </c>
      <c r="H769" t="s">
        <v>74</v>
      </c>
      <c r="I769" t="s">
        <v>14936</v>
      </c>
      <c r="J769" t="s">
        <v>4765</v>
      </c>
      <c r="K769" t="s">
        <v>74</v>
      </c>
      <c r="L769" t="s">
        <v>74</v>
      </c>
      <c r="M769" t="s">
        <v>78</v>
      </c>
      <c r="N769" t="s">
        <v>108</v>
      </c>
      <c r="O769" t="s">
        <v>74</v>
      </c>
      <c r="P769" t="s">
        <v>74</v>
      </c>
      <c r="Q769" t="s">
        <v>74</v>
      </c>
      <c r="R769" t="s">
        <v>74</v>
      </c>
      <c r="S769" t="s">
        <v>74</v>
      </c>
      <c r="T769" t="s">
        <v>74</v>
      </c>
      <c r="U769" t="s">
        <v>14937</v>
      </c>
      <c r="V769" t="s">
        <v>14938</v>
      </c>
      <c r="W769" t="s">
        <v>14939</v>
      </c>
      <c r="X769" t="s">
        <v>14940</v>
      </c>
      <c r="Y769" t="s">
        <v>14941</v>
      </c>
      <c r="Z769" t="s">
        <v>14942</v>
      </c>
      <c r="AA769" t="s">
        <v>14943</v>
      </c>
      <c r="AB769" t="s">
        <v>14944</v>
      </c>
      <c r="AC769" t="s">
        <v>14945</v>
      </c>
      <c r="AD769" t="s">
        <v>14946</v>
      </c>
      <c r="AE769" t="s">
        <v>14947</v>
      </c>
      <c r="AF769" t="s">
        <v>74</v>
      </c>
      <c r="AG769">
        <v>76</v>
      </c>
      <c r="AH769">
        <v>82</v>
      </c>
      <c r="AI769">
        <v>94</v>
      </c>
      <c r="AJ769">
        <v>5</v>
      </c>
      <c r="AK769">
        <v>35</v>
      </c>
      <c r="AL769" t="s">
        <v>998</v>
      </c>
      <c r="AM769" t="s">
        <v>4016</v>
      </c>
      <c r="AN769" t="s">
        <v>4772</v>
      </c>
      <c r="AO769" t="s">
        <v>4773</v>
      </c>
      <c r="AP769" t="s">
        <v>4774</v>
      </c>
      <c r="AQ769" t="s">
        <v>74</v>
      </c>
      <c r="AR769" t="s">
        <v>4775</v>
      </c>
      <c r="AS769" t="s">
        <v>4776</v>
      </c>
      <c r="AT769" t="s">
        <v>6722</v>
      </c>
      <c r="AU769">
        <v>2019</v>
      </c>
      <c r="AV769">
        <v>12</v>
      </c>
      <c r="AW769">
        <v>6</v>
      </c>
      <c r="AX769" t="s">
        <v>74</v>
      </c>
      <c r="AY769" t="s">
        <v>74</v>
      </c>
      <c r="AZ769" t="s">
        <v>74</v>
      </c>
      <c r="BA769" t="s">
        <v>74</v>
      </c>
      <c r="BB769">
        <v>441</v>
      </c>
      <c r="BC769" t="s">
        <v>3569</v>
      </c>
      <c r="BD769" t="s">
        <v>74</v>
      </c>
      <c r="BE769" t="s">
        <v>14948</v>
      </c>
      <c r="BF769" t="str">
        <f>HYPERLINK("http://dx.doi.org/10.1038/s41561-019-0370-2","http://dx.doi.org/10.1038/s41561-019-0370-2")</f>
        <v>http://dx.doi.org/10.1038/s41561-019-0370-2</v>
      </c>
      <c r="BG769" t="s">
        <v>74</v>
      </c>
      <c r="BH769" t="s">
        <v>74</v>
      </c>
      <c r="BI769">
        <v>12</v>
      </c>
      <c r="BJ769" t="s">
        <v>471</v>
      </c>
      <c r="BK769" t="s">
        <v>101</v>
      </c>
      <c r="BL769" t="s">
        <v>472</v>
      </c>
      <c r="BM769" t="s">
        <v>14932</v>
      </c>
      <c r="BN769" t="s">
        <v>74</v>
      </c>
      <c r="BO769" t="s">
        <v>74</v>
      </c>
      <c r="BP769" t="s">
        <v>74</v>
      </c>
      <c r="BQ769" t="s">
        <v>74</v>
      </c>
      <c r="BR769" t="s">
        <v>103</v>
      </c>
      <c r="BS769" t="s">
        <v>14949</v>
      </c>
      <c r="BT769" t="str">
        <f>HYPERLINK("https%3A%2F%2Fwww.webofscience.com%2Fwos%2Fwoscc%2Ffull-record%2FWOS:000469459600011","View Full Record in Web of Science")</f>
        <v>View Full Record in Web of Science</v>
      </c>
    </row>
    <row r="770" spans="1:72" x14ac:dyDescent="0.15">
      <c r="A770" t="s">
        <v>72</v>
      </c>
      <c r="B770" t="s">
        <v>14950</v>
      </c>
      <c r="C770" t="s">
        <v>74</v>
      </c>
      <c r="D770" t="s">
        <v>74</v>
      </c>
      <c r="E770" t="s">
        <v>74</v>
      </c>
      <c r="F770" t="s">
        <v>14951</v>
      </c>
      <c r="G770" t="s">
        <v>74</v>
      </c>
      <c r="H770" t="s">
        <v>74</v>
      </c>
      <c r="I770" t="s">
        <v>14952</v>
      </c>
      <c r="J770" t="s">
        <v>8630</v>
      </c>
      <c r="K770" t="s">
        <v>74</v>
      </c>
      <c r="L770" t="s">
        <v>74</v>
      </c>
      <c r="M770" t="s">
        <v>78</v>
      </c>
      <c r="N770" t="s">
        <v>108</v>
      </c>
      <c r="O770" t="s">
        <v>74</v>
      </c>
      <c r="P770" t="s">
        <v>74</v>
      </c>
      <c r="Q770" t="s">
        <v>74</v>
      </c>
      <c r="R770" t="s">
        <v>74</v>
      </c>
      <c r="S770" t="s">
        <v>74</v>
      </c>
      <c r="T770" t="s">
        <v>14953</v>
      </c>
      <c r="U770" t="s">
        <v>14954</v>
      </c>
      <c r="V770" t="s">
        <v>14955</v>
      </c>
      <c r="W770" t="s">
        <v>14956</v>
      </c>
      <c r="X770" t="s">
        <v>14957</v>
      </c>
      <c r="Y770" t="s">
        <v>14958</v>
      </c>
      <c r="Z770" t="s">
        <v>14959</v>
      </c>
      <c r="AA770" t="s">
        <v>14960</v>
      </c>
      <c r="AB770" t="s">
        <v>14961</v>
      </c>
      <c r="AC770" t="s">
        <v>74</v>
      </c>
      <c r="AD770" t="s">
        <v>74</v>
      </c>
      <c r="AE770" t="s">
        <v>74</v>
      </c>
      <c r="AF770" t="s">
        <v>74</v>
      </c>
      <c r="AG770">
        <v>26</v>
      </c>
      <c r="AH770">
        <v>4</v>
      </c>
      <c r="AI770">
        <v>6</v>
      </c>
      <c r="AJ770">
        <v>0</v>
      </c>
      <c r="AK770">
        <v>11</v>
      </c>
      <c r="AL770" t="s">
        <v>3084</v>
      </c>
      <c r="AM770" t="s">
        <v>93</v>
      </c>
      <c r="AN770" t="s">
        <v>3085</v>
      </c>
      <c r="AO770" t="s">
        <v>8642</v>
      </c>
      <c r="AP770" t="s">
        <v>8643</v>
      </c>
      <c r="AQ770" t="s">
        <v>74</v>
      </c>
      <c r="AR770" t="s">
        <v>8644</v>
      </c>
      <c r="AS770" t="s">
        <v>8645</v>
      </c>
      <c r="AT770" t="s">
        <v>6722</v>
      </c>
      <c r="AU770">
        <v>2019</v>
      </c>
      <c r="AV770">
        <v>186</v>
      </c>
      <c r="AW770">
        <v>2</v>
      </c>
      <c r="AX770" t="s">
        <v>74</v>
      </c>
      <c r="AY770" t="s">
        <v>74</v>
      </c>
      <c r="AZ770" t="s">
        <v>74</v>
      </c>
      <c r="BA770" t="s">
        <v>74</v>
      </c>
      <c r="BB770">
        <v>483</v>
      </c>
      <c r="BC770">
        <v>490</v>
      </c>
      <c r="BD770" t="s">
        <v>74</v>
      </c>
      <c r="BE770" t="s">
        <v>14962</v>
      </c>
      <c r="BF770" t="str">
        <f>HYPERLINK("http://dx.doi.org/10.1093/zoolinnean/zly057","http://dx.doi.org/10.1093/zoolinnean/zly057")</f>
        <v>http://dx.doi.org/10.1093/zoolinnean/zly057</v>
      </c>
      <c r="BG770" t="s">
        <v>74</v>
      </c>
      <c r="BH770" t="s">
        <v>74</v>
      </c>
      <c r="BI770">
        <v>8</v>
      </c>
      <c r="BJ770" t="s">
        <v>1348</v>
      </c>
      <c r="BK770" t="s">
        <v>101</v>
      </c>
      <c r="BL770" t="s">
        <v>1348</v>
      </c>
      <c r="BM770" t="s">
        <v>14963</v>
      </c>
      <c r="BN770" t="s">
        <v>74</v>
      </c>
      <c r="BO770" t="s">
        <v>164</v>
      </c>
      <c r="BP770" t="s">
        <v>74</v>
      </c>
      <c r="BQ770" t="s">
        <v>74</v>
      </c>
      <c r="BR770" t="s">
        <v>103</v>
      </c>
      <c r="BS770" t="s">
        <v>14964</v>
      </c>
      <c r="BT770" t="str">
        <f>HYPERLINK("https%3A%2F%2Fwww.webofscience.com%2Fwos%2Fwoscc%2Ffull-record%2FWOS:000469821200006","View Full Record in Web of Science")</f>
        <v>View Full Record in Web of Science</v>
      </c>
    </row>
    <row r="771" spans="1:72" x14ac:dyDescent="0.15">
      <c r="A771" t="s">
        <v>72</v>
      </c>
      <c r="B771" t="s">
        <v>14965</v>
      </c>
      <c r="C771" t="s">
        <v>74</v>
      </c>
      <c r="D771" t="s">
        <v>74</v>
      </c>
      <c r="E771" t="s">
        <v>74</v>
      </c>
      <c r="F771" t="s">
        <v>14966</v>
      </c>
      <c r="G771" t="s">
        <v>74</v>
      </c>
      <c r="H771" t="s">
        <v>74</v>
      </c>
      <c r="I771" t="s">
        <v>14967</v>
      </c>
      <c r="J771" t="s">
        <v>14968</v>
      </c>
      <c r="K771" t="s">
        <v>74</v>
      </c>
      <c r="L771" t="s">
        <v>74</v>
      </c>
      <c r="M771" t="s">
        <v>78</v>
      </c>
      <c r="N771" t="s">
        <v>79</v>
      </c>
      <c r="O771" t="s">
        <v>74</v>
      </c>
      <c r="P771" t="s">
        <v>74</v>
      </c>
      <c r="Q771" t="s">
        <v>74</v>
      </c>
      <c r="R771" t="s">
        <v>74</v>
      </c>
      <c r="S771" t="s">
        <v>74</v>
      </c>
      <c r="T771" t="s">
        <v>14969</v>
      </c>
      <c r="U771" t="s">
        <v>14970</v>
      </c>
      <c r="V771" t="s">
        <v>14971</v>
      </c>
      <c r="W771" t="s">
        <v>14972</v>
      </c>
      <c r="X771" t="s">
        <v>14973</v>
      </c>
      <c r="Y771" t="s">
        <v>14974</v>
      </c>
      <c r="Z771" t="s">
        <v>14975</v>
      </c>
      <c r="AA771" t="s">
        <v>14976</v>
      </c>
      <c r="AB771" t="s">
        <v>14977</v>
      </c>
      <c r="AC771" t="s">
        <v>14978</v>
      </c>
      <c r="AD771" t="s">
        <v>14979</v>
      </c>
      <c r="AE771" t="s">
        <v>14980</v>
      </c>
      <c r="AF771" t="s">
        <v>74</v>
      </c>
      <c r="AG771">
        <v>225</v>
      </c>
      <c r="AH771">
        <v>9</v>
      </c>
      <c r="AI771">
        <v>10</v>
      </c>
      <c r="AJ771">
        <v>1</v>
      </c>
      <c r="AK771">
        <v>45</v>
      </c>
      <c r="AL771" t="s">
        <v>154</v>
      </c>
      <c r="AM771" t="s">
        <v>155</v>
      </c>
      <c r="AN771" t="s">
        <v>156</v>
      </c>
      <c r="AO771" t="s">
        <v>14981</v>
      </c>
      <c r="AP771" t="s">
        <v>14982</v>
      </c>
      <c r="AQ771" t="s">
        <v>74</v>
      </c>
      <c r="AR771" t="s">
        <v>14983</v>
      </c>
      <c r="AS771" t="s">
        <v>14984</v>
      </c>
      <c r="AT771" t="s">
        <v>6722</v>
      </c>
      <c r="AU771">
        <v>2019</v>
      </c>
      <c r="AV771">
        <v>23</v>
      </c>
      <c r="AW771">
        <v>3</v>
      </c>
      <c r="AX771" t="s">
        <v>74</v>
      </c>
      <c r="AY771" t="s">
        <v>74</v>
      </c>
      <c r="AZ771" t="s">
        <v>74</v>
      </c>
      <c r="BA771" t="s">
        <v>74</v>
      </c>
      <c r="BB771">
        <v>435</v>
      </c>
      <c r="BC771">
        <v>452</v>
      </c>
      <c r="BD771" t="s">
        <v>74</v>
      </c>
      <c r="BE771" t="s">
        <v>14985</v>
      </c>
      <c r="BF771" t="str">
        <f>HYPERLINK("http://dx.doi.org/10.1007/s10841-019-00147-9","http://dx.doi.org/10.1007/s10841-019-00147-9")</f>
        <v>http://dx.doi.org/10.1007/s10841-019-00147-9</v>
      </c>
      <c r="BG771" t="s">
        <v>74</v>
      </c>
      <c r="BH771" t="s">
        <v>74</v>
      </c>
      <c r="BI771">
        <v>18</v>
      </c>
      <c r="BJ771" t="s">
        <v>1720</v>
      </c>
      <c r="BK771" t="s">
        <v>101</v>
      </c>
      <c r="BL771" t="s">
        <v>1721</v>
      </c>
      <c r="BM771" t="s">
        <v>14986</v>
      </c>
      <c r="BN771" t="s">
        <v>74</v>
      </c>
      <c r="BO771" t="s">
        <v>74</v>
      </c>
      <c r="BP771" t="s">
        <v>74</v>
      </c>
      <c r="BQ771" t="s">
        <v>74</v>
      </c>
      <c r="BR771" t="s">
        <v>103</v>
      </c>
      <c r="BS771" t="s">
        <v>14987</v>
      </c>
      <c r="BT771" t="str">
        <f>HYPERLINK("https%3A%2F%2Fwww.webofscience.com%2Fwos%2Fwoscc%2Ffull-record%2FWOS:000468797900001","View Full Record in Web of Science")</f>
        <v>View Full Record in Web of Science</v>
      </c>
    </row>
    <row r="772" spans="1:72" x14ac:dyDescent="0.15">
      <c r="A772" t="s">
        <v>72</v>
      </c>
      <c r="B772" t="s">
        <v>14988</v>
      </c>
      <c r="C772" t="s">
        <v>74</v>
      </c>
      <c r="D772" t="s">
        <v>74</v>
      </c>
      <c r="E772" t="s">
        <v>74</v>
      </c>
      <c r="F772" t="s">
        <v>14989</v>
      </c>
      <c r="G772" t="s">
        <v>74</v>
      </c>
      <c r="H772" t="s">
        <v>74</v>
      </c>
      <c r="I772" t="s">
        <v>14990</v>
      </c>
      <c r="J772" t="s">
        <v>14991</v>
      </c>
      <c r="K772" t="s">
        <v>74</v>
      </c>
      <c r="L772" t="s">
        <v>74</v>
      </c>
      <c r="M772" t="s">
        <v>78</v>
      </c>
      <c r="N772" t="s">
        <v>1083</v>
      </c>
      <c r="O772" t="s">
        <v>74</v>
      </c>
      <c r="P772" t="s">
        <v>74</v>
      </c>
      <c r="Q772" t="s">
        <v>74</v>
      </c>
      <c r="R772" t="s">
        <v>74</v>
      </c>
      <c r="S772" t="s">
        <v>74</v>
      </c>
      <c r="T772" t="s">
        <v>74</v>
      </c>
      <c r="U772" t="s">
        <v>74</v>
      </c>
      <c r="V772" t="s">
        <v>14992</v>
      </c>
      <c r="W772" t="s">
        <v>14993</v>
      </c>
      <c r="X772" t="s">
        <v>14994</v>
      </c>
      <c r="Y772" t="s">
        <v>14995</v>
      </c>
      <c r="Z772" t="s">
        <v>74</v>
      </c>
      <c r="AA772" t="s">
        <v>14996</v>
      </c>
      <c r="AB772" t="s">
        <v>14997</v>
      </c>
      <c r="AC772" t="s">
        <v>74</v>
      </c>
      <c r="AD772" t="s">
        <v>74</v>
      </c>
      <c r="AE772" t="s">
        <v>74</v>
      </c>
      <c r="AF772" t="s">
        <v>74</v>
      </c>
      <c r="AG772">
        <v>1</v>
      </c>
      <c r="AH772">
        <v>0</v>
      </c>
      <c r="AI772">
        <v>0</v>
      </c>
      <c r="AJ772">
        <v>0</v>
      </c>
      <c r="AK772">
        <v>3</v>
      </c>
      <c r="AL772" t="s">
        <v>14998</v>
      </c>
      <c r="AM772" t="s">
        <v>3737</v>
      </c>
      <c r="AN772" t="s">
        <v>14999</v>
      </c>
      <c r="AO772" t="s">
        <v>15000</v>
      </c>
      <c r="AP772" t="s">
        <v>15001</v>
      </c>
      <c r="AQ772" t="s">
        <v>74</v>
      </c>
      <c r="AR772" t="s">
        <v>15002</v>
      </c>
      <c r="AS772" t="s">
        <v>15003</v>
      </c>
      <c r="AT772" t="s">
        <v>6722</v>
      </c>
      <c r="AU772">
        <v>2019</v>
      </c>
      <c r="AV772">
        <v>57</v>
      </c>
      <c r="AW772">
        <v>6</v>
      </c>
      <c r="AX772" t="s">
        <v>74</v>
      </c>
      <c r="AY772" t="s">
        <v>74</v>
      </c>
      <c r="AZ772" t="s">
        <v>74</v>
      </c>
      <c r="BA772" t="s">
        <v>74</v>
      </c>
      <c r="BB772">
        <v>539</v>
      </c>
      <c r="BC772">
        <v>539</v>
      </c>
      <c r="BD772" t="s">
        <v>74</v>
      </c>
      <c r="BE772" t="s">
        <v>15004</v>
      </c>
      <c r="BF772" t="str">
        <f>HYPERLINK("http://dx.doi.org/10.1007/s12275-019-0719-7","http://dx.doi.org/10.1007/s12275-019-0719-7")</f>
        <v>http://dx.doi.org/10.1007/s12275-019-0719-7</v>
      </c>
      <c r="BG772" t="s">
        <v>74</v>
      </c>
      <c r="BH772" t="s">
        <v>74</v>
      </c>
      <c r="BI772">
        <v>1</v>
      </c>
      <c r="BJ772" t="s">
        <v>1514</v>
      </c>
      <c r="BK772" t="s">
        <v>101</v>
      </c>
      <c r="BL772" t="s">
        <v>1514</v>
      </c>
      <c r="BM772" t="s">
        <v>15005</v>
      </c>
      <c r="BN772">
        <v>31134580</v>
      </c>
      <c r="BO772" t="s">
        <v>1308</v>
      </c>
      <c r="BP772" t="s">
        <v>74</v>
      </c>
      <c r="BQ772" t="s">
        <v>74</v>
      </c>
      <c r="BR772" t="s">
        <v>103</v>
      </c>
      <c r="BS772" t="s">
        <v>15006</v>
      </c>
      <c r="BT772" t="str">
        <f>HYPERLINK("https%3A%2F%2Fwww.webofscience.com%2Fwos%2Fwoscc%2Ffull-record%2FWOS:000469228500013","View Full Record in Web of Science")</f>
        <v>View Full Record in Web of Science</v>
      </c>
    </row>
    <row r="773" spans="1:72" x14ac:dyDescent="0.15">
      <c r="A773" t="s">
        <v>72</v>
      </c>
      <c r="B773" t="s">
        <v>15007</v>
      </c>
      <c r="C773" t="s">
        <v>74</v>
      </c>
      <c r="D773" t="s">
        <v>74</v>
      </c>
      <c r="E773" t="s">
        <v>74</v>
      </c>
      <c r="F773" t="s">
        <v>15008</v>
      </c>
      <c r="G773" t="s">
        <v>74</v>
      </c>
      <c r="H773" t="s">
        <v>74</v>
      </c>
      <c r="I773" t="s">
        <v>15009</v>
      </c>
      <c r="J773" t="s">
        <v>3688</v>
      </c>
      <c r="K773" t="s">
        <v>74</v>
      </c>
      <c r="L773" t="s">
        <v>74</v>
      </c>
      <c r="M773" t="s">
        <v>78</v>
      </c>
      <c r="N773" t="s">
        <v>108</v>
      </c>
      <c r="O773" t="s">
        <v>74</v>
      </c>
      <c r="P773" t="s">
        <v>74</v>
      </c>
      <c r="Q773" t="s">
        <v>74</v>
      </c>
      <c r="R773" t="s">
        <v>74</v>
      </c>
      <c r="S773" t="s">
        <v>74</v>
      </c>
      <c r="T773" t="s">
        <v>15010</v>
      </c>
      <c r="U773" t="s">
        <v>15011</v>
      </c>
      <c r="V773" t="s">
        <v>15012</v>
      </c>
      <c r="W773" t="s">
        <v>15013</v>
      </c>
      <c r="X773" t="s">
        <v>15014</v>
      </c>
      <c r="Y773" t="s">
        <v>15015</v>
      </c>
      <c r="Z773" t="s">
        <v>15016</v>
      </c>
      <c r="AA773" t="s">
        <v>15017</v>
      </c>
      <c r="AB773" t="s">
        <v>15018</v>
      </c>
      <c r="AC773" t="s">
        <v>74</v>
      </c>
      <c r="AD773" t="s">
        <v>74</v>
      </c>
      <c r="AE773" t="s">
        <v>74</v>
      </c>
      <c r="AF773" t="s">
        <v>74</v>
      </c>
      <c r="AG773">
        <v>66</v>
      </c>
      <c r="AH773">
        <v>13</v>
      </c>
      <c r="AI773">
        <v>14</v>
      </c>
      <c r="AJ773">
        <v>2</v>
      </c>
      <c r="AK773">
        <v>18</v>
      </c>
      <c r="AL773" t="s">
        <v>3533</v>
      </c>
      <c r="AM773" t="s">
        <v>93</v>
      </c>
      <c r="AN773" t="s">
        <v>3534</v>
      </c>
      <c r="AO773" t="s">
        <v>3697</v>
      </c>
      <c r="AP773" t="s">
        <v>3698</v>
      </c>
      <c r="AQ773" t="s">
        <v>74</v>
      </c>
      <c r="AR773" t="s">
        <v>3699</v>
      </c>
      <c r="AS773" t="s">
        <v>3700</v>
      </c>
      <c r="AT773" t="s">
        <v>6722</v>
      </c>
      <c r="AU773">
        <v>2019</v>
      </c>
      <c r="AV773">
        <v>234</v>
      </c>
      <c r="AW773" t="s">
        <v>74</v>
      </c>
      <c r="AX773" t="s">
        <v>74</v>
      </c>
      <c r="AY773" t="s">
        <v>74</v>
      </c>
      <c r="AZ773" t="s">
        <v>74</v>
      </c>
      <c r="BA773" t="s">
        <v>74</v>
      </c>
      <c r="BB773">
        <v>221</v>
      </c>
      <c r="BC773">
        <v>240</v>
      </c>
      <c r="BD773" t="s">
        <v>74</v>
      </c>
      <c r="BE773" t="s">
        <v>15019</v>
      </c>
      <c r="BF773" t="str">
        <f>HYPERLINK("http://dx.doi.org/10.1016/j.biocon.2019.03.014","http://dx.doi.org/10.1016/j.biocon.2019.03.014")</f>
        <v>http://dx.doi.org/10.1016/j.biocon.2019.03.014</v>
      </c>
      <c r="BG773" t="s">
        <v>74</v>
      </c>
      <c r="BH773" t="s">
        <v>74</v>
      </c>
      <c r="BI773">
        <v>20</v>
      </c>
      <c r="BJ773" t="s">
        <v>1645</v>
      </c>
      <c r="BK773" t="s">
        <v>101</v>
      </c>
      <c r="BL773" t="s">
        <v>1646</v>
      </c>
      <c r="BM773" t="s">
        <v>15020</v>
      </c>
      <c r="BN773" t="s">
        <v>74</v>
      </c>
      <c r="BO773" t="s">
        <v>74</v>
      </c>
      <c r="BP773" t="s">
        <v>74</v>
      </c>
      <c r="BQ773" t="s">
        <v>74</v>
      </c>
      <c r="BR773" t="s">
        <v>103</v>
      </c>
      <c r="BS773" t="s">
        <v>15021</v>
      </c>
      <c r="BT773" t="str">
        <f>HYPERLINK("https%3A%2F%2Fwww.webofscience.com%2Fwos%2Fwoscc%2Ffull-record%2FWOS:000468718500026","View Full Record in Web of Science")</f>
        <v>View Full Record in Web of Science</v>
      </c>
    </row>
    <row r="774" spans="1:72" x14ac:dyDescent="0.15">
      <c r="A774" t="s">
        <v>72</v>
      </c>
      <c r="B774" t="s">
        <v>15022</v>
      </c>
      <c r="C774" t="s">
        <v>74</v>
      </c>
      <c r="D774" t="s">
        <v>74</v>
      </c>
      <c r="E774" t="s">
        <v>74</v>
      </c>
      <c r="F774" t="s">
        <v>15023</v>
      </c>
      <c r="G774" t="s">
        <v>74</v>
      </c>
      <c r="H774" t="s">
        <v>74</v>
      </c>
      <c r="I774" t="s">
        <v>15024</v>
      </c>
      <c r="J774" t="s">
        <v>15025</v>
      </c>
      <c r="K774" t="s">
        <v>74</v>
      </c>
      <c r="L774" t="s">
        <v>74</v>
      </c>
      <c r="M774" t="s">
        <v>78</v>
      </c>
      <c r="N774" t="s">
        <v>108</v>
      </c>
      <c r="O774" t="s">
        <v>74</v>
      </c>
      <c r="P774" t="s">
        <v>74</v>
      </c>
      <c r="Q774" t="s">
        <v>74</v>
      </c>
      <c r="R774" t="s">
        <v>74</v>
      </c>
      <c r="S774" t="s">
        <v>74</v>
      </c>
      <c r="T774" t="s">
        <v>15026</v>
      </c>
      <c r="U774" t="s">
        <v>15027</v>
      </c>
      <c r="V774" t="s">
        <v>15028</v>
      </c>
      <c r="W774" t="s">
        <v>15029</v>
      </c>
      <c r="X774" t="s">
        <v>15030</v>
      </c>
      <c r="Y774" t="s">
        <v>15031</v>
      </c>
      <c r="Z774" t="s">
        <v>15032</v>
      </c>
      <c r="AA774" t="s">
        <v>74</v>
      </c>
      <c r="AB774" t="s">
        <v>74</v>
      </c>
      <c r="AC774" t="s">
        <v>74</v>
      </c>
      <c r="AD774" t="s">
        <v>74</v>
      </c>
      <c r="AE774" t="s">
        <v>74</v>
      </c>
      <c r="AF774" t="s">
        <v>74</v>
      </c>
      <c r="AG774">
        <v>33</v>
      </c>
      <c r="AH774">
        <v>3</v>
      </c>
      <c r="AI774">
        <v>3</v>
      </c>
      <c r="AJ774">
        <v>0</v>
      </c>
      <c r="AK774">
        <v>10</v>
      </c>
      <c r="AL774" t="s">
        <v>3533</v>
      </c>
      <c r="AM774" t="s">
        <v>93</v>
      </c>
      <c r="AN774" t="s">
        <v>3534</v>
      </c>
      <c r="AO774" t="s">
        <v>15033</v>
      </c>
      <c r="AP774" t="s">
        <v>15034</v>
      </c>
      <c r="AQ774" t="s">
        <v>74</v>
      </c>
      <c r="AR774" t="s">
        <v>15035</v>
      </c>
      <c r="AS774" t="s">
        <v>15036</v>
      </c>
      <c r="AT774" t="s">
        <v>13921</v>
      </c>
      <c r="AU774">
        <v>2019</v>
      </c>
      <c r="AV774">
        <v>63</v>
      </c>
      <c r="AW774">
        <v>11</v>
      </c>
      <c r="AX774" t="s">
        <v>74</v>
      </c>
      <c r="AY774" t="s">
        <v>74</v>
      </c>
      <c r="AZ774" t="s">
        <v>74</v>
      </c>
      <c r="BA774" t="s">
        <v>74</v>
      </c>
      <c r="BB774">
        <v>3558</v>
      </c>
      <c r="BC774">
        <v>3567</v>
      </c>
      <c r="BD774" t="s">
        <v>74</v>
      </c>
      <c r="BE774" t="s">
        <v>15037</v>
      </c>
      <c r="BF774" t="str">
        <f>HYPERLINK("http://dx.doi.org/10.1016/j.asr.2019.02.017","http://dx.doi.org/10.1016/j.asr.2019.02.017")</f>
        <v>http://dx.doi.org/10.1016/j.asr.2019.02.017</v>
      </c>
      <c r="BG774" t="s">
        <v>74</v>
      </c>
      <c r="BH774" t="s">
        <v>74</v>
      </c>
      <c r="BI774">
        <v>10</v>
      </c>
      <c r="BJ774" t="s">
        <v>15038</v>
      </c>
      <c r="BK774" t="s">
        <v>101</v>
      </c>
      <c r="BL774" t="s">
        <v>15039</v>
      </c>
      <c r="BM774" t="s">
        <v>15040</v>
      </c>
      <c r="BN774" t="s">
        <v>74</v>
      </c>
      <c r="BO774" t="s">
        <v>74</v>
      </c>
      <c r="BP774" t="s">
        <v>74</v>
      </c>
      <c r="BQ774" t="s">
        <v>74</v>
      </c>
      <c r="BR774" t="s">
        <v>103</v>
      </c>
      <c r="BS774" t="s">
        <v>15041</v>
      </c>
      <c r="BT774" t="str">
        <f>HYPERLINK("https%3A%2F%2Fwww.webofscience.com%2Fwos%2Fwoscc%2Ffull-record%2FWOS:000468253100010","View Full Record in Web of Science")</f>
        <v>View Full Record in Web of Science</v>
      </c>
    </row>
    <row r="775" spans="1:72" x14ac:dyDescent="0.15">
      <c r="A775" t="s">
        <v>72</v>
      </c>
      <c r="B775" t="s">
        <v>15042</v>
      </c>
      <c r="C775" t="s">
        <v>74</v>
      </c>
      <c r="D775" t="s">
        <v>74</v>
      </c>
      <c r="E775" t="s">
        <v>74</v>
      </c>
      <c r="F775" t="s">
        <v>15043</v>
      </c>
      <c r="G775" t="s">
        <v>74</v>
      </c>
      <c r="H775" t="s">
        <v>74</v>
      </c>
      <c r="I775" t="s">
        <v>15044</v>
      </c>
      <c r="J775" t="s">
        <v>15045</v>
      </c>
      <c r="K775" t="s">
        <v>74</v>
      </c>
      <c r="L775" t="s">
        <v>74</v>
      </c>
      <c r="M775" t="s">
        <v>78</v>
      </c>
      <c r="N775" t="s">
        <v>108</v>
      </c>
      <c r="O775" t="s">
        <v>74</v>
      </c>
      <c r="P775" t="s">
        <v>74</v>
      </c>
      <c r="Q775" t="s">
        <v>74</v>
      </c>
      <c r="R775" t="s">
        <v>74</v>
      </c>
      <c r="S775" t="s">
        <v>74</v>
      </c>
      <c r="T775" t="s">
        <v>15046</v>
      </c>
      <c r="U775" t="s">
        <v>15047</v>
      </c>
      <c r="V775" t="s">
        <v>15048</v>
      </c>
      <c r="W775" t="s">
        <v>15049</v>
      </c>
      <c r="X775" t="s">
        <v>15050</v>
      </c>
      <c r="Y775" t="s">
        <v>15051</v>
      </c>
      <c r="Z775" t="s">
        <v>15052</v>
      </c>
      <c r="AA775" t="s">
        <v>74</v>
      </c>
      <c r="AB775" t="s">
        <v>74</v>
      </c>
      <c r="AC775" t="s">
        <v>15053</v>
      </c>
      <c r="AD775" t="s">
        <v>15054</v>
      </c>
      <c r="AE775" t="s">
        <v>15055</v>
      </c>
      <c r="AF775" t="s">
        <v>74</v>
      </c>
      <c r="AG775">
        <v>68</v>
      </c>
      <c r="AH775">
        <v>3</v>
      </c>
      <c r="AI775">
        <v>3</v>
      </c>
      <c r="AJ775">
        <v>1</v>
      </c>
      <c r="AK775">
        <v>27</v>
      </c>
      <c r="AL775" t="s">
        <v>154</v>
      </c>
      <c r="AM775" t="s">
        <v>155</v>
      </c>
      <c r="AN775" t="s">
        <v>156</v>
      </c>
      <c r="AO775" t="s">
        <v>15056</v>
      </c>
      <c r="AP775" t="s">
        <v>15057</v>
      </c>
      <c r="AQ775" t="s">
        <v>74</v>
      </c>
      <c r="AR775" t="s">
        <v>15058</v>
      </c>
      <c r="AS775" t="s">
        <v>15059</v>
      </c>
      <c r="AT775" t="s">
        <v>6722</v>
      </c>
      <c r="AU775">
        <v>2019</v>
      </c>
      <c r="AV775">
        <v>93</v>
      </c>
      <c r="AW775">
        <v>3</v>
      </c>
      <c r="AX775" t="s">
        <v>74</v>
      </c>
      <c r="AY775" t="s">
        <v>74</v>
      </c>
      <c r="AZ775" t="s">
        <v>74</v>
      </c>
      <c r="BA775" t="s">
        <v>74</v>
      </c>
      <c r="BB775">
        <v>885</v>
      </c>
      <c r="BC775">
        <v>899</v>
      </c>
      <c r="BD775" t="s">
        <v>74</v>
      </c>
      <c r="BE775" t="s">
        <v>15060</v>
      </c>
      <c r="BF775" t="str">
        <f>HYPERLINK("http://dx.doi.org/10.1007/s10457-018-0183-0","http://dx.doi.org/10.1007/s10457-018-0183-0")</f>
        <v>http://dx.doi.org/10.1007/s10457-018-0183-0</v>
      </c>
      <c r="BG775" t="s">
        <v>74</v>
      </c>
      <c r="BH775" t="s">
        <v>74</v>
      </c>
      <c r="BI775">
        <v>15</v>
      </c>
      <c r="BJ775" t="s">
        <v>15061</v>
      </c>
      <c r="BK775" t="s">
        <v>101</v>
      </c>
      <c r="BL775" t="s">
        <v>15062</v>
      </c>
      <c r="BM775" t="s">
        <v>15063</v>
      </c>
      <c r="BN775" t="s">
        <v>74</v>
      </c>
      <c r="BO775" t="s">
        <v>74</v>
      </c>
      <c r="BP775" t="s">
        <v>74</v>
      </c>
      <c r="BQ775" t="s">
        <v>74</v>
      </c>
      <c r="BR775" t="s">
        <v>103</v>
      </c>
      <c r="BS775" t="s">
        <v>15064</v>
      </c>
      <c r="BT775" t="str">
        <f>HYPERLINK("https%3A%2F%2Fwww.webofscience.com%2Fwos%2Fwoscc%2Ffull-record%2FWOS:000467900200011","View Full Record in Web of Science")</f>
        <v>View Full Record in Web of Science</v>
      </c>
    </row>
    <row r="776" spans="1:72" x14ac:dyDescent="0.15">
      <c r="A776" t="s">
        <v>72</v>
      </c>
      <c r="B776" t="s">
        <v>15065</v>
      </c>
      <c r="C776" t="s">
        <v>74</v>
      </c>
      <c r="D776" t="s">
        <v>74</v>
      </c>
      <c r="E776" t="s">
        <v>74</v>
      </c>
      <c r="F776" t="s">
        <v>15066</v>
      </c>
      <c r="G776" t="s">
        <v>74</v>
      </c>
      <c r="H776" t="s">
        <v>74</v>
      </c>
      <c r="I776" t="s">
        <v>15067</v>
      </c>
      <c r="J776" t="s">
        <v>15068</v>
      </c>
      <c r="K776" t="s">
        <v>74</v>
      </c>
      <c r="L776" t="s">
        <v>74</v>
      </c>
      <c r="M776" t="s">
        <v>78</v>
      </c>
      <c r="N776" t="s">
        <v>108</v>
      </c>
      <c r="O776" t="s">
        <v>74</v>
      </c>
      <c r="P776" t="s">
        <v>74</v>
      </c>
      <c r="Q776" t="s">
        <v>74</v>
      </c>
      <c r="R776" t="s">
        <v>74</v>
      </c>
      <c r="S776" t="s">
        <v>74</v>
      </c>
      <c r="T776" t="s">
        <v>15069</v>
      </c>
      <c r="U776" t="s">
        <v>15070</v>
      </c>
      <c r="V776" t="s">
        <v>15071</v>
      </c>
      <c r="W776" t="s">
        <v>15072</v>
      </c>
      <c r="X776" t="s">
        <v>15073</v>
      </c>
      <c r="Y776" t="s">
        <v>15074</v>
      </c>
      <c r="Z776" t="s">
        <v>15075</v>
      </c>
      <c r="AA776" t="s">
        <v>15076</v>
      </c>
      <c r="AB776" t="s">
        <v>15077</v>
      </c>
      <c r="AC776" t="s">
        <v>15078</v>
      </c>
      <c r="AD776" t="s">
        <v>15079</v>
      </c>
      <c r="AE776" t="s">
        <v>15080</v>
      </c>
      <c r="AF776" t="s">
        <v>74</v>
      </c>
      <c r="AG776">
        <v>45</v>
      </c>
      <c r="AH776">
        <v>9</v>
      </c>
      <c r="AI776">
        <v>11</v>
      </c>
      <c r="AJ776">
        <v>0</v>
      </c>
      <c r="AK776">
        <v>3</v>
      </c>
      <c r="AL776" t="s">
        <v>3533</v>
      </c>
      <c r="AM776" t="s">
        <v>93</v>
      </c>
      <c r="AN776" t="s">
        <v>3534</v>
      </c>
      <c r="AO776" t="s">
        <v>15081</v>
      </c>
      <c r="AP776" t="s">
        <v>15082</v>
      </c>
      <c r="AQ776" t="s">
        <v>74</v>
      </c>
      <c r="AR776" t="s">
        <v>15083</v>
      </c>
      <c r="AS776" t="s">
        <v>15084</v>
      </c>
      <c r="AT776" t="s">
        <v>6722</v>
      </c>
      <c r="AU776">
        <v>2019</v>
      </c>
      <c r="AV776">
        <v>87</v>
      </c>
      <c r="AW776" t="s">
        <v>74</v>
      </c>
      <c r="AX776" t="s">
        <v>74</v>
      </c>
      <c r="AY776" t="s">
        <v>74</v>
      </c>
      <c r="AZ776" t="s">
        <v>74</v>
      </c>
      <c r="BA776" t="s">
        <v>74</v>
      </c>
      <c r="BB776">
        <v>179</v>
      </c>
      <c r="BC776">
        <v>191</v>
      </c>
      <c r="BD776" t="s">
        <v>74</v>
      </c>
      <c r="BE776" t="s">
        <v>15085</v>
      </c>
      <c r="BF776" t="str">
        <f>HYPERLINK("http://dx.doi.org/10.1016/j.apor.2019.03.024","http://dx.doi.org/10.1016/j.apor.2019.03.024")</f>
        <v>http://dx.doi.org/10.1016/j.apor.2019.03.024</v>
      </c>
      <c r="BG776" t="s">
        <v>74</v>
      </c>
      <c r="BH776" t="s">
        <v>74</v>
      </c>
      <c r="BI776">
        <v>13</v>
      </c>
      <c r="BJ776" t="s">
        <v>15086</v>
      </c>
      <c r="BK776" t="s">
        <v>101</v>
      </c>
      <c r="BL776" t="s">
        <v>3826</v>
      </c>
      <c r="BM776" t="s">
        <v>15087</v>
      </c>
      <c r="BN776" t="s">
        <v>74</v>
      </c>
      <c r="BO776" t="s">
        <v>74</v>
      </c>
      <c r="BP776" t="s">
        <v>74</v>
      </c>
      <c r="BQ776" t="s">
        <v>74</v>
      </c>
      <c r="BR776" t="s">
        <v>103</v>
      </c>
      <c r="BS776" t="s">
        <v>15088</v>
      </c>
      <c r="BT776" t="str">
        <f>HYPERLINK("https%3A%2F%2Fwww.webofscience.com%2Fwos%2Fwoscc%2Ffull-record%2FWOS:000468711500015","View Full Record in Web of Science")</f>
        <v>View Full Record in Web of Science</v>
      </c>
    </row>
    <row r="777" spans="1:72" x14ac:dyDescent="0.15">
      <c r="A777" t="s">
        <v>72</v>
      </c>
      <c r="B777" t="s">
        <v>15089</v>
      </c>
      <c r="C777" t="s">
        <v>74</v>
      </c>
      <c r="D777" t="s">
        <v>74</v>
      </c>
      <c r="E777" t="s">
        <v>74</v>
      </c>
      <c r="F777" t="s">
        <v>15090</v>
      </c>
      <c r="G777" t="s">
        <v>74</v>
      </c>
      <c r="H777" t="s">
        <v>74</v>
      </c>
      <c r="I777" t="s">
        <v>15091</v>
      </c>
      <c r="J777" t="s">
        <v>15092</v>
      </c>
      <c r="K777" t="s">
        <v>74</v>
      </c>
      <c r="L777" t="s">
        <v>74</v>
      </c>
      <c r="M777" t="s">
        <v>78</v>
      </c>
      <c r="N777" t="s">
        <v>108</v>
      </c>
      <c r="O777" t="s">
        <v>74</v>
      </c>
      <c r="P777" t="s">
        <v>74</v>
      </c>
      <c r="Q777" t="s">
        <v>74</v>
      </c>
      <c r="R777" t="s">
        <v>74</v>
      </c>
      <c r="S777" t="s">
        <v>74</v>
      </c>
      <c r="T777" t="s">
        <v>15093</v>
      </c>
      <c r="U777" t="s">
        <v>15094</v>
      </c>
      <c r="V777" t="s">
        <v>15095</v>
      </c>
      <c r="W777" t="s">
        <v>15096</v>
      </c>
      <c r="X777" t="s">
        <v>15097</v>
      </c>
      <c r="Y777" t="s">
        <v>15098</v>
      </c>
      <c r="Z777" t="s">
        <v>15099</v>
      </c>
      <c r="AA777" t="s">
        <v>15100</v>
      </c>
      <c r="AB777" t="s">
        <v>15101</v>
      </c>
      <c r="AC777" t="s">
        <v>15102</v>
      </c>
      <c r="AD777" t="s">
        <v>15103</v>
      </c>
      <c r="AE777" t="s">
        <v>15104</v>
      </c>
      <c r="AF777" t="s">
        <v>74</v>
      </c>
      <c r="AG777">
        <v>136</v>
      </c>
      <c r="AH777">
        <v>19</v>
      </c>
      <c r="AI777">
        <v>19</v>
      </c>
      <c r="AJ777">
        <v>0</v>
      </c>
      <c r="AK777">
        <v>12</v>
      </c>
      <c r="AL777" t="s">
        <v>1140</v>
      </c>
      <c r="AM777" t="s">
        <v>1141</v>
      </c>
      <c r="AN777" t="s">
        <v>1142</v>
      </c>
      <c r="AO777" t="s">
        <v>15105</v>
      </c>
      <c r="AP777" t="s">
        <v>15106</v>
      </c>
      <c r="AQ777" t="s">
        <v>74</v>
      </c>
      <c r="AR777" t="s">
        <v>15107</v>
      </c>
      <c r="AS777" t="s">
        <v>15108</v>
      </c>
      <c r="AT777" t="s">
        <v>6722</v>
      </c>
      <c r="AU777">
        <v>2019</v>
      </c>
      <c r="AV777">
        <v>31</v>
      </c>
      <c r="AW777">
        <v>3</v>
      </c>
      <c r="AX777" t="s">
        <v>74</v>
      </c>
      <c r="AY777" t="s">
        <v>74</v>
      </c>
      <c r="AZ777" t="s">
        <v>74</v>
      </c>
      <c r="BA777" t="s">
        <v>74</v>
      </c>
      <c r="BB777">
        <v>405</v>
      </c>
      <c r="BC777">
        <v>430</v>
      </c>
      <c r="BD777" t="s">
        <v>74</v>
      </c>
      <c r="BE777" t="s">
        <v>15109</v>
      </c>
      <c r="BF777" t="str">
        <f>HYPERLINK("http://dx.doi.org/10.1111/bre.12328","http://dx.doi.org/10.1111/bre.12328")</f>
        <v>http://dx.doi.org/10.1111/bre.12328</v>
      </c>
      <c r="BG777" t="s">
        <v>74</v>
      </c>
      <c r="BH777" t="s">
        <v>74</v>
      </c>
      <c r="BI777">
        <v>26</v>
      </c>
      <c r="BJ777" t="s">
        <v>471</v>
      </c>
      <c r="BK777" t="s">
        <v>101</v>
      </c>
      <c r="BL777" t="s">
        <v>472</v>
      </c>
      <c r="BM777" t="s">
        <v>15110</v>
      </c>
      <c r="BN777" t="s">
        <v>74</v>
      </c>
      <c r="BO777" t="s">
        <v>919</v>
      </c>
      <c r="BP777" t="s">
        <v>74</v>
      </c>
      <c r="BQ777" t="s">
        <v>74</v>
      </c>
      <c r="BR777" t="s">
        <v>103</v>
      </c>
      <c r="BS777" t="s">
        <v>15111</v>
      </c>
      <c r="BT777" t="str">
        <f>HYPERLINK("https%3A%2F%2Fwww.webofscience.com%2Fwos%2Fwoscc%2Ffull-record%2FWOS:000467748500001","View Full Record in Web of Science")</f>
        <v>View Full Record in Web of Science</v>
      </c>
    </row>
    <row r="778" spans="1:72" x14ac:dyDescent="0.15">
      <c r="A778" t="s">
        <v>72</v>
      </c>
      <c r="B778" t="s">
        <v>15112</v>
      </c>
      <c r="C778" t="s">
        <v>74</v>
      </c>
      <c r="D778" t="s">
        <v>74</v>
      </c>
      <c r="E778" t="s">
        <v>74</v>
      </c>
      <c r="F778" t="s">
        <v>15113</v>
      </c>
      <c r="G778" t="s">
        <v>74</v>
      </c>
      <c r="H778" t="s">
        <v>74</v>
      </c>
      <c r="I778" t="s">
        <v>15114</v>
      </c>
      <c r="J778" t="s">
        <v>519</v>
      </c>
      <c r="K778" t="s">
        <v>74</v>
      </c>
      <c r="L778" t="s">
        <v>74</v>
      </c>
      <c r="M778" t="s">
        <v>78</v>
      </c>
      <c r="N778" t="s">
        <v>108</v>
      </c>
      <c r="O778" t="s">
        <v>74</v>
      </c>
      <c r="P778" t="s">
        <v>74</v>
      </c>
      <c r="Q778" t="s">
        <v>74</v>
      </c>
      <c r="R778" t="s">
        <v>74</v>
      </c>
      <c r="S778" t="s">
        <v>74</v>
      </c>
      <c r="T778" t="s">
        <v>15115</v>
      </c>
      <c r="U778" t="s">
        <v>15116</v>
      </c>
      <c r="V778" t="s">
        <v>15117</v>
      </c>
      <c r="W778" t="s">
        <v>15118</v>
      </c>
      <c r="X778" t="s">
        <v>15119</v>
      </c>
      <c r="Y778" t="s">
        <v>15120</v>
      </c>
      <c r="Z778" t="s">
        <v>15121</v>
      </c>
      <c r="AA778" t="s">
        <v>15122</v>
      </c>
      <c r="AB778" t="s">
        <v>15123</v>
      </c>
      <c r="AC778" t="s">
        <v>15124</v>
      </c>
      <c r="AD778" t="s">
        <v>15125</v>
      </c>
      <c r="AE778" t="s">
        <v>15126</v>
      </c>
      <c r="AF778" t="s">
        <v>74</v>
      </c>
      <c r="AG778">
        <v>46</v>
      </c>
      <c r="AH778">
        <v>20</v>
      </c>
      <c r="AI778">
        <v>27</v>
      </c>
      <c r="AJ778">
        <v>0</v>
      </c>
      <c r="AK778">
        <v>5</v>
      </c>
      <c r="AL778" t="s">
        <v>438</v>
      </c>
      <c r="AM778" t="s">
        <v>439</v>
      </c>
      <c r="AN778" t="s">
        <v>440</v>
      </c>
      <c r="AO778" t="s">
        <v>531</v>
      </c>
      <c r="AP778" t="s">
        <v>532</v>
      </c>
      <c r="AQ778" t="s">
        <v>74</v>
      </c>
      <c r="AR778" t="s">
        <v>533</v>
      </c>
      <c r="AS778" t="s">
        <v>534</v>
      </c>
      <c r="AT778" t="s">
        <v>13921</v>
      </c>
      <c r="AU778">
        <v>2019</v>
      </c>
      <c r="AV778">
        <v>515</v>
      </c>
      <c r="AW778" t="s">
        <v>74</v>
      </c>
      <c r="AX778" t="s">
        <v>74</v>
      </c>
      <c r="AY778" t="s">
        <v>74</v>
      </c>
      <c r="AZ778" t="s">
        <v>74</v>
      </c>
      <c r="BA778" t="s">
        <v>74</v>
      </c>
      <c r="BB778">
        <v>200</v>
      </c>
      <c r="BC778">
        <v>208</v>
      </c>
      <c r="BD778" t="s">
        <v>74</v>
      </c>
      <c r="BE778" t="s">
        <v>15127</v>
      </c>
      <c r="BF778" t="str">
        <f>HYPERLINK("http://dx.doi.org/10.1016/j.epsl.2019.03.026","http://dx.doi.org/10.1016/j.epsl.2019.03.026")</f>
        <v>http://dx.doi.org/10.1016/j.epsl.2019.03.026</v>
      </c>
      <c r="BG778" t="s">
        <v>74</v>
      </c>
      <c r="BH778" t="s">
        <v>74</v>
      </c>
      <c r="BI778">
        <v>9</v>
      </c>
      <c r="BJ778" t="s">
        <v>190</v>
      </c>
      <c r="BK778" t="s">
        <v>101</v>
      </c>
      <c r="BL778" t="s">
        <v>190</v>
      </c>
      <c r="BM778" t="s">
        <v>15128</v>
      </c>
      <c r="BN778" t="s">
        <v>74</v>
      </c>
      <c r="BO778" t="s">
        <v>537</v>
      </c>
      <c r="BP778" t="s">
        <v>74</v>
      </c>
      <c r="BQ778" t="s">
        <v>74</v>
      </c>
      <c r="BR778" t="s">
        <v>103</v>
      </c>
      <c r="BS778" t="s">
        <v>15129</v>
      </c>
      <c r="BT778" t="str">
        <f>HYPERLINK("https%3A%2F%2Fwww.webofscience.com%2Fwos%2Fwoscc%2Ffull-record%2FWOS:000466251400019","View Full Record in Web of Science")</f>
        <v>View Full Record in Web of Science</v>
      </c>
    </row>
    <row r="779" spans="1:72" x14ac:dyDescent="0.15">
      <c r="A779" t="s">
        <v>72</v>
      </c>
      <c r="B779" t="s">
        <v>15130</v>
      </c>
      <c r="C779" t="s">
        <v>74</v>
      </c>
      <c r="D779" t="s">
        <v>74</v>
      </c>
      <c r="E779" t="s">
        <v>74</v>
      </c>
      <c r="F779" t="s">
        <v>15131</v>
      </c>
      <c r="G779" t="s">
        <v>74</v>
      </c>
      <c r="H779" t="s">
        <v>74</v>
      </c>
      <c r="I779" t="s">
        <v>15132</v>
      </c>
      <c r="J779" t="s">
        <v>5732</v>
      </c>
      <c r="K779" t="s">
        <v>74</v>
      </c>
      <c r="L779" t="s">
        <v>74</v>
      </c>
      <c r="M779" t="s">
        <v>78</v>
      </c>
      <c r="N779" t="s">
        <v>108</v>
      </c>
      <c r="O779" t="s">
        <v>74</v>
      </c>
      <c r="P779" t="s">
        <v>74</v>
      </c>
      <c r="Q779" t="s">
        <v>74</v>
      </c>
      <c r="R779" t="s">
        <v>74</v>
      </c>
      <c r="S779" t="s">
        <v>74</v>
      </c>
      <c r="T779" t="s">
        <v>15133</v>
      </c>
      <c r="U779" t="s">
        <v>15134</v>
      </c>
      <c r="V779" t="s">
        <v>15135</v>
      </c>
      <c r="W779" t="s">
        <v>15136</v>
      </c>
      <c r="X779" t="s">
        <v>15137</v>
      </c>
      <c r="Y779" t="s">
        <v>15138</v>
      </c>
      <c r="Z779" t="s">
        <v>15139</v>
      </c>
      <c r="AA779" t="s">
        <v>15140</v>
      </c>
      <c r="AB779" t="s">
        <v>15141</v>
      </c>
      <c r="AC779" t="s">
        <v>15142</v>
      </c>
      <c r="AD779" t="s">
        <v>15143</v>
      </c>
      <c r="AE779" t="s">
        <v>15144</v>
      </c>
      <c r="AF779" t="s">
        <v>74</v>
      </c>
      <c r="AG779">
        <v>40</v>
      </c>
      <c r="AH779">
        <v>2</v>
      </c>
      <c r="AI779">
        <v>3</v>
      </c>
      <c r="AJ779">
        <v>0</v>
      </c>
      <c r="AK779">
        <v>2</v>
      </c>
      <c r="AL779" t="s">
        <v>638</v>
      </c>
      <c r="AM779" t="s">
        <v>439</v>
      </c>
      <c r="AN779" t="s">
        <v>639</v>
      </c>
      <c r="AO779" t="s">
        <v>5745</v>
      </c>
      <c r="AP779" t="s">
        <v>5746</v>
      </c>
      <c r="AQ779" t="s">
        <v>74</v>
      </c>
      <c r="AR779" t="s">
        <v>5747</v>
      </c>
      <c r="AS779" t="s">
        <v>5748</v>
      </c>
      <c r="AT779" t="s">
        <v>6722</v>
      </c>
      <c r="AU779">
        <v>2019</v>
      </c>
      <c r="AV779">
        <v>177</v>
      </c>
      <c r="AW779" t="s">
        <v>74</v>
      </c>
      <c r="AX779" t="s">
        <v>74</v>
      </c>
      <c r="AY779" t="s">
        <v>74</v>
      </c>
      <c r="AZ779" t="s">
        <v>74</v>
      </c>
      <c r="BA779" t="s">
        <v>74</v>
      </c>
      <c r="BB779">
        <v>39</v>
      </c>
      <c r="BC779">
        <v>44</v>
      </c>
      <c r="BD779" t="s">
        <v>74</v>
      </c>
      <c r="BE779" t="s">
        <v>15145</v>
      </c>
      <c r="BF779" t="str">
        <f>HYPERLINK("http://dx.doi.org/10.1016/j.gloplacha.2019.03.009","http://dx.doi.org/10.1016/j.gloplacha.2019.03.009")</f>
        <v>http://dx.doi.org/10.1016/j.gloplacha.2019.03.009</v>
      </c>
      <c r="BG779" t="s">
        <v>74</v>
      </c>
      <c r="BH779" t="s">
        <v>74</v>
      </c>
      <c r="BI779">
        <v>6</v>
      </c>
      <c r="BJ779" t="s">
        <v>310</v>
      </c>
      <c r="BK779" t="s">
        <v>101</v>
      </c>
      <c r="BL779" t="s">
        <v>311</v>
      </c>
      <c r="BM779" t="s">
        <v>15146</v>
      </c>
      <c r="BN779" t="s">
        <v>74</v>
      </c>
      <c r="BO779" t="s">
        <v>74</v>
      </c>
      <c r="BP779" t="s">
        <v>74</v>
      </c>
      <c r="BQ779" t="s">
        <v>74</v>
      </c>
      <c r="BR779" t="s">
        <v>103</v>
      </c>
      <c r="BS779" t="s">
        <v>15147</v>
      </c>
      <c r="BT779" t="str">
        <f>HYPERLINK("https%3A%2F%2Fwww.webofscience.com%2Fwos%2Fwoscc%2Ffull-record%2FWOS:000468717000004","View Full Record in Web of Science")</f>
        <v>View Full Record in Web of Science</v>
      </c>
    </row>
    <row r="780" spans="1:72" x14ac:dyDescent="0.15">
      <c r="A780" t="s">
        <v>72</v>
      </c>
      <c r="B780" t="s">
        <v>15148</v>
      </c>
      <c r="C780" t="s">
        <v>74</v>
      </c>
      <c r="D780" t="s">
        <v>74</v>
      </c>
      <c r="E780" t="s">
        <v>74</v>
      </c>
      <c r="F780" t="s">
        <v>15149</v>
      </c>
      <c r="G780" t="s">
        <v>74</v>
      </c>
      <c r="H780" t="s">
        <v>74</v>
      </c>
      <c r="I780" t="s">
        <v>15150</v>
      </c>
      <c r="J780" t="s">
        <v>238</v>
      </c>
      <c r="K780" t="s">
        <v>74</v>
      </c>
      <c r="L780" t="s">
        <v>74</v>
      </c>
      <c r="M780" t="s">
        <v>78</v>
      </c>
      <c r="N780" t="s">
        <v>108</v>
      </c>
      <c r="O780" t="s">
        <v>74</v>
      </c>
      <c r="P780" t="s">
        <v>74</v>
      </c>
      <c r="Q780" t="s">
        <v>74</v>
      </c>
      <c r="R780" t="s">
        <v>74</v>
      </c>
      <c r="S780" t="s">
        <v>74</v>
      </c>
      <c r="T780" t="s">
        <v>15151</v>
      </c>
      <c r="U780" t="s">
        <v>15152</v>
      </c>
      <c r="V780" t="s">
        <v>15153</v>
      </c>
      <c r="W780" t="s">
        <v>15154</v>
      </c>
      <c r="X780" t="s">
        <v>15155</v>
      </c>
      <c r="Y780" t="s">
        <v>15156</v>
      </c>
      <c r="Z780" t="s">
        <v>15157</v>
      </c>
      <c r="AA780" t="s">
        <v>74</v>
      </c>
      <c r="AB780" t="s">
        <v>74</v>
      </c>
      <c r="AC780" t="s">
        <v>15158</v>
      </c>
      <c r="AD780" t="s">
        <v>15159</v>
      </c>
      <c r="AE780" t="s">
        <v>15160</v>
      </c>
      <c r="AF780" t="s">
        <v>74</v>
      </c>
      <c r="AG780">
        <v>52</v>
      </c>
      <c r="AH780">
        <v>10</v>
      </c>
      <c r="AI780">
        <v>10</v>
      </c>
      <c r="AJ780">
        <v>1</v>
      </c>
      <c r="AK780">
        <v>27</v>
      </c>
      <c r="AL780" t="s">
        <v>251</v>
      </c>
      <c r="AM780" t="s">
        <v>252</v>
      </c>
      <c r="AN780" t="s">
        <v>253</v>
      </c>
      <c r="AO780" t="s">
        <v>254</v>
      </c>
      <c r="AP780" t="s">
        <v>255</v>
      </c>
      <c r="AQ780" t="s">
        <v>74</v>
      </c>
      <c r="AR780" t="s">
        <v>256</v>
      </c>
      <c r="AS780" t="s">
        <v>257</v>
      </c>
      <c r="AT780" t="s">
        <v>6722</v>
      </c>
      <c r="AU780">
        <v>2019</v>
      </c>
      <c r="AV780">
        <v>32</v>
      </c>
      <c r="AW780">
        <v>12</v>
      </c>
      <c r="AX780" t="s">
        <v>74</v>
      </c>
      <c r="AY780" t="s">
        <v>74</v>
      </c>
      <c r="AZ780" t="s">
        <v>74</v>
      </c>
      <c r="BA780" t="s">
        <v>74</v>
      </c>
      <c r="BB780">
        <v>3451</v>
      </c>
      <c r="BC780">
        <v>3470</v>
      </c>
      <c r="BD780" t="s">
        <v>74</v>
      </c>
      <c r="BE780" t="s">
        <v>15161</v>
      </c>
      <c r="BF780" t="str">
        <f>HYPERLINK("http://dx.doi.org/10.1175/JCLI-D-18-0831.1","http://dx.doi.org/10.1175/JCLI-D-18-0831.1")</f>
        <v>http://dx.doi.org/10.1175/JCLI-D-18-0831.1</v>
      </c>
      <c r="BG780" t="s">
        <v>74</v>
      </c>
      <c r="BH780" t="s">
        <v>74</v>
      </c>
      <c r="BI780">
        <v>20</v>
      </c>
      <c r="BJ780" t="s">
        <v>259</v>
      </c>
      <c r="BK780" t="s">
        <v>101</v>
      </c>
      <c r="BL780" t="s">
        <v>259</v>
      </c>
      <c r="BM780" t="s">
        <v>15162</v>
      </c>
      <c r="BN780" t="s">
        <v>74</v>
      </c>
      <c r="BO780" t="s">
        <v>1308</v>
      </c>
      <c r="BP780" t="s">
        <v>74</v>
      </c>
      <c r="BQ780" t="s">
        <v>74</v>
      </c>
      <c r="BR780" t="s">
        <v>103</v>
      </c>
      <c r="BS780" t="s">
        <v>15163</v>
      </c>
      <c r="BT780" t="str">
        <f>HYPERLINK("https%3A%2F%2Fwww.webofscience.com%2Fwos%2Fwoscc%2Ffull-record%2FWOS:000468467200002","View Full Record in Web of Science")</f>
        <v>View Full Record in Web of Science</v>
      </c>
    </row>
    <row r="781" spans="1:72" x14ac:dyDescent="0.15">
      <c r="A781" t="s">
        <v>72</v>
      </c>
      <c r="B781" t="s">
        <v>15164</v>
      </c>
      <c r="C781" t="s">
        <v>74</v>
      </c>
      <c r="D781" t="s">
        <v>74</v>
      </c>
      <c r="E781" t="s">
        <v>74</v>
      </c>
      <c r="F781" t="s">
        <v>15165</v>
      </c>
      <c r="G781" t="s">
        <v>74</v>
      </c>
      <c r="H781" t="s">
        <v>74</v>
      </c>
      <c r="I781" t="s">
        <v>15166</v>
      </c>
      <c r="J781" t="s">
        <v>4884</v>
      </c>
      <c r="K781" t="s">
        <v>74</v>
      </c>
      <c r="L781" t="s">
        <v>74</v>
      </c>
      <c r="M781" t="s">
        <v>78</v>
      </c>
      <c r="N781" t="s">
        <v>108</v>
      </c>
      <c r="O781" t="s">
        <v>74</v>
      </c>
      <c r="P781" t="s">
        <v>74</v>
      </c>
      <c r="Q781" t="s">
        <v>74</v>
      </c>
      <c r="R781" t="s">
        <v>74</v>
      </c>
      <c r="S781" t="s">
        <v>74</v>
      </c>
      <c r="T781" t="s">
        <v>15167</v>
      </c>
      <c r="U781" t="s">
        <v>15168</v>
      </c>
      <c r="V781" t="s">
        <v>15169</v>
      </c>
      <c r="W781" t="s">
        <v>15170</v>
      </c>
      <c r="X781" t="s">
        <v>15171</v>
      </c>
      <c r="Y781" t="s">
        <v>15172</v>
      </c>
      <c r="Z781" t="s">
        <v>15173</v>
      </c>
      <c r="AA781" t="s">
        <v>74</v>
      </c>
      <c r="AB781" t="s">
        <v>74</v>
      </c>
      <c r="AC781" t="s">
        <v>15174</v>
      </c>
      <c r="AD781" t="s">
        <v>15175</v>
      </c>
      <c r="AE781" t="s">
        <v>15176</v>
      </c>
      <c r="AF781" t="s">
        <v>74</v>
      </c>
      <c r="AG781">
        <v>60</v>
      </c>
      <c r="AH781">
        <v>19</v>
      </c>
      <c r="AI781">
        <v>19</v>
      </c>
      <c r="AJ781">
        <v>1</v>
      </c>
      <c r="AK781">
        <v>10</v>
      </c>
      <c r="AL781" t="s">
        <v>251</v>
      </c>
      <c r="AM781" t="s">
        <v>252</v>
      </c>
      <c r="AN781" t="s">
        <v>253</v>
      </c>
      <c r="AO781" t="s">
        <v>4897</v>
      </c>
      <c r="AP781" t="s">
        <v>4898</v>
      </c>
      <c r="AQ781" t="s">
        <v>74</v>
      </c>
      <c r="AR781" t="s">
        <v>4899</v>
      </c>
      <c r="AS781" t="s">
        <v>4900</v>
      </c>
      <c r="AT781" t="s">
        <v>6722</v>
      </c>
      <c r="AU781">
        <v>2019</v>
      </c>
      <c r="AV781">
        <v>76</v>
      </c>
      <c r="AW781">
        <v>6</v>
      </c>
      <c r="AX781" t="s">
        <v>74</v>
      </c>
      <c r="AY781" t="s">
        <v>74</v>
      </c>
      <c r="AZ781" t="s">
        <v>74</v>
      </c>
      <c r="BA781" t="s">
        <v>74</v>
      </c>
      <c r="BB781">
        <v>1565</v>
      </c>
      <c r="BC781">
        <v>1586</v>
      </c>
      <c r="BD781" t="s">
        <v>74</v>
      </c>
      <c r="BE781" t="s">
        <v>15177</v>
      </c>
      <c r="BF781" t="str">
        <f>HYPERLINK("http://dx.doi.org/10.1175/JAS-D-18-0290.1","http://dx.doi.org/10.1175/JAS-D-18-0290.1")</f>
        <v>http://dx.doi.org/10.1175/JAS-D-18-0290.1</v>
      </c>
      <c r="BG781" t="s">
        <v>74</v>
      </c>
      <c r="BH781" t="s">
        <v>74</v>
      </c>
      <c r="BI781">
        <v>22</v>
      </c>
      <c r="BJ781" t="s">
        <v>259</v>
      </c>
      <c r="BK781" t="s">
        <v>101</v>
      </c>
      <c r="BL781" t="s">
        <v>259</v>
      </c>
      <c r="BM781" t="s">
        <v>15178</v>
      </c>
      <c r="BN781" t="s">
        <v>74</v>
      </c>
      <c r="BO781" t="s">
        <v>1308</v>
      </c>
      <c r="BP781" t="s">
        <v>74</v>
      </c>
      <c r="BQ781" t="s">
        <v>74</v>
      </c>
      <c r="BR781" t="s">
        <v>103</v>
      </c>
      <c r="BS781" t="s">
        <v>15179</v>
      </c>
      <c r="BT781" t="str">
        <f>HYPERLINK("https%3A%2F%2Fwww.webofscience.com%2Fwos%2Fwoscc%2Ffull-record%2FWOS:000468767100001","View Full Record in Web of Science")</f>
        <v>View Full Record in Web of Science</v>
      </c>
    </row>
    <row r="782" spans="1:72" x14ac:dyDescent="0.15">
      <c r="A782" t="s">
        <v>72</v>
      </c>
      <c r="B782" t="s">
        <v>15180</v>
      </c>
      <c r="C782" t="s">
        <v>74</v>
      </c>
      <c r="D782" t="s">
        <v>74</v>
      </c>
      <c r="E782" t="s">
        <v>74</v>
      </c>
      <c r="F782" t="s">
        <v>15181</v>
      </c>
      <c r="G782" t="s">
        <v>74</v>
      </c>
      <c r="H782" t="s">
        <v>74</v>
      </c>
      <c r="I782" t="s">
        <v>15182</v>
      </c>
      <c r="J782" t="s">
        <v>15183</v>
      </c>
      <c r="K782" t="s">
        <v>74</v>
      </c>
      <c r="L782" t="s">
        <v>74</v>
      </c>
      <c r="M782" t="s">
        <v>78</v>
      </c>
      <c r="N782" t="s">
        <v>108</v>
      </c>
      <c r="O782" t="s">
        <v>74</v>
      </c>
      <c r="P782" t="s">
        <v>74</v>
      </c>
      <c r="Q782" t="s">
        <v>74</v>
      </c>
      <c r="R782" t="s">
        <v>74</v>
      </c>
      <c r="S782" t="s">
        <v>74</v>
      </c>
      <c r="T782" t="s">
        <v>15184</v>
      </c>
      <c r="U782" t="s">
        <v>15185</v>
      </c>
      <c r="V782" t="s">
        <v>15186</v>
      </c>
      <c r="W782" t="s">
        <v>15187</v>
      </c>
      <c r="X782" t="s">
        <v>15188</v>
      </c>
      <c r="Y782" t="s">
        <v>15189</v>
      </c>
      <c r="Z782" t="s">
        <v>15190</v>
      </c>
      <c r="AA782" t="s">
        <v>15191</v>
      </c>
      <c r="AB782" t="s">
        <v>15192</v>
      </c>
      <c r="AC782" t="s">
        <v>15193</v>
      </c>
      <c r="AD782" t="s">
        <v>15194</v>
      </c>
      <c r="AE782" t="s">
        <v>15195</v>
      </c>
      <c r="AF782" t="s">
        <v>74</v>
      </c>
      <c r="AG782">
        <v>47</v>
      </c>
      <c r="AH782">
        <v>15</v>
      </c>
      <c r="AI782">
        <v>15</v>
      </c>
      <c r="AJ782">
        <v>1</v>
      </c>
      <c r="AK782">
        <v>20</v>
      </c>
      <c r="AL782" t="s">
        <v>15196</v>
      </c>
      <c r="AM782" t="s">
        <v>183</v>
      </c>
      <c r="AN782" t="s">
        <v>15197</v>
      </c>
      <c r="AO782" t="s">
        <v>15198</v>
      </c>
      <c r="AP782" t="s">
        <v>15199</v>
      </c>
      <c r="AQ782" t="s">
        <v>74</v>
      </c>
      <c r="AR782" t="s">
        <v>15200</v>
      </c>
      <c r="AS782" t="s">
        <v>15201</v>
      </c>
      <c r="AT782" t="s">
        <v>6722</v>
      </c>
      <c r="AU782">
        <v>2019</v>
      </c>
      <c r="AV782">
        <v>93</v>
      </c>
      <c r="AW782">
        <v>11</v>
      </c>
      <c r="AX782" t="s">
        <v>74</v>
      </c>
      <c r="AY782" t="s">
        <v>74</v>
      </c>
      <c r="AZ782" t="s">
        <v>74</v>
      </c>
      <c r="BA782" t="s">
        <v>74</v>
      </c>
      <c r="BB782" t="s">
        <v>74</v>
      </c>
      <c r="BC782" t="s">
        <v>74</v>
      </c>
      <c r="BD782" t="s">
        <v>15202</v>
      </c>
      <c r="BE782" t="s">
        <v>15203</v>
      </c>
      <c r="BF782" t="str">
        <f>HYPERLINK("http://dx.doi.org/10.1128/JVI.00271-19","http://dx.doi.org/10.1128/JVI.00271-19")</f>
        <v>http://dx.doi.org/10.1128/JVI.00271-19</v>
      </c>
      <c r="BG782" t="s">
        <v>74</v>
      </c>
      <c r="BH782" t="s">
        <v>74</v>
      </c>
      <c r="BI782">
        <v>12</v>
      </c>
      <c r="BJ782" t="s">
        <v>15204</v>
      </c>
      <c r="BK782" t="s">
        <v>101</v>
      </c>
      <c r="BL782" t="s">
        <v>15204</v>
      </c>
      <c r="BM782" t="s">
        <v>15205</v>
      </c>
      <c r="BN782">
        <v>30894472</v>
      </c>
      <c r="BO782" t="s">
        <v>595</v>
      </c>
      <c r="BP782" t="s">
        <v>74</v>
      </c>
      <c r="BQ782" t="s">
        <v>74</v>
      </c>
      <c r="BR782" t="s">
        <v>103</v>
      </c>
      <c r="BS782" t="s">
        <v>15206</v>
      </c>
      <c r="BT782" t="str">
        <f>HYPERLINK("https%3A%2F%2Fwww.webofscience.com%2Fwos%2Fwoscc%2Ffull-record%2FWOS:000467925600018","View Full Record in Web of Science")</f>
        <v>View Full Record in Web of Science</v>
      </c>
    </row>
    <row r="783" spans="1:72" x14ac:dyDescent="0.15">
      <c r="A783" t="s">
        <v>72</v>
      </c>
      <c r="B783" t="s">
        <v>15207</v>
      </c>
      <c r="C783" t="s">
        <v>74</v>
      </c>
      <c r="D783" t="s">
        <v>74</v>
      </c>
      <c r="E783" t="s">
        <v>74</v>
      </c>
      <c r="F783" t="s">
        <v>15208</v>
      </c>
      <c r="G783" t="s">
        <v>74</v>
      </c>
      <c r="H783" t="s">
        <v>74</v>
      </c>
      <c r="I783" t="s">
        <v>15209</v>
      </c>
      <c r="J783" t="s">
        <v>4931</v>
      </c>
      <c r="K783" t="s">
        <v>74</v>
      </c>
      <c r="L783" t="s">
        <v>74</v>
      </c>
      <c r="M783" t="s">
        <v>78</v>
      </c>
      <c r="N783" t="s">
        <v>108</v>
      </c>
      <c r="O783" t="s">
        <v>74</v>
      </c>
      <c r="P783" t="s">
        <v>74</v>
      </c>
      <c r="Q783" t="s">
        <v>74</v>
      </c>
      <c r="R783" t="s">
        <v>74</v>
      </c>
      <c r="S783" t="s">
        <v>74</v>
      </c>
      <c r="T783" t="s">
        <v>74</v>
      </c>
      <c r="U783" t="s">
        <v>15210</v>
      </c>
      <c r="V783" t="s">
        <v>15211</v>
      </c>
      <c r="W783" t="s">
        <v>15212</v>
      </c>
      <c r="X783" t="s">
        <v>15213</v>
      </c>
      <c r="Y783" t="s">
        <v>15214</v>
      </c>
      <c r="Z783" t="s">
        <v>15215</v>
      </c>
      <c r="AA783" t="s">
        <v>15216</v>
      </c>
      <c r="AB783" t="s">
        <v>74</v>
      </c>
      <c r="AC783" t="s">
        <v>15217</v>
      </c>
      <c r="AD783" t="s">
        <v>15218</v>
      </c>
      <c r="AE783" t="s">
        <v>15219</v>
      </c>
      <c r="AF783" t="s">
        <v>74</v>
      </c>
      <c r="AG783">
        <v>100</v>
      </c>
      <c r="AH783">
        <v>20</v>
      </c>
      <c r="AI783">
        <v>20</v>
      </c>
      <c r="AJ783">
        <v>0</v>
      </c>
      <c r="AK783">
        <v>5</v>
      </c>
      <c r="AL783" t="s">
        <v>4938</v>
      </c>
      <c r="AM783" t="s">
        <v>4939</v>
      </c>
      <c r="AN783" t="s">
        <v>4940</v>
      </c>
      <c r="AO783" t="s">
        <v>4941</v>
      </c>
      <c r="AP783" t="s">
        <v>4942</v>
      </c>
      <c r="AQ783" t="s">
        <v>74</v>
      </c>
      <c r="AR783" t="s">
        <v>4943</v>
      </c>
      <c r="AS783" t="s">
        <v>4944</v>
      </c>
      <c r="AT783" t="s">
        <v>6722</v>
      </c>
      <c r="AU783">
        <v>2019</v>
      </c>
      <c r="AV783">
        <v>11</v>
      </c>
      <c r="AW783">
        <v>3</v>
      </c>
      <c r="AX783" t="s">
        <v>74</v>
      </c>
      <c r="AY783" t="s">
        <v>74</v>
      </c>
      <c r="AZ783" t="s">
        <v>74</v>
      </c>
      <c r="BA783" t="s">
        <v>74</v>
      </c>
      <c r="BB783">
        <v>386</v>
      </c>
      <c r="BC783">
        <v>398</v>
      </c>
      <c r="BD783" t="s">
        <v>74</v>
      </c>
      <c r="BE783" t="s">
        <v>15220</v>
      </c>
      <c r="BF783" t="str">
        <f>HYPERLINK("http://dx.doi.org/10.1130/L1015.1","http://dx.doi.org/10.1130/L1015.1")</f>
        <v>http://dx.doi.org/10.1130/L1015.1</v>
      </c>
      <c r="BG783" t="s">
        <v>74</v>
      </c>
      <c r="BH783" t="s">
        <v>74</v>
      </c>
      <c r="BI783">
        <v>13</v>
      </c>
      <c r="BJ783" t="s">
        <v>4946</v>
      </c>
      <c r="BK783" t="s">
        <v>101</v>
      </c>
      <c r="BL783" t="s">
        <v>4946</v>
      </c>
      <c r="BM783" t="s">
        <v>15221</v>
      </c>
      <c r="BN783" t="s">
        <v>74</v>
      </c>
      <c r="BO783" t="s">
        <v>366</v>
      </c>
      <c r="BP783" t="s">
        <v>74</v>
      </c>
      <c r="BQ783" t="s">
        <v>74</v>
      </c>
      <c r="BR783" t="s">
        <v>103</v>
      </c>
      <c r="BS783" t="s">
        <v>15222</v>
      </c>
      <c r="BT783" t="str">
        <f>HYPERLINK("https%3A%2F%2Fwww.webofscience.com%2Fwos%2Fwoscc%2Ffull-record%2FWOS:000468202100006","View Full Record in Web of Science")</f>
        <v>View Full Record in Web of Science</v>
      </c>
    </row>
    <row r="784" spans="1:72" x14ac:dyDescent="0.15">
      <c r="A784" t="s">
        <v>72</v>
      </c>
      <c r="B784" t="s">
        <v>15223</v>
      </c>
      <c r="C784" t="s">
        <v>74</v>
      </c>
      <c r="D784" t="s">
        <v>74</v>
      </c>
      <c r="E784" t="s">
        <v>74</v>
      </c>
      <c r="F784" t="s">
        <v>15224</v>
      </c>
      <c r="G784" t="s">
        <v>74</v>
      </c>
      <c r="H784" t="s">
        <v>74</v>
      </c>
      <c r="I784" t="s">
        <v>15225</v>
      </c>
      <c r="J784" t="s">
        <v>10385</v>
      </c>
      <c r="K784" t="s">
        <v>74</v>
      </c>
      <c r="L784" t="s">
        <v>74</v>
      </c>
      <c r="M784" t="s">
        <v>78</v>
      </c>
      <c r="N784" t="s">
        <v>108</v>
      </c>
      <c r="O784" t="s">
        <v>74</v>
      </c>
      <c r="P784" t="s">
        <v>74</v>
      </c>
      <c r="Q784" t="s">
        <v>74</v>
      </c>
      <c r="R784" t="s">
        <v>74</v>
      </c>
      <c r="S784" t="s">
        <v>74</v>
      </c>
      <c r="T784" t="s">
        <v>74</v>
      </c>
      <c r="U784" t="s">
        <v>15226</v>
      </c>
      <c r="V784" t="s">
        <v>15227</v>
      </c>
      <c r="W784" t="s">
        <v>15228</v>
      </c>
      <c r="X784" t="s">
        <v>15229</v>
      </c>
      <c r="Y784" t="s">
        <v>15230</v>
      </c>
      <c r="Z784" t="s">
        <v>15231</v>
      </c>
      <c r="AA784" t="s">
        <v>15232</v>
      </c>
      <c r="AB784" t="s">
        <v>15233</v>
      </c>
      <c r="AC784" t="s">
        <v>15234</v>
      </c>
      <c r="AD784" t="s">
        <v>15235</v>
      </c>
      <c r="AE784" t="s">
        <v>15236</v>
      </c>
      <c r="AF784" t="s">
        <v>74</v>
      </c>
      <c r="AG784">
        <v>133</v>
      </c>
      <c r="AH784">
        <v>16</v>
      </c>
      <c r="AI784">
        <v>17</v>
      </c>
      <c r="AJ784">
        <v>1</v>
      </c>
      <c r="AK784">
        <v>20</v>
      </c>
      <c r="AL784" t="s">
        <v>2396</v>
      </c>
      <c r="AM784" t="s">
        <v>2397</v>
      </c>
      <c r="AN784" t="s">
        <v>2398</v>
      </c>
      <c r="AO784" t="s">
        <v>10396</v>
      </c>
      <c r="AP784" t="s">
        <v>10397</v>
      </c>
      <c r="AQ784" t="s">
        <v>74</v>
      </c>
      <c r="AR784" t="s">
        <v>10398</v>
      </c>
      <c r="AS784" t="s">
        <v>10399</v>
      </c>
      <c r="AT784" t="s">
        <v>6722</v>
      </c>
      <c r="AU784">
        <v>2019</v>
      </c>
      <c r="AV784">
        <v>166</v>
      </c>
      <c r="AW784">
        <v>6</v>
      </c>
      <c r="AX784" t="s">
        <v>74</v>
      </c>
      <c r="AY784" t="s">
        <v>74</v>
      </c>
      <c r="AZ784" t="s">
        <v>74</v>
      </c>
      <c r="BA784" t="s">
        <v>74</v>
      </c>
      <c r="BB784" t="s">
        <v>74</v>
      </c>
      <c r="BC784" t="s">
        <v>74</v>
      </c>
      <c r="BD784">
        <v>79</v>
      </c>
      <c r="BE784" t="s">
        <v>15237</v>
      </c>
      <c r="BF784" t="str">
        <f>HYPERLINK("http://dx.doi.org/10.1007/s00227-019-3527-z","http://dx.doi.org/10.1007/s00227-019-3527-z")</f>
        <v>http://dx.doi.org/10.1007/s00227-019-3527-z</v>
      </c>
      <c r="BG784" t="s">
        <v>74</v>
      </c>
      <c r="BH784" t="s">
        <v>74</v>
      </c>
      <c r="BI784">
        <v>17</v>
      </c>
      <c r="BJ784" t="s">
        <v>6961</v>
      </c>
      <c r="BK784" t="s">
        <v>101</v>
      </c>
      <c r="BL784" t="s">
        <v>6961</v>
      </c>
      <c r="BM784" t="s">
        <v>15238</v>
      </c>
      <c r="BN784" t="s">
        <v>74</v>
      </c>
      <c r="BO784" t="s">
        <v>74</v>
      </c>
      <c r="BP784" t="s">
        <v>74</v>
      </c>
      <c r="BQ784" t="s">
        <v>74</v>
      </c>
      <c r="BR784" t="s">
        <v>103</v>
      </c>
      <c r="BS784" t="s">
        <v>15239</v>
      </c>
      <c r="BT784" t="str">
        <f>HYPERLINK("https%3A%2F%2Fwww.webofscience.com%2Fwos%2Fwoscc%2Ffull-record%2FWOS:000468192200002","View Full Record in Web of Science")</f>
        <v>View Full Record in Web of Science</v>
      </c>
    </row>
    <row r="785" spans="1:72" x14ac:dyDescent="0.15">
      <c r="A785" t="s">
        <v>72</v>
      </c>
      <c r="B785" t="s">
        <v>15240</v>
      </c>
      <c r="C785" t="s">
        <v>74</v>
      </c>
      <c r="D785" t="s">
        <v>74</v>
      </c>
      <c r="E785" t="s">
        <v>74</v>
      </c>
      <c r="F785" t="s">
        <v>15241</v>
      </c>
      <c r="G785" t="s">
        <v>74</v>
      </c>
      <c r="H785" t="s">
        <v>74</v>
      </c>
      <c r="I785" t="s">
        <v>15242</v>
      </c>
      <c r="J785" t="s">
        <v>15243</v>
      </c>
      <c r="K785" t="s">
        <v>74</v>
      </c>
      <c r="L785" t="s">
        <v>74</v>
      </c>
      <c r="M785" t="s">
        <v>78</v>
      </c>
      <c r="N785" t="s">
        <v>108</v>
      </c>
      <c r="O785" t="s">
        <v>74</v>
      </c>
      <c r="P785" t="s">
        <v>74</v>
      </c>
      <c r="Q785" t="s">
        <v>74</v>
      </c>
      <c r="R785" t="s">
        <v>74</v>
      </c>
      <c r="S785" t="s">
        <v>74</v>
      </c>
      <c r="T785" t="s">
        <v>15244</v>
      </c>
      <c r="U785" t="s">
        <v>15245</v>
      </c>
      <c r="V785" t="s">
        <v>15246</v>
      </c>
      <c r="W785" t="s">
        <v>15247</v>
      </c>
      <c r="X785" t="s">
        <v>15248</v>
      </c>
      <c r="Y785" t="s">
        <v>15249</v>
      </c>
      <c r="Z785" t="s">
        <v>15250</v>
      </c>
      <c r="AA785" t="s">
        <v>15251</v>
      </c>
      <c r="AB785" t="s">
        <v>15252</v>
      </c>
      <c r="AC785" t="s">
        <v>15253</v>
      </c>
      <c r="AD785" t="s">
        <v>15254</v>
      </c>
      <c r="AE785" t="s">
        <v>15255</v>
      </c>
      <c r="AF785" t="s">
        <v>74</v>
      </c>
      <c r="AG785">
        <v>81</v>
      </c>
      <c r="AH785">
        <v>21</v>
      </c>
      <c r="AI785">
        <v>21</v>
      </c>
      <c r="AJ785">
        <v>0</v>
      </c>
      <c r="AK785">
        <v>30</v>
      </c>
      <c r="AL785" t="s">
        <v>154</v>
      </c>
      <c r="AM785" t="s">
        <v>4016</v>
      </c>
      <c r="AN785" t="s">
        <v>4040</v>
      </c>
      <c r="AO785" t="s">
        <v>15256</v>
      </c>
      <c r="AP785" t="s">
        <v>15257</v>
      </c>
      <c r="AQ785" t="s">
        <v>74</v>
      </c>
      <c r="AR785" t="s">
        <v>15258</v>
      </c>
      <c r="AS785" t="s">
        <v>15259</v>
      </c>
      <c r="AT785" t="s">
        <v>6722</v>
      </c>
      <c r="AU785">
        <v>2019</v>
      </c>
      <c r="AV785">
        <v>21</v>
      </c>
      <c r="AW785">
        <v>3</v>
      </c>
      <c r="AX785" t="s">
        <v>74</v>
      </c>
      <c r="AY785" t="s">
        <v>74</v>
      </c>
      <c r="AZ785" t="s">
        <v>74</v>
      </c>
      <c r="BA785" t="s">
        <v>74</v>
      </c>
      <c r="BB785">
        <v>416</v>
      </c>
      <c r="BC785">
        <v>429</v>
      </c>
      <c r="BD785" t="s">
        <v>74</v>
      </c>
      <c r="BE785" t="s">
        <v>15260</v>
      </c>
      <c r="BF785" t="str">
        <f>HYPERLINK("http://dx.doi.org/10.1007/s10126-019-09892-z","http://dx.doi.org/10.1007/s10126-019-09892-z")</f>
        <v>http://dx.doi.org/10.1007/s10126-019-09892-z</v>
      </c>
      <c r="BG785" t="s">
        <v>74</v>
      </c>
      <c r="BH785" t="s">
        <v>74</v>
      </c>
      <c r="BI785">
        <v>14</v>
      </c>
      <c r="BJ785" t="s">
        <v>4353</v>
      </c>
      <c r="BK785" t="s">
        <v>101</v>
      </c>
      <c r="BL785" t="s">
        <v>4353</v>
      </c>
      <c r="BM785" t="s">
        <v>15261</v>
      </c>
      <c r="BN785">
        <v>30874930</v>
      </c>
      <c r="BO785" t="s">
        <v>261</v>
      </c>
      <c r="BP785" t="s">
        <v>74</v>
      </c>
      <c r="BQ785" t="s">
        <v>74</v>
      </c>
      <c r="BR785" t="s">
        <v>103</v>
      </c>
      <c r="BS785" t="s">
        <v>15262</v>
      </c>
      <c r="BT785" t="str">
        <f>HYPERLINK("https%3A%2F%2Fwww.webofscience.com%2Fwos%2Fwoscc%2Ffull-record%2FWOS:000468239600011","View Full Record in Web of Science")</f>
        <v>View Full Record in Web of Science</v>
      </c>
    </row>
    <row r="786" spans="1:72" x14ac:dyDescent="0.15">
      <c r="A786" t="s">
        <v>72</v>
      </c>
      <c r="B786" t="s">
        <v>15263</v>
      </c>
      <c r="C786" t="s">
        <v>74</v>
      </c>
      <c r="D786" t="s">
        <v>74</v>
      </c>
      <c r="E786" t="s">
        <v>74</v>
      </c>
      <c r="F786" t="s">
        <v>15264</v>
      </c>
      <c r="G786" t="s">
        <v>74</v>
      </c>
      <c r="H786" t="s">
        <v>74</v>
      </c>
      <c r="I786" t="s">
        <v>15265</v>
      </c>
      <c r="J786" t="s">
        <v>11225</v>
      </c>
      <c r="K786" t="s">
        <v>74</v>
      </c>
      <c r="L786" t="s">
        <v>74</v>
      </c>
      <c r="M786" t="s">
        <v>78</v>
      </c>
      <c r="N786" t="s">
        <v>108</v>
      </c>
      <c r="O786" t="s">
        <v>74</v>
      </c>
      <c r="P786" t="s">
        <v>74</v>
      </c>
      <c r="Q786" t="s">
        <v>74</v>
      </c>
      <c r="R786" t="s">
        <v>74</v>
      </c>
      <c r="S786" t="s">
        <v>74</v>
      </c>
      <c r="T786" t="s">
        <v>15266</v>
      </c>
      <c r="U786" t="s">
        <v>15267</v>
      </c>
      <c r="V786" t="s">
        <v>15268</v>
      </c>
      <c r="W786" t="s">
        <v>15269</v>
      </c>
      <c r="X786" t="s">
        <v>15270</v>
      </c>
      <c r="Y786" t="s">
        <v>15271</v>
      </c>
      <c r="Z786" t="s">
        <v>15272</v>
      </c>
      <c r="AA786" t="s">
        <v>15273</v>
      </c>
      <c r="AB786" t="s">
        <v>15274</v>
      </c>
      <c r="AC786" t="s">
        <v>15275</v>
      </c>
      <c r="AD786" t="s">
        <v>15276</v>
      </c>
      <c r="AE786" t="s">
        <v>15277</v>
      </c>
      <c r="AF786" t="s">
        <v>74</v>
      </c>
      <c r="AG786">
        <v>68</v>
      </c>
      <c r="AH786">
        <v>9</v>
      </c>
      <c r="AI786">
        <v>9</v>
      </c>
      <c r="AJ786">
        <v>1</v>
      </c>
      <c r="AK786">
        <v>16</v>
      </c>
      <c r="AL786" t="s">
        <v>6158</v>
      </c>
      <c r="AM786" t="s">
        <v>6159</v>
      </c>
      <c r="AN786" t="s">
        <v>6160</v>
      </c>
      <c r="AO786" t="s">
        <v>11238</v>
      </c>
      <c r="AP786" t="s">
        <v>11239</v>
      </c>
      <c r="AQ786" t="s">
        <v>74</v>
      </c>
      <c r="AR786" t="s">
        <v>11240</v>
      </c>
      <c r="AS786" t="s">
        <v>11241</v>
      </c>
      <c r="AT786" t="s">
        <v>6722</v>
      </c>
      <c r="AU786">
        <v>2019</v>
      </c>
      <c r="AV786">
        <v>135</v>
      </c>
      <c r="AW786" t="s">
        <v>74</v>
      </c>
      <c r="AX786" t="s">
        <v>74</v>
      </c>
      <c r="AY786" t="s">
        <v>74</v>
      </c>
      <c r="AZ786" t="s">
        <v>74</v>
      </c>
      <c r="BA786" t="s">
        <v>74</v>
      </c>
      <c r="BB786">
        <v>67</v>
      </c>
      <c r="BC786">
        <v>77</v>
      </c>
      <c r="BD786" t="s">
        <v>74</v>
      </c>
      <c r="BE786" t="s">
        <v>15278</v>
      </c>
      <c r="BF786" t="str">
        <f>HYPERLINK("http://dx.doi.org/10.1016/j.ympev.2019.02.023","http://dx.doi.org/10.1016/j.ympev.2019.02.023")</f>
        <v>http://dx.doi.org/10.1016/j.ympev.2019.02.023</v>
      </c>
      <c r="BG786" t="s">
        <v>74</v>
      </c>
      <c r="BH786" t="s">
        <v>74</v>
      </c>
      <c r="BI786">
        <v>11</v>
      </c>
      <c r="BJ786" t="s">
        <v>3115</v>
      </c>
      <c r="BK786" t="s">
        <v>101</v>
      </c>
      <c r="BL786" t="s">
        <v>3115</v>
      </c>
      <c r="BM786" t="s">
        <v>15279</v>
      </c>
      <c r="BN786">
        <v>30849429</v>
      </c>
      <c r="BO786" t="s">
        <v>74</v>
      </c>
      <c r="BP786" t="s">
        <v>74</v>
      </c>
      <c r="BQ786" t="s">
        <v>74</v>
      </c>
      <c r="BR786" t="s">
        <v>103</v>
      </c>
      <c r="BS786" t="s">
        <v>15280</v>
      </c>
      <c r="BT786" t="str">
        <f>HYPERLINK("https%3A%2F%2Fwww.webofscience.com%2Fwos%2Fwoscc%2Ffull-record%2FWOS:000465983800007","View Full Record in Web of Science")</f>
        <v>View Full Record in Web of Science</v>
      </c>
    </row>
    <row r="787" spans="1:72" x14ac:dyDescent="0.15">
      <c r="A787" t="s">
        <v>72</v>
      </c>
      <c r="B787" t="s">
        <v>15281</v>
      </c>
      <c r="C787" t="s">
        <v>74</v>
      </c>
      <c r="D787" t="s">
        <v>74</v>
      </c>
      <c r="E787" t="s">
        <v>74</v>
      </c>
      <c r="F787" t="s">
        <v>15282</v>
      </c>
      <c r="G787" t="s">
        <v>74</v>
      </c>
      <c r="H787" t="s">
        <v>74</v>
      </c>
      <c r="I787" t="s">
        <v>15283</v>
      </c>
      <c r="J787" t="s">
        <v>11225</v>
      </c>
      <c r="K787" t="s">
        <v>74</v>
      </c>
      <c r="L787" t="s">
        <v>74</v>
      </c>
      <c r="M787" t="s">
        <v>78</v>
      </c>
      <c r="N787" t="s">
        <v>108</v>
      </c>
      <c r="O787" t="s">
        <v>74</v>
      </c>
      <c r="P787" t="s">
        <v>74</v>
      </c>
      <c r="Q787" t="s">
        <v>74</v>
      </c>
      <c r="R787" t="s">
        <v>74</v>
      </c>
      <c r="S787" t="s">
        <v>74</v>
      </c>
      <c r="T787" t="s">
        <v>15284</v>
      </c>
      <c r="U787" t="s">
        <v>15285</v>
      </c>
      <c r="V787" t="s">
        <v>15286</v>
      </c>
      <c r="W787" t="s">
        <v>15287</v>
      </c>
      <c r="X787" t="s">
        <v>15288</v>
      </c>
      <c r="Y787" t="s">
        <v>15289</v>
      </c>
      <c r="Z787" t="s">
        <v>15290</v>
      </c>
      <c r="AA787" t="s">
        <v>15291</v>
      </c>
      <c r="AB787" t="s">
        <v>15292</v>
      </c>
      <c r="AC787" t="s">
        <v>15293</v>
      </c>
      <c r="AD787" t="s">
        <v>15294</v>
      </c>
      <c r="AE787" t="s">
        <v>15295</v>
      </c>
      <c r="AF787" t="s">
        <v>74</v>
      </c>
      <c r="AG787">
        <v>75</v>
      </c>
      <c r="AH787">
        <v>10</v>
      </c>
      <c r="AI787">
        <v>10</v>
      </c>
      <c r="AJ787">
        <v>5</v>
      </c>
      <c r="AK787">
        <v>20</v>
      </c>
      <c r="AL787" t="s">
        <v>6158</v>
      </c>
      <c r="AM787" t="s">
        <v>6159</v>
      </c>
      <c r="AN787" t="s">
        <v>6160</v>
      </c>
      <c r="AO787" t="s">
        <v>11238</v>
      </c>
      <c r="AP787" t="s">
        <v>11239</v>
      </c>
      <c r="AQ787" t="s">
        <v>74</v>
      </c>
      <c r="AR787" t="s">
        <v>11240</v>
      </c>
      <c r="AS787" t="s">
        <v>11241</v>
      </c>
      <c r="AT787" t="s">
        <v>6722</v>
      </c>
      <c r="AU787">
        <v>2019</v>
      </c>
      <c r="AV787">
        <v>135</v>
      </c>
      <c r="AW787" t="s">
        <v>74</v>
      </c>
      <c r="AX787" t="s">
        <v>74</v>
      </c>
      <c r="AY787" t="s">
        <v>74</v>
      </c>
      <c r="AZ787" t="s">
        <v>74</v>
      </c>
      <c r="BA787" t="s">
        <v>74</v>
      </c>
      <c r="BB787">
        <v>86</v>
      </c>
      <c r="BC787">
        <v>97</v>
      </c>
      <c r="BD787" t="s">
        <v>74</v>
      </c>
      <c r="BE787" t="s">
        <v>15296</v>
      </c>
      <c r="BF787" t="str">
        <f>HYPERLINK("http://dx.doi.org/10.1016/j.ympev.2019.02.003","http://dx.doi.org/10.1016/j.ympev.2019.02.003")</f>
        <v>http://dx.doi.org/10.1016/j.ympev.2019.02.003</v>
      </c>
      <c r="BG787" t="s">
        <v>74</v>
      </c>
      <c r="BH787" t="s">
        <v>74</v>
      </c>
      <c r="BI787">
        <v>12</v>
      </c>
      <c r="BJ787" t="s">
        <v>3115</v>
      </c>
      <c r="BK787" t="s">
        <v>101</v>
      </c>
      <c r="BL787" t="s">
        <v>3115</v>
      </c>
      <c r="BM787" t="s">
        <v>15279</v>
      </c>
      <c r="BN787">
        <v>30771513</v>
      </c>
      <c r="BO787" t="s">
        <v>15297</v>
      </c>
      <c r="BP787" t="s">
        <v>74</v>
      </c>
      <c r="BQ787" t="s">
        <v>74</v>
      </c>
      <c r="BR787" t="s">
        <v>103</v>
      </c>
      <c r="BS787" t="s">
        <v>15298</v>
      </c>
      <c r="BT787" t="str">
        <f>HYPERLINK("https%3A%2F%2Fwww.webofscience.com%2Fwos%2Fwoscc%2Ffull-record%2FWOS:000465983800009","View Full Record in Web of Science")</f>
        <v>View Full Record in Web of Science</v>
      </c>
    </row>
    <row r="788" spans="1:72" x14ac:dyDescent="0.15">
      <c r="A788" t="s">
        <v>72</v>
      </c>
      <c r="B788" t="s">
        <v>15299</v>
      </c>
      <c r="C788" t="s">
        <v>74</v>
      </c>
      <c r="D788" t="s">
        <v>74</v>
      </c>
      <c r="E788" t="s">
        <v>74</v>
      </c>
      <c r="F788" t="s">
        <v>15300</v>
      </c>
      <c r="G788" t="s">
        <v>74</v>
      </c>
      <c r="H788" t="s">
        <v>74</v>
      </c>
      <c r="I788" t="s">
        <v>15301</v>
      </c>
      <c r="J788" t="s">
        <v>15302</v>
      </c>
      <c r="K788" t="s">
        <v>74</v>
      </c>
      <c r="L788" t="s">
        <v>74</v>
      </c>
      <c r="M788" t="s">
        <v>78</v>
      </c>
      <c r="N788" t="s">
        <v>79</v>
      </c>
      <c r="O788" t="s">
        <v>74</v>
      </c>
      <c r="P788" t="s">
        <v>74</v>
      </c>
      <c r="Q788" t="s">
        <v>74</v>
      </c>
      <c r="R788" t="s">
        <v>74</v>
      </c>
      <c r="S788" t="s">
        <v>74</v>
      </c>
      <c r="T788" t="s">
        <v>15303</v>
      </c>
      <c r="U788" t="s">
        <v>15304</v>
      </c>
      <c r="V788" t="s">
        <v>15305</v>
      </c>
      <c r="W788" t="s">
        <v>15306</v>
      </c>
      <c r="X788" t="s">
        <v>15307</v>
      </c>
      <c r="Y788" t="s">
        <v>15308</v>
      </c>
      <c r="Z788" t="s">
        <v>15309</v>
      </c>
      <c r="AA788" t="s">
        <v>15310</v>
      </c>
      <c r="AB788" t="s">
        <v>15311</v>
      </c>
      <c r="AC788" t="s">
        <v>15312</v>
      </c>
      <c r="AD788" t="s">
        <v>15313</v>
      </c>
      <c r="AE788" t="s">
        <v>15314</v>
      </c>
      <c r="AF788" t="s">
        <v>74</v>
      </c>
      <c r="AG788">
        <v>453</v>
      </c>
      <c r="AH788">
        <v>43</v>
      </c>
      <c r="AI788">
        <v>48</v>
      </c>
      <c r="AJ788">
        <v>4</v>
      </c>
      <c r="AK788">
        <v>47</v>
      </c>
      <c r="AL788" t="s">
        <v>154</v>
      </c>
      <c r="AM788" t="s">
        <v>155</v>
      </c>
      <c r="AN788" t="s">
        <v>156</v>
      </c>
      <c r="AO788" t="s">
        <v>15315</v>
      </c>
      <c r="AP788" t="s">
        <v>15316</v>
      </c>
      <c r="AQ788" t="s">
        <v>74</v>
      </c>
      <c r="AR788" t="s">
        <v>15317</v>
      </c>
      <c r="AS788" t="s">
        <v>15318</v>
      </c>
      <c r="AT788" t="s">
        <v>6722</v>
      </c>
      <c r="AU788">
        <v>2019</v>
      </c>
      <c r="AV788">
        <v>215</v>
      </c>
      <c r="AW788">
        <v>4</v>
      </c>
      <c r="AX788" t="s">
        <v>74</v>
      </c>
      <c r="AY788" t="s">
        <v>74</v>
      </c>
      <c r="AZ788" t="s">
        <v>74</v>
      </c>
      <c r="BA788" t="s">
        <v>74</v>
      </c>
      <c r="BB788" t="s">
        <v>74</v>
      </c>
      <c r="BC788" t="s">
        <v>74</v>
      </c>
      <c r="BD788">
        <v>34</v>
      </c>
      <c r="BE788" t="s">
        <v>15319</v>
      </c>
      <c r="BF788" t="str">
        <f>HYPERLINK("http://dx.doi.org/10.1007/s11214-019-0597-7","http://dx.doi.org/10.1007/s11214-019-0597-7")</f>
        <v>http://dx.doi.org/10.1007/s11214-019-0597-7</v>
      </c>
      <c r="BG788" t="s">
        <v>74</v>
      </c>
      <c r="BH788" t="s">
        <v>74</v>
      </c>
      <c r="BI788">
        <v>62</v>
      </c>
      <c r="BJ788" t="s">
        <v>1696</v>
      </c>
      <c r="BK788" t="s">
        <v>101</v>
      </c>
      <c r="BL788" t="s">
        <v>1696</v>
      </c>
      <c r="BM788" t="s">
        <v>15320</v>
      </c>
      <c r="BN788" t="s">
        <v>74</v>
      </c>
      <c r="BO788" t="s">
        <v>261</v>
      </c>
      <c r="BP788" t="s">
        <v>74</v>
      </c>
      <c r="BQ788" t="s">
        <v>74</v>
      </c>
      <c r="BR788" t="s">
        <v>103</v>
      </c>
      <c r="BS788" t="s">
        <v>15321</v>
      </c>
      <c r="BT788" t="str">
        <f>HYPERLINK("https%3A%2F%2Fwww.webofscience.com%2Fwos%2Fwoscc%2Ffull-record%2FWOS:000468623100002","View Full Record in Web of Science")</f>
        <v>View Full Record in Web of Science</v>
      </c>
    </row>
    <row r="789" spans="1:72" x14ac:dyDescent="0.15">
      <c r="A789" t="s">
        <v>72</v>
      </c>
      <c r="B789" t="s">
        <v>15322</v>
      </c>
      <c r="C789" t="s">
        <v>74</v>
      </c>
      <c r="D789" t="s">
        <v>74</v>
      </c>
      <c r="E789" t="s">
        <v>74</v>
      </c>
      <c r="F789" t="s">
        <v>15323</v>
      </c>
      <c r="G789" t="s">
        <v>74</v>
      </c>
      <c r="H789" t="s">
        <v>74</v>
      </c>
      <c r="I789" t="s">
        <v>15324</v>
      </c>
      <c r="J789" t="s">
        <v>15325</v>
      </c>
      <c r="K789" t="s">
        <v>74</v>
      </c>
      <c r="L789" t="s">
        <v>74</v>
      </c>
      <c r="M789" t="s">
        <v>78</v>
      </c>
      <c r="N789" t="s">
        <v>778</v>
      </c>
      <c r="O789" t="s">
        <v>15326</v>
      </c>
      <c r="P789" t="s">
        <v>15327</v>
      </c>
      <c r="Q789" t="s">
        <v>15328</v>
      </c>
      <c r="R789" t="s">
        <v>74</v>
      </c>
      <c r="S789" t="s">
        <v>74</v>
      </c>
      <c r="T789" t="s">
        <v>74</v>
      </c>
      <c r="U789" t="s">
        <v>15329</v>
      </c>
      <c r="V789" t="s">
        <v>15330</v>
      </c>
      <c r="W789" t="s">
        <v>15331</v>
      </c>
      <c r="X789" t="s">
        <v>15332</v>
      </c>
      <c r="Y789" t="s">
        <v>15333</v>
      </c>
      <c r="Z789" t="s">
        <v>15334</v>
      </c>
      <c r="AA789" t="s">
        <v>15335</v>
      </c>
      <c r="AB789" t="s">
        <v>15336</v>
      </c>
      <c r="AC789" t="s">
        <v>15337</v>
      </c>
      <c r="AD789" t="s">
        <v>15338</v>
      </c>
      <c r="AE789" t="s">
        <v>15339</v>
      </c>
      <c r="AF789" t="s">
        <v>74</v>
      </c>
      <c r="AG789">
        <v>48</v>
      </c>
      <c r="AH789">
        <v>2</v>
      </c>
      <c r="AI789">
        <v>2</v>
      </c>
      <c r="AJ789">
        <v>1</v>
      </c>
      <c r="AK789">
        <v>3</v>
      </c>
      <c r="AL789" t="s">
        <v>1140</v>
      </c>
      <c r="AM789" t="s">
        <v>1141</v>
      </c>
      <c r="AN789" t="s">
        <v>1142</v>
      </c>
      <c r="AO789" t="s">
        <v>15340</v>
      </c>
      <c r="AP789" t="s">
        <v>15341</v>
      </c>
      <c r="AQ789" t="s">
        <v>74</v>
      </c>
      <c r="AR789" t="s">
        <v>15325</v>
      </c>
      <c r="AS789" t="s">
        <v>15342</v>
      </c>
      <c r="AT789" t="s">
        <v>6722</v>
      </c>
      <c r="AU789">
        <v>2019</v>
      </c>
      <c r="AV789">
        <v>31</v>
      </c>
      <c r="AW789">
        <v>3</v>
      </c>
      <c r="AX789" t="s">
        <v>74</v>
      </c>
      <c r="AY789" t="s">
        <v>74</v>
      </c>
      <c r="AZ789" t="s">
        <v>74</v>
      </c>
      <c r="BA789" t="s">
        <v>74</v>
      </c>
      <c r="BB789">
        <v>271</v>
      </c>
      <c r="BC789">
        <v>280</v>
      </c>
      <c r="BD789" t="s">
        <v>74</v>
      </c>
      <c r="BE789" t="s">
        <v>15343</v>
      </c>
      <c r="BF789" t="str">
        <f>HYPERLINK("http://dx.doi.org/10.1111/ter.12396","http://dx.doi.org/10.1111/ter.12396")</f>
        <v>http://dx.doi.org/10.1111/ter.12396</v>
      </c>
      <c r="BG789" t="s">
        <v>74</v>
      </c>
      <c r="BH789" t="s">
        <v>74</v>
      </c>
      <c r="BI789">
        <v>10</v>
      </c>
      <c r="BJ789" t="s">
        <v>471</v>
      </c>
      <c r="BK789" t="s">
        <v>798</v>
      </c>
      <c r="BL789" t="s">
        <v>472</v>
      </c>
      <c r="BM789" t="s">
        <v>15344</v>
      </c>
      <c r="BN789" t="s">
        <v>74</v>
      </c>
      <c r="BO789" t="s">
        <v>74</v>
      </c>
      <c r="BP789" t="s">
        <v>74</v>
      </c>
      <c r="BQ789" t="s">
        <v>74</v>
      </c>
      <c r="BR789" t="s">
        <v>103</v>
      </c>
      <c r="BS789" t="s">
        <v>15345</v>
      </c>
      <c r="BT789" t="str">
        <f>HYPERLINK("https%3A%2F%2Fwww.webofscience.com%2Fwos%2Fwoscc%2Ffull-record%2FWOS:000468472100012","View Full Record in Web of Science")</f>
        <v>View Full Record in Web of Science</v>
      </c>
    </row>
    <row r="790" spans="1:72" x14ac:dyDescent="0.15">
      <c r="A790" t="s">
        <v>72</v>
      </c>
      <c r="B790" t="s">
        <v>15346</v>
      </c>
      <c r="C790" t="s">
        <v>74</v>
      </c>
      <c r="D790" t="s">
        <v>74</v>
      </c>
      <c r="E790" t="s">
        <v>74</v>
      </c>
      <c r="F790" t="s">
        <v>15347</v>
      </c>
      <c r="G790" t="s">
        <v>74</v>
      </c>
      <c r="H790" t="s">
        <v>74</v>
      </c>
      <c r="I790" t="s">
        <v>15348</v>
      </c>
      <c r="J790" t="s">
        <v>4531</v>
      </c>
      <c r="K790" t="s">
        <v>74</v>
      </c>
      <c r="L790" t="s">
        <v>74</v>
      </c>
      <c r="M790" t="s">
        <v>78</v>
      </c>
      <c r="N790" t="s">
        <v>2711</v>
      </c>
      <c r="O790" t="s">
        <v>74</v>
      </c>
      <c r="P790" t="s">
        <v>74</v>
      </c>
      <c r="Q790" t="s">
        <v>74</v>
      </c>
      <c r="R790" t="s">
        <v>74</v>
      </c>
      <c r="S790" t="s">
        <v>74</v>
      </c>
      <c r="T790" t="s">
        <v>74</v>
      </c>
      <c r="U790" t="s">
        <v>15349</v>
      </c>
      <c r="V790" t="s">
        <v>74</v>
      </c>
      <c r="W790" t="s">
        <v>15350</v>
      </c>
      <c r="X790" t="s">
        <v>15351</v>
      </c>
      <c r="Y790" t="s">
        <v>15352</v>
      </c>
      <c r="Z790" t="s">
        <v>74</v>
      </c>
      <c r="AA790" t="s">
        <v>15353</v>
      </c>
      <c r="AB790" t="s">
        <v>15354</v>
      </c>
      <c r="AC790" t="s">
        <v>74</v>
      </c>
      <c r="AD790" t="s">
        <v>74</v>
      </c>
      <c r="AE790" t="s">
        <v>74</v>
      </c>
      <c r="AF790" t="s">
        <v>74</v>
      </c>
      <c r="AG790">
        <v>7</v>
      </c>
      <c r="AH790">
        <v>0</v>
      </c>
      <c r="AI790">
        <v>0</v>
      </c>
      <c r="AJ790">
        <v>0</v>
      </c>
      <c r="AK790">
        <v>0</v>
      </c>
      <c r="AL790" t="s">
        <v>302</v>
      </c>
      <c r="AM790" t="s">
        <v>4016</v>
      </c>
      <c r="AN790" t="s">
        <v>4542</v>
      </c>
      <c r="AO790" t="s">
        <v>4543</v>
      </c>
      <c r="AP790" t="s">
        <v>4544</v>
      </c>
      <c r="AQ790" t="s">
        <v>74</v>
      </c>
      <c r="AR790" t="s">
        <v>4545</v>
      </c>
      <c r="AS790" t="s">
        <v>4546</v>
      </c>
      <c r="AT790" t="s">
        <v>6722</v>
      </c>
      <c r="AU790">
        <v>2019</v>
      </c>
      <c r="AV790">
        <v>31</v>
      </c>
      <c r="AW790">
        <v>3</v>
      </c>
      <c r="AX790" t="s">
        <v>74</v>
      </c>
      <c r="AY790" t="s">
        <v>74</v>
      </c>
      <c r="AZ790" t="s">
        <v>74</v>
      </c>
      <c r="BA790" t="s">
        <v>74</v>
      </c>
      <c r="BB790">
        <v>107</v>
      </c>
      <c r="BC790">
        <v>108</v>
      </c>
      <c r="BD790" t="s">
        <v>74</v>
      </c>
      <c r="BE790" t="s">
        <v>15355</v>
      </c>
      <c r="BF790" t="str">
        <f>HYPERLINK("http://dx.doi.org/10.1017/S0954102019000233","http://dx.doi.org/10.1017/S0954102019000233")</f>
        <v>http://dx.doi.org/10.1017/S0954102019000233</v>
      </c>
      <c r="BG790" t="s">
        <v>74</v>
      </c>
      <c r="BH790" t="s">
        <v>74</v>
      </c>
      <c r="BI790">
        <v>2</v>
      </c>
      <c r="BJ790" t="s">
        <v>4549</v>
      </c>
      <c r="BK790" t="s">
        <v>101</v>
      </c>
      <c r="BL790" t="s">
        <v>4550</v>
      </c>
      <c r="BM790" t="s">
        <v>14327</v>
      </c>
      <c r="BN790" t="s">
        <v>74</v>
      </c>
      <c r="BO790" t="s">
        <v>1308</v>
      </c>
      <c r="BP790" t="s">
        <v>74</v>
      </c>
      <c r="BQ790" t="s">
        <v>74</v>
      </c>
      <c r="BR790" t="s">
        <v>103</v>
      </c>
      <c r="BS790" t="s">
        <v>15356</v>
      </c>
      <c r="BT790" t="str">
        <f>HYPERLINK("https%3A%2F%2Fwww.webofscience.com%2Fwos%2Fwoscc%2Ffull-record%2FWOS:000471672400001","View Full Record in Web of Science")</f>
        <v>View Full Record in Web of Science</v>
      </c>
    </row>
    <row r="791" spans="1:72" x14ac:dyDescent="0.15">
      <c r="A791" t="s">
        <v>72</v>
      </c>
      <c r="B791" t="s">
        <v>15357</v>
      </c>
      <c r="C791" t="s">
        <v>74</v>
      </c>
      <c r="D791" t="s">
        <v>74</v>
      </c>
      <c r="E791" t="s">
        <v>74</v>
      </c>
      <c r="F791" t="s">
        <v>15358</v>
      </c>
      <c r="G791" t="s">
        <v>74</v>
      </c>
      <c r="H791" t="s">
        <v>74</v>
      </c>
      <c r="I791" t="s">
        <v>15359</v>
      </c>
      <c r="J791" t="s">
        <v>2937</v>
      </c>
      <c r="K791" t="s">
        <v>74</v>
      </c>
      <c r="L791" t="s">
        <v>74</v>
      </c>
      <c r="M791" t="s">
        <v>78</v>
      </c>
      <c r="N791" t="s">
        <v>108</v>
      </c>
      <c r="O791" t="s">
        <v>74</v>
      </c>
      <c r="P791" t="s">
        <v>74</v>
      </c>
      <c r="Q791" t="s">
        <v>74</v>
      </c>
      <c r="R791" t="s">
        <v>74</v>
      </c>
      <c r="S791" t="s">
        <v>74</v>
      </c>
      <c r="T791" t="s">
        <v>15360</v>
      </c>
      <c r="U791" t="s">
        <v>15361</v>
      </c>
      <c r="V791" t="s">
        <v>15362</v>
      </c>
      <c r="W791" t="s">
        <v>15363</v>
      </c>
      <c r="X791" t="s">
        <v>15364</v>
      </c>
      <c r="Y791" t="s">
        <v>15365</v>
      </c>
      <c r="Z791" t="s">
        <v>15366</v>
      </c>
      <c r="AA791" t="s">
        <v>15367</v>
      </c>
      <c r="AB791" t="s">
        <v>15368</v>
      </c>
      <c r="AC791" t="s">
        <v>15369</v>
      </c>
      <c r="AD791" t="s">
        <v>15369</v>
      </c>
      <c r="AE791" t="s">
        <v>15370</v>
      </c>
      <c r="AF791" t="s">
        <v>74</v>
      </c>
      <c r="AG791">
        <v>63</v>
      </c>
      <c r="AH791">
        <v>60</v>
      </c>
      <c r="AI791">
        <v>61</v>
      </c>
      <c r="AJ791">
        <v>7</v>
      </c>
      <c r="AK791">
        <v>70</v>
      </c>
      <c r="AL791" t="s">
        <v>1140</v>
      </c>
      <c r="AM791" t="s">
        <v>1141</v>
      </c>
      <c r="AN791" t="s">
        <v>1142</v>
      </c>
      <c r="AO791" t="s">
        <v>2950</v>
      </c>
      <c r="AP791" t="s">
        <v>2951</v>
      </c>
      <c r="AQ791" t="s">
        <v>74</v>
      </c>
      <c r="AR791" t="s">
        <v>2952</v>
      </c>
      <c r="AS791" t="s">
        <v>2953</v>
      </c>
      <c r="AT791" t="s">
        <v>6722</v>
      </c>
      <c r="AU791">
        <v>2019</v>
      </c>
      <c r="AV791">
        <v>25</v>
      </c>
      <c r="AW791">
        <v>3</v>
      </c>
      <c r="AX791" t="s">
        <v>74</v>
      </c>
      <c r="AY791" t="s">
        <v>74</v>
      </c>
      <c r="AZ791" t="s">
        <v>74</v>
      </c>
      <c r="BA791" t="s">
        <v>74</v>
      </c>
      <c r="BB791">
        <v>633</v>
      </c>
      <c r="BC791">
        <v>645</v>
      </c>
      <c r="BD791" t="s">
        <v>74</v>
      </c>
      <c r="BE791" t="s">
        <v>15371</v>
      </c>
      <c r="BF791" t="str">
        <f>HYPERLINK("http://dx.doi.org/10.1111/anu.12885","http://dx.doi.org/10.1111/anu.12885")</f>
        <v>http://dx.doi.org/10.1111/anu.12885</v>
      </c>
      <c r="BG791" t="s">
        <v>74</v>
      </c>
      <c r="BH791" t="s">
        <v>74</v>
      </c>
      <c r="BI791">
        <v>13</v>
      </c>
      <c r="BJ791" t="s">
        <v>732</v>
      </c>
      <c r="BK791" t="s">
        <v>101</v>
      </c>
      <c r="BL791" t="s">
        <v>732</v>
      </c>
      <c r="BM791" t="s">
        <v>15372</v>
      </c>
      <c r="BN791" t="s">
        <v>74</v>
      </c>
      <c r="BO791" t="s">
        <v>366</v>
      </c>
      <c r="BP791" t="s">
        <v>74</v>
      </c>
      <c r="BQ791" t="s">
        <v>74</v>
      </c>
      <c r="BR791" t="s">
        <v>103</v>
      </c>
      <c r="BS791" t="s">
        <v>15373</v>
      </c>
      <c r="BT791" t="str">
        <f>HYPERLINK("https%3A%2F%2Fwww.webofscience.com%2Fwos%2Fwoscc%2Ffull-record%2FWOS:000466185300009","View Full Record in Web of Science")</f>
        <v>View Full Record in Web of Science</v>
      </c>
    </row>
    <row r="792" spans="1:72" x14ac:dyDescent="0.15">
      <c r="A792" t="s">
        <v>72</v>
      </c>
      <c r="B792" t="s">
        <v>15374</v>
      </c>
      <c r="C792" t="s">
        <v>74</v>
      </c>
      <c r="D792" t="s">
        <v>74</v>
      </c>
      <c r="E792" t="s">
        <v>74</v>
      </c>
      <c r="F792" t="s">
        <v>15375</v>
      </c>
      <c r="G792" t="s">
        <v>74</v>
      </c>
      <c r="H792" t="s">
        <v>74</v>
      </c>
      <c r="I792" t="s">
        <v>15376</v>
      </c>
      <c r="J792" t="s">
        <v>15092</v>
      </c>
      <c r="K792" t="s">
        <v>74</v>
      </c>
      <c r="L792" t="s">
        <v>74</v>
      </c>
      <c r="M792" t="s">
        <v>78</v>
      </c>
      <c r="N792" t="s">
        <v>108</v>
      </c>
      <c r="O792" t="s">
        <v>74</v>
      </c>
      <c r="P792" t="s">
        <v>74</v>
      </c>
      <c r="Q792" t="s">
        <v>74</v>
      </c>
      <c r="R792" t="s">
        <v>74</v>
      </c>
      <c r="S792" t="s">
        <v>74</v>
      </c>
      <c r="T792" t="s">
        <v>15377</v>
      </c>
      <c r="U792" t="s">
        <v>15378</v>
      </c>
      <c r="V792" t="s">
        <v>15379</v>
      </c>
      <c r="W792" t="s">
        <v>15380</v>
      </c>
      <c r="X792" t="s">
        <v>15381</v>
      </c>
      <c r="Y792" t="s">
        <v>15382</v>
      </c>
      <c r="Z792" t="s">
        <v>15383</v>
      </c>
      <c r="AA792" t="s">
        <v>15384</v>
      </c>
      <c r="AB792" t="s">
        <v>15385</v>
      </c>
      <c r="AC792" t="s">
        <v>15386</v>
      </c>
      <c r="AD792" t="s">
        <v>15387</v>
      </c>
      <c r="AE792" t="s">
        <v>15388</v>
      </c>
      <c r="AF792" t="s">
        <v>74</v>
      </c>
      <c r="AG792">
        <v>58</v>
      </c>
      <c r="AH792">
        <v>11</v>
      </c>
      <c r="AI792">
        <v>14</v>
      </c>
      <c r="AJ792">
        <v>0</v>
      </c>
      <c r="AK792">
        <v>6</v>
      </c>
      <c r="AL792" t="s">
        <v>1140</v>
      </c>
      <c r="AM792" t="s">
        <v>1141</v>
      </c>
      <c r="AN792" t="s">
        <v>1142</v>
      </c>
      <c r="AO792" t="s">
        <v>15105</v>
      </c>
      <c r="AP792" t="s">
        <v>15106</v>
      </c>
      <c r="AQ792" t="s">
        <v>74</v>
      </c>
      <c r="AR792" t="s">
        <v>15107</v>
      </c>
      <c r="AS792" t="s">
        <v>15108</v>
      </c>
      <c r="AT792" t="s">
        <v>6722</v>
      </c>
      <c r="AU792">
        <v>2019</v>
      </c>
      <c r="AV792">
        <v>31</v>
      </c>
      <c r="AW792">
        <v>3</v>
      </c>
      <c r="AX792" t="s">
        <v>74</v>
      </c>
      <c r="AY792" t="s">
        <v>74</v>
      </c>
      <c r="AZ792" t="s">
        <v>74</v>
      </c>
      <c r="BA792" t="s">
        <v>74</v>
      </c>
      <c r="BB792">
        <v>562</v>
      </c>
      <c r="BC792">
        <v>583</v>
      </c>
      <c r="BD792" t="s">
        <v>74</v>
      </c>
      <c r="BE792" t="s">
        <v>15389</v>
      </c>
      <c r="BF792" t="str">
        <f>HYPERLINK("http://dx.doi.org/10.1111/bre.12334","http://dx.doi.org/10.1111/bre.12334")</f>
        <v>http://dx.doi.org/10.1111/bre.12334</v>
      </c>
      <c r="BG792" t="s">
        <v>74</v>
      </c>
      <c r="BH792" t="s">
        <v>74</v>
      </c>
      <c r="BI792">
        <v>22</v>
      </c>
      <c r="BJ792" t="s">
        <v>471</v>
      </c>
      <c r="BK792" t="s">
        <v>101</v>
      </c>
      <c r="BL792" t="s">
        <v>472</v>
      </c>
      <c r="BM792" t="s">
        <v>15110</v>
      </c>
      <c r="BN792" t="s">
        <v>74</v>
      </c>
      <c r="BO792" t="s">
        <v>261</v>
      </c>
      <c r="BP792" t="s">
        <v>74</v>
      </c>
      <c r="BQ792" t="s">
        <v>74</v>
      </c>
      <c r="BR792" t="s">
        <v>103</v>
      </c>
      <c r="BS792" t="s">
        <v>15390</v>
      </c>
      <c r="BT792" t="str">
        <f>HYPERLINK("https%3A%2F%2Fwww.webofscience.com%2Fwos%2Fwoscc%2Ffull-record%2FWOS:000467748500007","View Full Record in Web of Science")</f>
        <v>View Full Record in Web of Science</v>
      </c>
    </row>
    <row r="793" spans="1:72" x14ac:dyDescent="0.15">
      <c r="A793" t="s">
        <v>72</v>
      </c>
      <c r="B793" t="s">
        <v>15391</v>
      </c>
      <c r="C793" t="s">
        <v>74</v>
      </c>
      <c r="D793" t="s">
        <v>74</v>
      </c>
      <c r="E793" t="s">
        <v>74</v>
      </c>
      <c r="F793" t="s">
        <v>15392</v>
      </c>
      <c r="G793" t="s">
        <v>74</v>
      </c>
      <c r="H793" t="s">
        <v>74</v>
      </c>
      <c r="I793" t="s">
        <v>15393</v>
      </c>
      <c r="J793" t="s">
        <v>9970</v>
      </c>
      <c r="K793" t="s">
        <v>74</v>
      </c>
      <c r="L793" t="s">
        <v>74</v>
      </c>
      <c r="M793" t="s">
        <v>78</v>
      </c>
      <c r="N793" t="s">
        <v>108</v>
      </c>
      <c r="O793" t="s">
        <v>74</v>
      </c>
      <c r="P793" t="s">
        <v>74</v>
      </c>
      <c r="Q793" t="s">
        <v>74</v>
      </c>
      <c r="R793" t="s">
        <v>74</v>
      </c>
      <c r="S793" t="s">
        <v>74</v>
      </c>
      <c r="T793" t="s">
        <v>15394</v>
      </c>
      <c r="U793" t="s">
        <v>15395</v>
      </c>
      <c r="V793" t="s">
        <v>15396</v>
      </c>
      <c r="W793" t="s">
        <v>15397</v>
      </c>
      <c r="X793" t="s">
        <v>15398</v>
      </c>
      <c r="Y793" t="s">
        <v>15399</v>
      </c>
      <c r="Z793" t="s">
        <v>15400</v>
      </c>
      <c r="AA793" t="s">
        <v>74</v>
      </c>
      <c r="AB793" t="s">
        <v>15401</v>
      </c>
      <c r="AC793" t="s">
        <v>15402</v>
      </c>
      <c r="AD793" t="s">
        <v>15402</v>
      </c>
      <c r="AE793" t="s">
        <v>15403</v>
      </c>
      <c r="AF793" t="s">
        <v>74</v>
      </c>
      <c r="AG793">
        <v>52</v>
      </c>
      <c r="AH793">
        <v>8</v>
      </c>
      <c r="AI793">
        <v>8</v>
      </c>
      <c r="AJ793">
        <v>7</v>
      </c>
      <c r="AK793">
        <v>184</v>
      </c>
      <c r="AL793" t="s">
        <v>9982</v>
      </c>
      <c r="AM793" t="s">
        <v>9983</v>
      </c>
      <c r="AN793" t="s">
        <v>9984</v>
      </c>
      <c r="AO793" t="s">
        <v>9985</v>
      </c>
      <c r="AP793" t="s">
        <v>9986</v>
      </c>
      <c r="AQ793" t="s">
        <v>74</v>
      </c>
      <c r="AR793" t="s">
        <v>9987</v>
      </c>
      <c r="AS793" t="s">
        <v>9988</v>
      </c>
      <c r="AT793" t="s">
        <v>6722</v>
      </c>
      <c r="AU793">
        <v>2019</v>
      </c>
      <c r="AV793">
        <v>97</v>
      </c>
      <c r="AW793">
        <v>6</v>
      </c>
      <c r="AX793" t="s">
        <v>74</v>
      </c>
      <c r="AY793" t="s">
        <v>74</v>
      </c>
      <c r="AZ793" t="s">
        <v>74</v>
      </c>
      <c r="BA793" t="s">
        <v>74</v>
      </c>
      <c r="BB793">
        <v>573</v>
      </c>
      <c r="BC793">
        <v>578</v>
      </c>
      <c r="BD793" t="s">
        <v>74</v>
      </c>
      <c r="BE793" t="s">
        <v>15404</v>
      </c>
      <c r="BF793" t="str">
        <f>HYPERLINK("http://dx.doi.org/10.1139/cjz-2018-0203","http://dx.doi.org/10.1139/cjz-2018-0203")</f>
        <v>http://dx.doi.org/10.1139/cjz-2018-0203</v>
      </c>
      <c r="BG793" t="s">
        <v>74</v>
      </c>
      <c r="BH793" t="s">
        <v>74</v>
      </c>
      <c r="BI793">
        <v>6</v>
      </c>
      <c r="BJ793" t="s">
        <v>1348</v>
      </c>
      <c r="BK793" t="s">
        <v>101</v>
      </c>
      <c r="BL793" t="s">
        <v>1348</v>
      </c>
      <c r="BM793" t="s">
        <v>15405</v>
      </c>
      <c r="BN793" t="s">
        <v>74</v>
      </c>
      <c r="BO793" t="s">
        <v>537</v>
      </c>
      <c r="BP793" t="s">
        <v>74</v>
      </c>
      <c r="BQ793" t="s">
        <v>74</v>
      </c>
      <c r="BR793" t="s">
        <v>103</v>
      </c>
      <c r="BS793" t="s">
        <v>15406</v>
      </c>
      <c r="BT793" t="str">
        <f>HYPERLINK("https%3A%2F%2Fwww.webofscience.com%2Fwos%2Fwoscc%2Ffull-record%2FWOS:000471137500011","View Full Record in Web of Science")</f>
        <v>View Full Record in Web of Science</v>
      </c>
    </row>
    <row r="794" spans="1:72" x14ac:dyDescent="0.15">
      <c r="A794" t="s">
        <v>72</v>
      </c>
      <c r="B794" t="s">
        <v>15407</v>
      </c>
      <c r="C794" t="s">
        <v>74</v>
      </c>
      <c r="D794" t="s">
        <v>74</v>
      </c>
      <c r="E794" t="s">
        <v>74</v>
      </c>
      <c r="F794" t="s">
        <v>15408</v>
      </c>
      <c r="G794" t="s">
        <v>74</v>
      </c>
      <c r="H794" t="s">
        <v>74</v>
      </c>
      <c r="I794" t="s">
        <v>15409</v>
      </c>
      <c r="J794" t="s">
        <v>2318</v>
      </c>
      <c r="K794" t="s">
        <v>74</v>
      </c>
      <c r="L794" t="s">
        <v>74</v>
      </c>
      <c r="M794" t="s">
        <v>78</v>
      </c>
      <c r="N794" t="s">
        <v>2711</v>
      </c>
      <c r="O794" t="s">
        <v>74</v>
      </c>
      <c r="P794" t="s">
        <v>74</v>
      </c>
      <c r="Q794" t="s">
        <v>74</v>
      </c>
      <c r="R794" t="s">
        <v>74</v>
      </c>
      <c r="S794" t="s">
        <v>74</v>
      </c>
      <c r="T794" t="s">
        <v>74</v>
      </c>
      <c r="U794" t="s">
        <v>15410</v>
      </c>
      <c r="V794" t="s">
        <v>74</v>
      </c>
      <c r="W794" t="s">
        <v>15411</v>
      </c>
      <c r="X794" t="s">
        <v>15412</v>
      </c>
      <c r="Y794" t="s">
        <v>15413</v>
      </c>
      <c r="Z794" t="s">
        <v>15414</v>
      </c>
      <c r="AA794" t="s">
        <v>15415</v>
      </c>
      <c r="AB794" t="s">
        <v>15416</v>
      </c>
      <c r="AC794" t="s">
        <v>15417</v>
      </c>
      <c r="AD794" t="s">
        <v>15418</v>
      </c>
      <c r="AE794" t="s">
        <v>15419</v>
      </c>
      <c r="AF794" t="s">
        <v>74</v>
      </c>
      <c r="AG794">
        <v>26</v>
      </c>
      <c r="AH794">
        <v>1</v>
      </c>
      <c r="AI794">
        <v>1</v>
      </c>
      <c r="AJ794">
        <v>0</v>
      </c>
      <c r="AK794">
        <v>9</v>
      </c>
      <c r="AL794" t="s">
        <v>1140</v>
      </c>
      <c r="AM794" t="s">
        <v>1141</v>
      </c>
      <c r="AN794" t="s">
        <v>1142</v>
      </c>
      <c r="AO794" t="s">
        <v>2330</v>
      </c>
      <c r="AP794" t="s">
        <v>2331</v>
      </c>
      <c r="AQ794" t="s">
        <v>74</v>
      </c>
      <c r="AR794" t="s">
        <v>2332</v>
      </c>
      <c r="AS794" t="s">
        <v>2333</v>
      </c>
      <c r="AT794" t="s">
        <v>6722</v>
      </c>
      <c r="AU794">
        <v>2019</v>
      </c>
      <c r="AV794">
        <v>33</v>
      </c>
      <c r="AW794">
        <v>3</v>
      </c>
      <c r="AX794" t="s">
        <v>74</v>
      </c>
      <c r="AY794" t="s">
        <v>74</v>
      </c>
      <c r="AZ794" t="s">
        <v>74</v>
      </c>
      <c r="BA794" t="s">
        <v>74</v>
      </c>
      <c r="BB794">
        <v>729</v>
      </c>
      <c r="BC794">
        <v>732</v>
      </c>
      <c r="BD794" t="s">
        <v>74</v>
      </c>
      <c r="BE794" t="s">
        <v>15420</v>
      </c>
      <c r="BF794" t="str">
        <f>HYPERLINK("http://dx.doi.org/10.1111/cobi.13224","http://dx.doi.org/10.1111/cobi.13224")</f>
        <v>http://dx.doi.org/10.1111/cobi.13224</v>
      </c>
      <c r="BG794" t="s">
        <v>74</v>
      </c>
      <c r="BH794" t="s">
        <v>74</v>
      </c>
      <c r="BI794">
        <v>4</v>
      </c>
      <c r="BJ794" t="s">
        <v>1645</v>
      </c>
      <c r="BK794" t="s">
        <v>101</v>
      </c>
      <c r="BL794" t="s">
        <v>1646</v>
      </c>
      <c r="BM794" t="s">
        <v>15421</v>
      </c>
      <c r="BN794">
        <v>30251382</v>
      </c>
      <c r="BO794" t="s">
        <v>74</v>
      </c>
      <c r="BP794" t="s">
        <v>74</v>
      </c>
      <c r="BQ794" t="s">
        <v>74</v>
      </c>
      <c r="BR794" t="s">
        <v>103</v>
      </c>
      <c r="BS794" t="s">
        <v>15422</v>
      </c>
      <c r="BT794" t="str">
        <f>HYPERLINK("https%3A%2F%2Fwww.webofscience.com%2Fwos%2Fwoscc%2Ffull-record%2FWOS:000467327300025","View Full Record in Web of Science")</f>
        <v>View Full Record in Web of Science</v>
      </c>
    </row>
    <row r="795" spans="1:72" x14ac:dyDescent="0.15">
      <c r="A795" t="s">
        <v>72</v>
      </c>
      <c r="B795" t="s">
        <v>15423</v>
      </c>
      <c r="C795" t="s">
        <v>74</v>
      </c>
      <c r="D795" t="s">
        <v>74</v>
      </c>
      <c r="E795" t="s">
        <v>74</v>
      </c>
      <c r="F795" t="s">
        <v>15424</v>
      </c>
      <c r="G795" t="s">
        <v>74</v>
      </c>
      <c r="H795" t="s">
        <v>74</v>
      </c>
      <c r="I795" t="s">
        <v>15425</v>
      </c>
      <c r="J795" t="s">
        <v>15426</v>
      </c>
      <c r="K795" t="s">
        <v>74</v>
      </c>
      <c r="L795" t="s">
        <v>74</v>
      </c>
      <c r="M795" t="s">
        <v>78</v>
      </c>
      <c r="N795" t="s">
        <v>108</v>
      </c>
      <c r="O795" t="s">
        <v>74</v>
      </c>
      <c r="P795" t="s">
        <v>74</v>
      </c>
      <c r="Q795" t="s">
        <v>74</v>
      </c>
      <c r="R795" t="s">
        <v>74</v>
      </c>
      <c r="S795" t="s">
        <v>74</v>
      </c>
      <c r="T795" t="s">
        <v>15427</v>
      </c>
      <c r="U795" t="s">
        <v>15428</v>
      </c>
      <c r="V795" t="s">
        <v>15429</v>
      </c>
      <c r="W795" t="s">
        <v>15430</v>
      </c>
      <c r="X795" t="s">
        <v>15431</v>
      </c>
      <c r="Y795" t="s">
        <v>15432</v>
      </c>
      <c r="Z795" t="s">
        <v>15433</v>
      </c>
      <c r="AA795" t="s">
        <v>15434</v>
      </c>
      <c r="AB795" t="s">
        <v>15435</v>
      </c>
      <c r="AC795" t="s">
        <v>15436</v>
      </c>
      <c r="AD795" t="s">
        <v>15437</v>
      </c>
      <c r="AE795" t="s">
        <v>15438</v>
      </c>
      <c r="AF795" t="s">
        <v>74</v>
      </c>
      <c r="AG795">
        <v>74</v>
      </c>
      <c r="AH795">
        <v>31</v>
      </c>
      <c r="AI795">
        <v>34</v>
      </c>
      <c r="AJ795">
        <v>3</v>
      </c>
      <c r="AK795">
        <v>18</v>
      </c>
      <c r="AL795" t="s">
        <v>3615</v>
      </c>
      <c r="AM795" t="s">
        <v>3616</v>
      </c>
      <c r="AN795" t="s">
        <v>3617</v>
      </c>
      <c r="AO795" t="s">
        <v>74</v>
      </c>
      <c r="AP795" t="s">
        <v>15439</v>
      </c>
      <c r="AQ795" t="s">
        <v>74</v>
      </c>
      <c r="AR795" t="s">
        <v>15440</v>
      </c>
      <c r="AS795" t="s">
        <v>15441</v>
      </c>
      <c r="AT795" t="s">
        <v>6722</v>
      </c>
      <c r="AU795">
        <v>2019</v>
      </c>
      <c r="AV795">
        <v>3</v>
      </c>
      <c r="AW795">
        <v>2</v>
      </c>
      <c r="AX795" t="s">
        <v>74</v>
      </c>
      <c r="AY795" t="s">
        <v>74</v>
      </c>
      <c r="AZ795" t="s">
        <v>74</v>
      </c>
      <c r="BA795" t="s">
        <v>74</v>
      </c>
      <c r="BB795" t="s">
        <v>74</v>
      </c>
      <c r="BC795" t="s">
        <v>74</v>
      </c>
      <c r="BD795">
        <v>39</v>
      </c>
      <c r="BE795" t="s">
        <v>15442</v>
      </c>
      <c r="BF795" t="str">
        <f>HYPERLINK("http://dx.doi.org/10.3390/drones3020039","http://dx.doi.org/10.3390/drones3020039")</f>
        <v>http://dx.doi.org/10.3390/drones3020039</v>
      </c>
      <c r="BG795" t="s">
        <v>74</v>
      </c>
      <c r="BH795" t="s">
        <v>74</v>
      </c>
      <c r="BI795">
        <v>22</v>
      </c>
      <c r="BJ795" t="s">
        <v>10587</v>
      </c>
      <c r="BK795" t="s">
        <v>101</v>
      </c>
      <c r="BL795" t="s">
        <v>10587</v>
      </c>
      <c r="BM795" t="s">
        <v>15443</v>
      </c>
      <c r="BN795" t="s">
        <v>74</v>
      </c>
      <c r="BO795" t="s">
        <v>9492</v>
      </c>
      <c r="BP795" t="s">
        <v>74</v>
      </c>
      <c r="BQ795" t="s">
        <v>74</v>
      </c>
      <c r="BR795" t="s">
        <v>103</v>
      </c>
      <c r="BS795" t="s">
        <v>15444</v>
      </c>
      <c r="BT795" t="str">
        <f>HYPERLINK("https%3A%2F%2Fwww.webofscience.com%2Fwos%2Fwoscc%2Ffull-record%2FWOS:000682821900009","View Full Record in Web of Science")</f>
        <v>View Full Record in Web of Science</v>
      </c>
    </row>
    <row r="796" spans="1:72" x14ac:dyDescent="0.15">
      <c r="A796" t="s">
        <v>72</v>
      </c>
      <c r="B796" t="s">
        <v>15445</v>
      </c>
      <c r="C796" t="s">
        <v>74</v>
      </c>
      <c r="D796" t="s">
        <v>74</v>
      </c>
      <c r="E796" t="s">
        <v>74</v>
      </c>
      <c r="F796" t="s">
        <v>15446</v>
      </c>
      <c r="G796" t="s">
        <v>74</v>
      </c>
      <c r="H796" t="s">
        <v>74</v>
      </c>
      <c r="I796" t="s">
        <v>15447</v>
      </c>
      <c r="J796" t="s">
        <v>5910</v>
      </c>
      <c r="K796" t="s">
        <v>74</v>
      </c>
      <c r="L796" t="s">
        <v>74</v>
      </c>
      <c r="M796" t="s">
        <v>78</v>
      </c>
      <c r="N796" t="s">
        <v>108</v>
      </c>
      <c r="O796" t="s">
        <v>74</v>
      </c>
      <c r="P796" t="s">
        <v>74</v>
      </c>
      <c r="Q796" t="s">
        <v>74</v>
      </c>
      <c r="R796" t="s">
        <v>74</v>
      </c>
      <c r="S796" t="s">
        <v>74</v>
      </c>
      <c r="T796" t="s">
        <v>15448</v>
      </c>
      <c r="U796" t="s">
        <v>15449</v>
      </c>
      <c r="V796" t="s">
        <v>15450</v>
      </c>
      <c r="W796" t="s">
        <v>15451</v>
      </c>
      <c r="X796" t="s">
        <v>15452</v>
      </c>
      <c r="Y796" t="s">
        <v>15453</v>
      </c>
      <c r="Z796" t="s">
        <v>15454</v>
      </c>
      <c r="AA796" t="s">
        <v>15455</v>
      </c>
      <c r="AB796" t="s">
        <v>15456</v>
      </c>
      <c r="AC796" t="s">
        <v>15457</v>
      </c>
      <c r="AD796" t="s">
        <v>15458</v>
      </c>
      <c r="AE796" t="s">
        <v>15459</v>
      </c>
      <c r="AF796" t="s">
        <v>74</v>
      </c>
      <c r="AG796">
        <v>91</v>
      </c>
      <c r="AH796">
        <v>21</v>
      </c>
      <c r="AI796">
        <v>21</v>
      </c>
      <c r="AJ796">
        <v>2</v>
      </c>
      <c r="AK796">
        <v>42</v>
      </c>
      <c r="AL796" t="s">
        <v>438</v>
      </c>
      <c r="AM796" t="s">
        <v>439</v>
      </c>
      <c r="AN796" t="s">
        <v>440</v>
      </c>
      <c r="AO796" t="s">
        <v>5923</v>
      </c>
      <c r="AP796" t="s">
        <v>5924</v>
      </c>
      <c r="AQ796" t="s">
        <v>74</v>
      </c>
      <c r="AR796" t="s">
        <v>5925</v>
      </c>
      <c r="AS796" t="s">
        <v>5926</v>
      </c>
      <c r="AT796" t="s">
        <v>6722</v>
      </c>
      <c r="AU796">
        <v>2019</v>
      </c>
      <c r="AV796">
        <v>101</v>
      </c>
      <c r="AW796" t="s">
        <v>74</v>
      </c>
      <c r="AX796" t="s">
        <v>74</v>
      </c>
      <c r="AY796" t="s">
        <v>74</v>
      </c>
      <c r="AZ796" t="s">
        <v>74</v>
      </c>
      <c r="BA796" t="s">
        <v>74</v>
      </c>
      <c r="BB796">
        <v>163</v>
      </c>
      <c r="BC796">
        <v>172</v>
      </c>
      <c r="BD796" t="s">
        <v>74</v>
      </c>
      <c r="BE796" t="s">
        <v>15460</v>
      </c>
      <c r="BF796" t="str">
        <f>HYPERLINK("http://dx.doi.org/10.1016/j.ecolind.2019.01.008","http://dx.doi.org/10.1016/j.ecolind.2019.01.008")</f>
        <v>http://dx.doi.org/10.1016/j.ecolind.2019.01.008</v>
      </c>
      <c r="BG796" t="s">
        <v>74</v>
      </c>
      <c r="BH796" t="s">
        <v>74</v>
      </c>
      <c r="BI796">
        <v>10</v>
      </c>
      <c r="BJ796" t="s">
        <v>5928</v>
      </c>
      <c r="BK796" t="s">
        <v>101</v>
      </c>
      <c r="BL796" t="s">
        <v>1646</v>
      </c>
      <c r="BM796" t="s">
        <v>15461</v>
      </c>
      <c r="BN796" t="s">
        <v>74</v>
      </c>
      <c r="BO796" t="s">
        <v>74</v>
      </c>
      <c r="BP796" t="s">
        <v>74</v>
      </c>
      <c r="BQ796" t="s">
        <v>74</v>
      </c>
      <c r="BR796" t="s">
        <v>103</v>
      </c>
      <c r="BS796" t="s">
        <v>15462</v>
      </c>
      <c r="BT796" t="str">
        <f>HYPERLINK("https%3A%2F%2Fwww.webofscience.com%2Fwos%2Fwoscc%2Ffull-record%2FWOS:000470963300018","View Full Record in Web of Science")</f>
        <v>View Full Record in Web of Science</v>
      </c>
    </row>
    <row r="797" spans="1:72" x14ac:dyDescent="0.15">
      <c r="A797" t="s">
        <v>72</v>
      </c>
      <c r="B797" t="s">
        <v>15463</v>
      </c>
      <c r="C797" t="s">
        <v>74</v>
      </c>
      <c r="D797" t="s">
        <v>74</v>
      </c>
      <c r="E797" t="s">
        <v>74</v>
      </c>
      <c r="F797" t="s">
        <v>15464</v>
      </c>
      <c r="G797" t="s">
        <v>74</v>
      </c>
      <c r="H797" t="s">
        <v>74</v>
      </c>
      <c r="I797" t="s">
        <v>15465</v>
      </c>
      <c r="J797" t="s">
        <v>15466</v>
      </c>
      <c r="K797" t="s">
        <v>74</v>
      </c>
      <c r="L797" t="s">
        <v>74</v>
      </c>
      <c r="M797" t="s">
        <v>78</v>
      </c>
      <c r="N797" t="s">
        <v>108</v>
      </c>
      <c r="O797" t="s">
        <v>74</v>
      </c>
      <c r="P797" t="s">
        <v>74</v>
      </c>
      <c r="Q797" t="s">
        <v>74</v>
      </c>
      <c r="R797" t="s">
        <v>74</v>
      </c>
      <c r="S797" t="s">
        <v>74</v>
      </c>
      <c r="T797" t="s">
        <v>15467</v>
      </c>
      <c r="U797" t="s">
        <v>15468</v>
      </c>
      <c r="V797" t="s">
        <v>15469</v>
      </c>
      <c r="W797" t="s">
        <v>15470</v>
      </c>
      <c r="X797" t="s">
        <v>15471</v>
      </c>
      <c r="Y797" t="s">
        <v>15472</v>
      </c>
      <c r="Z797" t="s">
        <v>15473</v>
      </c>
      <c r="AA797" t="s">
        <v>15474</v>
      </c>
      <c r="AB797" t="s">
        <v>15475</v>
      </c>
      <c r="AC797" t="s">
        <v>15476</v>
      </c>
      <c r="AD797" t="s">
        <v>15477</v>
      </c>
      <c r="AE797" t="s">
        <v>15478</v>
      </c>
      <c r="AF797" t="s">
        <v>74</v>
      </c>
      <c r="AG797">
        <v>61</v>
      </c>
      <c r="AH797">
        <v>94</v>
      </c>
      <c r="AI797">
        <v>99</v>
      </c>
      <c r="AJ797">
        <v>25</v>
      </c>
      <c r="AK797">
        <v>196</v>
      </c>
      <c r="AL797" t="s">
        <v>92</v>
      </c>
      <c r="AM797" t="s">
        <v>93</v>
      </c>
      <c r="AN797" t="s">
        <v>94</v>
      </c>
      <c r="AO797" t="s">
        <v>15479</v>
      </c>
      <c r="AP797" t="s">
        <v>15480</v>
      </c>
      <c r="AQ797" t="s">
        <v>74</v>
      </c>
      <c r="AR797" t="s">
        <v>15481</v>
      </c>
      <c r="AS797" t="s">
        <v>15482</v>
      </c>
      <c r="AT797" t="s">
        <v>6722</v>
      </c>
      <c r="AU797">
        <v>2019</v>
      </c>
      <c r="AV797">
        <v>127</v>
      </c>
      <c r="AW797" t="s">
        <v>74</v>
      </c>
      <c r="AX797" t="s">
        <v>74</v>
      </c>
      <c r="AY797" t="s">
        <v>74</v>
      </c>
      <c r="AZ797" t="s">
        <v>74</v>
      </c>
      <c r="BA797" t="s">
        <v>74</v>
      </c>
      <c r="BB797">
        <v>371</v>
      </c>
      <c r="BC797">
        <v>380</v>
      </c>
      <c r="BD797" t="s">
        <v>74</v>
      </c>
      <c r="BE797" t="s">
        <v>15483</v>
      </c>
      <c r="BF797" t="str">
        <f>HYPERLINK("http://dx.doi.org/10.1016/j.envint.2019.03.062","http://dx.doi.org/10.1016/j.envint.2019.03.062")</f>
        <v>http://dx.doi.org/10.1016/j.envint.2019.03.062</v>
      </c>
      <c r="BG797" t="s">
        <v>74</v>
      </c>
      <c r="BH797" t="s">
        <v>74</v>
      </c>
      <c r="BI797">
        <v>10</v>
      </c>
      <c r="BJ797" t="s">
        <v>797</v>
      </c>
      <c r="BK797" t="s">
        <v>101</v>
      </c>
      <c r="BL797" t="s">
        <v>799</v>
      </c>
      <c r="BM797" t="s">
        <v>15484</v>
      </c>
      <c r="BN797">
        <v>30954723</v>
      </c>
      <c r="BO797" t="s">
        <v>313</v>
      </c>
      <c r="BP797" t="s">
        <v>74</v>
      </c>
      <c r="BQ797" t="s">
        <v>74</v>
      </c>
      <c r="BR797" t="s">
        <v>103</v>
      </c>
      <c r="BS797" t="s">
        <v>15485</v>
      </c>
      <c r="BT797" t="str">
        <f>HYPERLINK("https%3A%2F%2Fwww.webofscience.com%2Fwos%2Fwoscc%2Ffull-record%2FWOS:000467383500036","View Full Record in Web of Science")</f>
        <v>View Full Record in Web of Science</v>
      </c>
    </row>
    <row r="798" spans="1:72" x14ac:dyDescent="0.15">
      <c r="A798" t="s">
        <v>72</v>
      </c>
      <c r="B798" t="s">
        <v>15486</v>
      </c>
      <c r="C798" t="s">
        <v>74</v>
      </c>
      <c r="D798" t="s">
        <v>74</v>
      </c>
      <c r="E798" t="s">
        <v>74</v>
      </c>
      <c r="F798" t="s">
        <v>15487</v>
      </c>
      <c r="G798" t="s">
        <v>74</v>
      </c>
      <c r="H798" t="s">
        <v>74</v>
      </c>
      <c r="I798" t="s">
        <v>15488</v>
      </c>
      <c r="J798" t="s">
        <v>1236</v>
      </c>
      <c r="K798" t="s">
        <v>74</v>
      </c>
      <c r="L798" t="s">
        <v>74</v>
      </c>
      <c r="M798" t="s">
        <v>78</v>
      </c>
      <c r="N798" t="s">
        <v>108</v>
      </c>
      <c r="O798" t="s">
        <v>74</v>
      </c>
      <c r="P798" t="s">
        <v>74</v>
      </c>
      <c r="Q798" t="s">
        <v>74</v>
      </c>
      <c r="R798" t="s">
        <v>74</v>
      </c>
      <c r="S798" t="s">
        <v>74</v>
      </c>
      <c r="T798" t="s">
        <v>74</v>
      </c>
      <c r="U798" t="s">
        <v>15489</v>
      </c>
      <c r="V798" t="s">
        <v>15490</v>
      </c>
      <c r="W798" t="s">
        <v>15491</v>
      </c>
      <c r="X798" t="s">
        <v>15492</v>
      </c>
      <c r="Y798" t="s">
        <v>15493</v>
      </c>
      <c r="Z798" t="s">
        <v>15494</v>
      </c>
      <c r="AA798" t="s">
        <v>15495</v>
      </c>
      <c r="AB798" t="s">
        <v>15496</v>
      </c>
      <c r="AC798" t="s">
        <v>15497</v>
      </c>
      <c r="AD798" t="s">
        <v>15498</v>
      </c>
      <c r="AE798" t="s">
        <v>15499</v>
      </c>
      <c r="AF798" t="s">
        <v>74</v>
      </c>
      <c r="AG798">
        <v>98</v>
      </c>
      <c r="AH798">
        <v>45</v>
      </c>
      <c r="AI798">
        <v>49</v>
      </c>
      <c r="AJ798">
        <v>2</v>
      </c>
      <c r="AK798">
        <v>60</v>
      </c>
      <c r="AL798" t="s">
        <v>1140</v>
      </c>
      <c r="AM798" t="s">
        <v>1141</v>
      </c>
      <c r="AN798" t="s">
        <v>1142</v>
      </c>
      <c r="AO798" t="s">
        <v>1248</v>
      </c>
      <c r="AP798" t="s">
        <v>74</v>
      </c>
      <c r="AQ798" t="s">
        <v>74</v>
      </c>
      <c r="AR798" t="s">
        <v>1249</v>
      </c>
      <c r="AS798" t="s">
        <v>1250</v>
      </c>
      <c r="AT798" t="s">
        <v>6722</v>
      </c>
      <c r="AU798">
        <v>2019</v>
      </c>
      <c r="AV798">
        <v>11</v>
      </c>
      <c r="AW798">
        <v>3</v>
      </c>
      <c r="AX798" t="s">
        <v>74</v>
      </c>
      <c r="AY798" t="s">
        <v>74</v>
      </c>
      <c r="AZ798" t="s">
        <v>74</v>
      </c>
      <c r="BA798" t="s">
        <v>74</v>
      </c>
      <c r="BB798">
        <v>386</v>
      </c>
      <c r="BC798">
        <v>400</v>
      </c>
      <c r="BD798" t="s">
        <v>74</v>
      </c>
      <c r="BE798" t="s">
        <v>15500</v>
      </c>
      <c r="BF798" t="str">
        <f>HYPERLINK("http://dx.doi.org/10.1111/1758-2229.12692","http://dx.doi.org/10.1111/1758-2229.12692")</f>
        <v>http://dx.doi.org/10.1111/1758-2229.12692</v>
      </c>
      <c r="BG798" t="s">
        <v>74</v>
      </c>
      <c r="BH798" t="s">
        <v>74</v>
      </c>
      <c r="BI798">
        <v>15</v>
      </c>
      <c r="BJ798" t="s">
        <v>1253</v>
      </c>
      <c r="BK798" t="s">
        <v>101</v>
      </c>
      <c r="BL798" t="s">
        <v>1254</v>
      </c>
      <c r="BM798" t="s">
        <v>15501</v>
      </c>
      <c r="BN798">
        <v>30246414</v>
      </c>
      <c r="BO798" t="s">
        <v>164</v>
      </c>
      <c r="BP798" t="s">
        <v>74</v>
      </c>
      <c r="BQ798" t="s">
        <v>74</v>
      </c>
      <c r="BR798" t="s">
        <v>103</v>
      </c>
      <c r="BS798" t="s">
        <v>15502</v>
      </c>
      <c r="BT798" t="str">
        <f>HYPERLINK("https%3A%2F%2Fwww.webofscience.com%2Fwos%2Fwoscc%2Ffull-record%2FWOS:000468000600010","View Full Record in Web of Science")</f>
        <v>View Full Record in Web of Science</v>
      </c>
    </row>
    <row r="799" spans="1:72" x14ac:dyDescent="0.15">
      <c r="A799" t="s">
        <v>72</v>
      </c>
      <c r="B799" t="s">
        <v>15503</v>
      </c>
      <c r="C799" t="s">
        <v>74</v>
      </c>
      <c r="D799" t="s">
        <v>74</v>
      </c>
      <c r="E799" t="s">
        <v>74</v>
      </c>
      <c r="F799" t="s">
        <v>15504</v>
      </c>
      <c r="G799" t="s">
        <v>74</v>
      </c>
      <c r="H799" t="s">
        <v>74</v>
      </c>
      <c r="I799" t="s">
        <v>15505</v>
      </c>
      <c r="J799" t="s">
        <v>3920</v>
      </c>
      <c r="K799" t="s">
        <v>74</v>
      </c>
      <c r="L799" t="s">
        <v>74</v>
      </c>
      <c r="M799" t="s">
        <v>78</v>
      </c>
      <c r="N799" t="s">
        <v>108</v>
      </c>
      <c r="O799" t="s">
        <v>74</v>
      </c>
      <c r="P799" t="s">
        <v>74</v>
      </c>
      <c r="Q799" t="s">
        <v>74</v>
      </c>
      <c r="R799" t="s">
        <v>74</v>
      </c>
      <c r="S799" t="s">
        <v>74</v>
      </c>
      <c r="T799" t="s">
        <v>15506</v>
      </c>
      <c r="U799" t="s">
        <v>15507</v>
      </c>
      <c r="V799" t="s">
        <v>15508</v>
      </c>
      <c r="W799" t="s">
        <v>15509</v>
      </c>
      <c r="X799" t="s">
        <v>15510</v>
      </c>
      <c r="Y799" t="s">
        <v>15511</v>
      </c>
      <c r="Z799" t="s">
        <v>15512</v>
      </c>
      <c r="AA799" t="s">
        <v>15513</v>
      </c>
      <c r="AB799" t="s">
        <v>15514</v>
      </c>
      <c r="AC799" t="s">
        <v>15515</v>
      </c>
      <c r="AD799" t="s">
        <v>15516</v>
      </c>
      <c r="AE799" t="s">
        <v>15517</v>
      </c>
      <c r="AF799" t="s">
        <v>74</v>
      </c>
      <c r="AG799">
        <v>60</v>
      </c>
      <c r="AH799">
        <v>146</v>
      </c>
      <c r="AI799">
        <v>156</v>
      </c>
      <c r="AJ799">
        <v>19</v>
      </c>
      <c r="AK799">
        <v>88</v>
      </c>
      <c r="AL799" t="s">
        <v>302</v>
      </c>
      <c r="AM799" t="s">
        <v>303</v>
      </c>
      <c r="AN799" t="s">
        <v>304</v>
      </c>
      <c r="AO799" t="s">
        <v>3933</v>
      </c>
      <c r="AP799" t="s">
        <v>3934</v>
      </c>
      <c r="AQ799" t="s">
        <v>74</v>
      </c>
      <c r="AR799" t="s">
        <v>3935</v>
      </c>
      <c r="AS799" t="s">
        <v>3936</v>
      </c>
      <c r="AT799" t="s">
        <v>6722</v>
      </c>
      <c r="AU799">
        <v>2019</v>
      </c>
      <c r="AV799">
        <v>65</v>
      </c>
      <c r="AW799">
        <v>251</v>
      </c>
      <c r="AX799" t="s">
        <v>74</v>
      </c>
      <c r="AY799" t="s">
        <v>74</v>
      </c>
      <c r="AZ799" t="s">
        <v>74</v>
      </c>
      <c r="BA799" t="s">
        <v>74</v>
      </c>
      <c r="BB799">
        <v>453</v>
      </c>
      <c r="BC799">
        <v>467</v>
      </c>
      <c r="BD799" t="s">
        <v>74</v>
      </c>
      <c r="BE799" t="s">
        <v>15518</v>
      </c>
      <c r="BF799" t="str">
        <f>HYPERLINK("http://dx.doi.org/10.1017/jog.2019.22","http://dx.doi.org/10.1017/jog.2019.22")</f>
        <v>http://dx.doi.org/10.1017/jog.2019.22</v>
      </c>
      <c r="BG799" t="s">
        <v>74</v>
      </c>
      <c r="BH799" t="s">
        <v>74</v>
      </c>
      <c r="BI799">
        <v>15</v>
      </c>
      <c r="BJ799" t="s">
        <v>310</v>
      </c>
      <c r="BK799" t="s">
        <v>101</v>
      </c>
      <c r="BL799" t="s">
        <v>311</v>
      </c>
      <c r="BM799" t="s">
        <v>14580</v>
      </c>
      <c r="BN799" t="s">
        <v>74</v>
      </c>
      <c r="BO799" t="s">
        <v>1197</v>
      </c>
      <c r="BP799" t="s">
        <v>1784</v>
      </c>
      <c r="BQ799" t="s">
        <v>1785</v>
      </c>
      <c r="BR799" t="s">
        <v>103</v>
      </c>
      <c r="BS799" t="s">
        <v>15519</v>
      </c>
      <c r="BT799" t="str">
        <f>HYPERLINK("https%3A%2F%2Fwww.webofscience.com%2Fwos%2Fwoscc%2Ffull-record%2FWOS:000470734900008","View Full Record in Web of Science")</f>
        <v>View Full Record in Web of Science</v>
      </c>
    </row>
    <row r="800" spans="1:72" x14ac:dyDescent="0.15">
      <c r="A800" t="s">
        <v>72</v>
      </c>
      <c r="B800" t="s">
        <v>15520</v>
      </c>
      <c r="C800" t="s">
        <v>74</v>
      </c>
      <c r="D800" t="s">
        <v>74</v>
      </c>
      <c r="E800" t="s">
        <v>74</v>
      </c>
      <c r="F800" t="s">
        <v>15521</v>
      </c>
      <c r="G800" t="s">
        <v>74</v>
      </c>
      <c r="H800" t="s">
        <v>74</v>
      </c>
      <c r="I800" t="s">
        <v>15522</v>
      </c>
      <c r="J800" t="s">
        <v>15523</v>
      </c>
      <c r="K800" t="s">
        <v>74</v>
      </c>
      <c r="L800" t="s">
        <v>74</v>
      </c>
      <c r="M800" t="s">
        <v>78</v>
      </c>
      <c r="N800" t="s">
        <v>2711</v>
      </c>
      <c r="O800" t="s">
        <v>74</v>
      </c>
      <c r="P800" t="s">
        <v>74</v>
      </c>
      <c r="Q800" t="s">
        <v>74</v>
      </c>
      <c r="R800" t="s">
        <v>74</v>
      </c>
      <c r="S800" t="s">
        <v>74</v>
      </c>
      <c r="T800" t="s">
        <v>74</v>
      </c>
      <c r="U800" t="s">
        <v>15524</v>
      </c>
      <c r="V800" t="s">
        <v>74</v>
      </c>
      <c r="W800" t="s">
        <v>15525</v>
      </c>
      <c r="X800" t="s">
        <v>15526</v>
      </c>
      <c r="Y800" t="s">
        <v>15527</v>
      </c>
      <c r="Z800" t="s">
        <v>15528</v>
      </c>
      <c r="AA800" t="s">
        <v>15529</v>
      </c>
      <c r="AB800" t="s">
        <v>15530</v>
      </c>
      <c r="AC800" t="s">
        <v>74</v>
      </c>
      <c r="AD800" t="s">
        <v>74</v>
      </c>
      <c r="AE800" t="s">
        <v>74</v>
      </c>
      <c r="AF800" t="s">
        <v>74</v>
      </c>
      <c r="AG800">
        <v>23</v>
      </c>
      <c r="AH800">
        <v>4</v>
      </c>
      <c r="AI800">
        <v>4</v>
      </c>
      <c r="AJ800">
        <v>0</v>
      </c>
      <c r="AK800">
        <v>3</v>
      </c>
      <c r="AL800" t="s">
        <v>3615</v>
      </c>
      <c r="AM800" t="s">
        <v>3616</v>
      </c>
      <c r="AN800" t="s">
        <v>3617</v>
      </c>
      <c r="AO800" t="s">
        <v>74</v>
      </c>
      <c r="AP800" t="s">
        <v>15531</v>
      </c>
      <c r="AQ800" t="s">
        <v>74</v>
      </c>
      <c r="AR800" t="s">
        <v>15523</v>
      </c>
      <c r="AS800" t="s">
        <v>15532</v>
      </c>
      <c r="AT800" t="s">
        <v>6722</v>
      </c>
      <c r="AU800">
        <v>2019</v>
      </c>
      <c r="AV800">
        <v>9</v>
      </c>
      <c r="AW800">
        <v>2</v>
      </c>
      <c r="AX800" t="s">
        <v>74</v>
      </c>
      <c r="AY800" t="s">
        <v>74</v>
      </c>
      <c r="AZ800" t="s">
        <v>74</v>
      </c>
      <c r="BA800" t="s">
        <v>74</v>
      </c>
      <c r="BB800" t="s">
        <v>74</v>
      </c>
      <c r="BC800" t="s">
        <v>74</v>
      </c>
      <c r="BD800">
        <v>31</v>
      </c>
      <c r="BE800" t="s">
        <v>15533</v>
      </c>
      <c r="BF800" t="str">
        <f>HYPERLINK("http://dx.doi.org/10.3390/life9020031","http://dx.doi.org/10.3390/life9020031")</f>
        <v>http://dx.doi.org/10.3390/life9020031</v>
      </c>
      <c r="BG800" t="s">
        <v>74</v>
      </c>
      <c r="BH800" t="s">
        <v>74</v>
      </c>
      <c r="BI800">
        <v>3</v>
      </c>
      <c r="BJ800" t="s">
        <v>15534</v>
      </c>
      <c r="BK800" t="s">
        <v>101</v>
      </c>
      <c r="BL800" t="s">
        <v>15535</v>
      </c>
      <c r="BM800" t="s">
        <v>15536</v>
      </c>
      <c r="BN800">
        <v>30934686</v>
      </c>
      <c r="BO800" t="s">
        <v>9492</v>
      </c>
      <c r="BP800" t="s">
        <v>74</v>
      </c>
      <c r="BQ800" t="s">
        <v>74</v>
      </c>
      <c r="BR800" t="s">
        <v>103</v>
      </c>
      <c r="BS800" t="s">
        <v>15537</v>
      </c>
      <c r="BT800" t="str">
        <f>HYPERLINK("https%3A%2F%2Fwww.webofscience.com%2Fwos%2Fwoscc%2Ffull-record%2FWOS:000475324400001","View Full Record in Web of Science")</f>
        <v>View Full Record in Web of Science</v>
      </c>
    </row>
    <row r="801" spans="1:72" x14ac:dyDescent="0.15">
      <c r="A801" t="s">
        <v>72</v>
      </c>
      <c r="B801" t="s">
        <v>15538</v>
      </c>
      <c r="C801" t="s">
        <v>74</v>
      </c>
      <c r="D801" t="s">
        <v>74</v>
      </c>
      <c r="E801" t="s">
        <v>74</v>
      </c>
      <c r="F801" t="s">
        <v>15539</v>
      </c>
      <c r="G801" t="s">
        <v>74</v>
      </c>
      <c r="H801" t="s">
        <v>74</v>
      </c>
      <c r="I801" t="s">
        <v>15540</v>
      </c>
      <c r="J801" t="s">
        <v>15541</v>
      </c>
      <c r="K801" t="s">
        <v>74</v>
      </c>
      <c r="L801" t="s">
        <v>74</v>
      </c>
      <c r="M801" t="s">
        <v>78</v>
      </c>
      <c r="N801" t="s">
        <v>108</v>
      </c>
      <c r="O801" t="s">
        <v>74</v>
      </c>
      <c r="P801" t="s">
        <v>74</v>
      </c>
      <c r="Q801" t="s">
        <v>74</v>
      </c>
      <c r="R801" t="s">
        <v>74</v>
      </c>
      <c r="S801" t="s">
        <v>74</v>
      </c>
      <c r="T801" t="s">
        <v>74</v>
      </c>
      <c r="U801" t="s">
        <v>15542</v>
      </c>
      <c r="V801" t="s">
        <v>15543</v>
      </c>
      <c r="W801" t="s">
        <v>15544</v>
      </c>
      <c r="X801" t="s">
        <v>15545</v>
      </c>
      <c r="Y801" t="s">
        <v>15546</v>
      </c>
      <c r="Z801" t="s">
        <v>15547</v>
      </c>
      <c r="AA801" t="s">
        <v>15548</v>
      </c>
      <c r="AB801" t="s">
        <v>15549</v>
      </c>
      <c r="AC801" t="s">
        <v>15550</v>
      </c>
      <c r="AD801" t="s">
        <v>15551</v>
      </c>
      <c r="AE801" t="s">
        <v>15552</v>
      </c>
      <c r="AF801" t="s">
        <v>74</v>
      </c>
      <c r="AG801">
        <v>68</v>
      </c>
      <c r="AH801">
        <v>75</v>
      </c>
      <c r="AI801">
        <v>77</v>
      </c>
      <c r="AJ801">
        <v>4</v>
      </c>
      <c r="AK801">
        <v>105</v>
      </c>
      <c r="AL801" t="s">
        <v>1019</v>
      </c>
      <c r="AM801" t="s">
        <v>1020</v>
      </c>
      <c r="AN801" t="s">
        <v>1021</v>
      </c>
      <c r="AO801" t="s">
        <v>15553</v>
      </c>
      <c r="AP801" t="s">
        <v>74</v>
      </c>
      <c r="AQ801" t="s">
        <v>74</v>
      </c>
      <c r="AR801" t="s">
        <v>15554</v>
      </c>
      <c r="AS801" t="s">
        <v>15555</v>
      </c>
      <c r="AT801" t="s">
        <v>6722</v>
      </c>
      <c r="AU801">
        <v>2019</v>
      </c>
      <c r="AV801">
        <v>4</v>
      </c>
      <c r="AW801">
        <v>6</v>
      </c>
      <c r="AX801" t="s">
        <v>74</v>
      </c>
      <c r="AY801" t="s">
        <v>74</v>
      </c>
      <c r="AZ801" t="s">
        <v>74</v>
      </c>
      <c r="BA801" t="s">
        <v>74</v>
      </c>
      <c r="BB801">
        <v>925</v>
      </c>
      <c r="BC801">
        <v>932</v>
      </c>
      <c r="BD801" t="s">
        <v>74</v>
      </c>
      <c r="BE801" t="s">
        <v>15556</v>
      </c>
      <c r="BF801" t="str">
        <f>HYPERLINK("http://dx.doi.org/10.1038/s41564-019-0370-4","http://dx.doi.org/10.1038/s41564-019-0370-4")</f>
        <v>http://dx.doi.org/10.1038/s41564-019-0370-4</v>
      </c>
      <c r="BG801" t="s">
        <v>74</v>
      </c>
      <c r="BH801" t="s">
        <v>74</v>
      </c>
      <c r="BI801">
        <v>8</v>
      </c>
      <c r="BJ801" t="s">
        <v>1514</v>
      </c>
      <c r="BK801" t="s">
        <v>101</v>
      </c>
      <c r="BL801" t="s">
        <v>1514</v>
      </c>
      <c r="BM801" t="s">
        <v>15557</v>
      </c>
      <c r="BN801">
        <v>30833723</v>
      </c>
      <c r="BO801" t="s">
        <v>164</v>
      </c>
      <c r="BP801" t="s">
        <v>74</v>
      </c>
      <c r="BQ801" t="s">
        <v>74</v>
      </c>
      <c r="BR801" t="s">
        <v>103</v>
      </c>
      <c r="BS801" t="s">
        <v>15558</v>
      </c>
      <c r="BT801" t="str">
        <f>HYPERLINK("https%3A%2F%2Fwww.webofscience.com%2Fwos%2Fwoscc%2Ffull-record%2FWOS:000468625400007","View Full Record in Web of Science")</f>
        <v>View Full Record in Web of Science</v>
      </c>
    </row>
    <row r="802" spans="1:72" x14ac:dyDescent="0.15">
      <c r="A802" t="s">
        <v>72</v>
      </c>
      <c r="B802" t="s">
        <v>15559</v>
      </c>
      <c r="C802" t="s">
        <v>74</v>
      </c>
      <c r="D802" t="s">
        <v>74</v>
      </c>
      <c r="E802" t="s">
        <v>74</v>
      </c>
      <c r="F802" t="s">
        <v>15560</v>
      </c>
      <c r="G802" t="s">
        <v>74</v>
      </c>
      <c r="H802" t="s">
        <v>74</v>
      </c>
      <c r="I802" t="s">
        <v>15561</v>
      </c>
      <c r="J802" t="s">
        <v>15562</v>
      </c>
      <c r="K802" t="s">
        <v>74</v>
      </c>
      <c r="L802" t="s">
        <v>74</v>
      </c>
      <c r="M802" t="s">
        <v>78</v>
      </c>
      <c r="N802" t="s">
        <v>778</v>
      </c>
      <c r="O802" t="s">
        <v>15563</v>
      </c>
      <c r="P802" t="s">
        <v>15564</v>
      </c>
      <c r="Q802" t="s">
        <v>15565</v>
      </c>
      <c r="R802" t="s">
        <v>74</v>
      </c>
      <c r="S802" t="s">
        <v>74</v>
      </c>
      <c r="T802" t="s">
        <v>15566</v>
      </c>
      <c r="U802" t="s">
        <v>15567</v>
      </c>
      <c r="V802" t="s">
        <v>15568</v>
      </c>
      <c r="W802" t="s">
        <v>15569</v>
      </c>
      <c r="X802" t="s">
        <v>15570</v>
      </c>
      <c r="Y802" t="s">
        <v>15571</v>
      </c>
      <c r="Z802" t="s">
        <v>8026</v>
      </c>
      <c r="AA802" t="s">
        <v>74</v>
      </c>
      <c r="AB802" t="s">
        <v>15572</v>
      </c>
      <c r="AC802" t="s">
        <v>15573</v>
      </c>
      <c r="AD802" t="s">
        <v>15574</v>
      </c>
      <c r="AE802" t="s">
        <v>15575</v>
      </c>
      <c r="AF802" t="s">
        <v>74</v>
      </c>
      <c r="AG802">
        <v>41</v>
      </c>
      <c r="AH802">
        <v>7</v>
      </c>
      <c r="AI802">
        <v>7</v>
      </c>
      <c r="AJ802">
        <v>1</v>
      </c>
      <c r="AK802">
        <v>10</v>
      </c>
      <c r="AL802" t="s">
        <v>2396</v>
      </c>
      <c r="AM802" t="s">
        <v>2397</v>
      </c>
      <c r="AN802" t="s">
        <v>2398</v>
      </c>
      <c r="AO802" t="s">
        <v>15576</v>
      </c>
      <c r="AP802" t="s">
        <v>15577</v>
      </c>
      <c r="AQ802" t="s">
        <v>74</v>
      </c>
      <c r="AR802" t="s">
        <v>15578</v>
      </c>
      <c r="AS802" t="s">
        <v>15579</v>
      </c>
      <c r="AT802" t="s">
        <v>6722</v>
      </c>
      <c r="AU802">
        <v>2019</v>
      </c>
      <c r="AV802">
        <v>69</v>
      </c>
      <c r="AW802">
        <v>6</v>
      </c>
      <c r="AX802" t="s">
        <v>74</v>
      </c>
      <c r="AY802" t="s">
        <v>74</v>
      </c>
      <c r="AZ802" t="s">
        <v>74</v>
      </c>
      <c r="BA802" t="s">
        <v>74</v>
      </c>
      <c r="BB802">
        <v>737</v>
      </c>
      <c r="BC802">
        <v>746</v>
      </c>
      <c r="BD802" t="s">
        <v>74</v>
      </c>
      <c r="BE802" t="s">
        <v>15580</v>
      </c>
      <c r="BF802" t="str">
        <f>HYPERLINK("http://dx.doi.org/10.1007/s10236-019-01268-0","http://dx.doi.org/10.1007/s10236-019-01268-0")</f>
        <v>http://dx.doi.org/10.1007/s10236-019-01268-0</v>
      </c>
      <c r="BG802" t="s">
        <v>74</v>
      </c>
      <c r="BH802" t="s">
        <v>74</v>
      </c>
      <c r="BI802">
        <v>10</v>
      </c>
      <c r="BJ802" t="s">
        <v>100</v>
      </c>
      <c r="BK802" t="s">
        <v>798</v>
      </c>
      <c r="BL802" t="s">
        <v>100</v>
      </c>
      <c r="BM802" t="s">
        <v>15581</v>
      </c>
      <c r="BN802" t="s">
        <v>74</v>
      </c>
      <c r="BO802" t="s">
        <v>74</v>
      </c>
      <c r="BP802" t="s">
        <v>74</v>
      </c>
      <c r="BQ802" t="s">
        <v>74</v>
      </c>
      <c r="BR802" t="s">
        <v>103</v>
      </c>
      <c r="BS802" t="s">
        <v>15582</v>
      </c>
      <c r="BT802" t="str">
        <f>HYPERLINK("https%3A%2F%2Fwww.webofscience.com%2Fwos%2Fwoscc%2Ffull-record%2FWOS:000468846600006","View Full Record in Web of Science")</f>
        <v>View Full Record in Web of Science</v>
      </c>
    </row>
    <row r="803" spans="1:72" x14ac:dyDescent="0.15">
      <c r="A803" t="s">
        <v>72</v>
      </c>
      <c r="B803" t="s">
        <v>15583</v>
      </c>
      <c r="C803" t="s">
        <v>74</v>
      </c>
      <c r="D803" t="s">
        <v>74</v>
      </c>
      <c r="E803" t="s">
        <v>74</v>
      </c>
      <c r="F803" t="s">
        <v>15584</v>
      </c>
      <c r="G803" t="s">
        <v>74</v>
      </c>
      <c r="H803" t="s">
        <v>74</v>
      </c>
      <c r="I803" t="s">
        <v>15585</v>
      </c>
      <c r="J803" t="s">
        <v>15586</v>
      </c>
      <c r="K803" t="s">
        <v>74</v>
      </c>
      <c r="L803" t="s">
        <v>74</v>
      </c>
      <c r="M803" t="s">
        <v>78</v>
      </c>
      <c r="N803" t="s">
        <v>108</v>
      </c>
      <c r="O803" t="s">
        <v>74</v>
      </c>
      <c r="P803" t="s">
        <v>74</v>
      </c>
      <c r="Q803" t="s">
        <v>74</v>
      </c>
      <c r="R803" t="s">
        <v>74</v>
      </c>
      <c r="S803" t="s">
        <v>74</v>
      </c>
      <c r="T803" t="s">
        <v>15587</v>
      </c>
      <c r="U803" t="s">
        <v>15588</v>
      </c>
      <c r="V803" t="s">
        <v>15589</v>
      </c>
      <c r="W803" t="s">
        <v>15590</v>
      </c>
      <c r="X803" t="s">
        <v>15591</v>
      </c>
      <c r="Y803" t="s">
        <v>15592</v>
      </c>
      <c r="Z803" t="s">
        <v>15593</v>
      </c>
      <c r="AA803" t="s">
        <v>15594</v>
      </c>
      <c r="AB803" t="s">
        <v>15595</v>
      </c>
      <c r="AC803" t="s">
        <v>15596</v>
      </c>
      <c r="AD803" t="s">
        <v>15597</v>
      </c>
      <c r="AE803" t="s">
        <v>15598</v>
      </c>
      <c r="AF803" t="s">
        <v>74</v>
      </c>
      <c r="AG803">
        <v>226</v>
      </c>
      <c r="AH803">
        <v>9</v>
      </c>
      <c r="AI803">
        <v>10</v>
      </c>
      <c r="AJ803">
        <v>0</v>
      </c>
      <c r="AK803">
        <v>1</v>
      </c>
      <c r="AL803" t="s">
        <v>15599</v>
      </c>
      <c r="AM803" t="s">
        <v>10030</v>
      </c>
      <c r="AN803" t="s">
        <v>15600</v>
      </c>
      <c r="AO803" t="s">
        <v>15601</v>
      </c>
      <c r="AP803" t="s">
        <v>15602</v>
      </c>
      <c r="AQ803" t="s">
        <v>74</v>
      </c>
      <c r="AR803" t="s">
        <v>15603</v>
      </c>
      <c r="AS803" t="s">
        <v>15604</v>
      </c>
      <c r="AT803" t="s">
        <v>6722</v>
      </c>
      <c r="AU803">
        <v>2019</v>
      </c>
      <c r="AV803">
        <v>298</v>
      </c>
      <c r="AW803" t="s">
        <v>15605</v>
      </c>
      <c r="AX803" t="s">
        <v>74</v>
      </c>
      <c r="AY803" t="s">
        <v>74</v>
      </c>
      <c r="AZ803" t="s">
        <v>74</v>
      </c>
      <c r="BA803" t="s">
        <v>74</v>
      </c>
      <c r="BB803">
        <v>93</v>
      </c>
      <c r="BC803">
        <v>172</v>
      </c>
      <c r="BD803" t="s">
        <v>74</v>
      </c>
      <c r="BE803" t="s">
        <v>15606</v>
      </c>
      <c r="BF803" t="str">
        <f>HYPERLINK("http://dx.doi.org/10.1127/palb/2019/0062","http://dx.doi.org/10.1127/palb/2019/0062")</f>
        <v>http://dx.doi.org/10.1127/palb/2019/0062</v>
      </c>
      <c r="BG803" t="s">
        <v>74</v>
      </c>
      <c r="BH803" t="s">
        <v>74</v>
      </c>
      <c r="BI803">
        <v>80</v>
      </c>
      <c r="BJ803" t="s">
        <v>9964</v>
      </c>
      <c r="BK803" t="s">
        <v>101</v>
      </c>
      <c r="BL803" t="s">
        <v>9964</v>
      </c>
      <c r="BM803" t="s">
        <v>15607</v>
      </c>
      <c r="BN803" t="s">
        <v>74</v>
      </c>
      <c r="BO803" t="s">
        <v>74</v>
      </c>
      <c r="BP803" t="s">
        <v>74</v>
      </c>
      <c r="BQ803" t="s">
        <v>74</v>
      </c>
      <c r="BR803" t="s">
        <v>103</v>
      </c>
      <c r="BS803" t="s">
        <v>15608</v>
      </c>
      <c r="BT803" t="str">
        <f>HYPERLINK("https%3A%2F%2Fwww.webofscience.com%2Fwos%2Fwoscc%2Ffull-record%2FWOS:000806926500001","View Full Record in Web of Science")</f>
        <v>View Full Record in Web of Science</v>
      </c>
    </row>
    <row r="804" spans="1:72" x14ac:dyDescent="0.15">
      <c r="A804" t="s">
        <v>72</v>
      </c>
      <c r="B804" t="s">
        <v>15609</v>
      </c>
      <c r="C804" t="s">
        <v>74</v>
      </c>
      <c r="D804" t="s">
        <v>74</v>
      </c>
      <c r="E804" t="s">
        <v>74</v>
      </c>
      <c r="F804" t="s">
        <v>15610</v>
      </c>
      <c r="G804" t="s">
        <v>74</v>
      </c>
      <c r="H804" t="s">
        <v>74</v>
      </c>
      <c r="I804" t="s">
        <v>15611</v>
      </c>
      <c r="J804" t="s">
        <v>4003</v>
      </c>
      <c r="K804" t="s">
        <v>74</v>
      </c>
      <c r="L804" t="s">
        <v>74</v>
      </c>
      <c r="M804" t="s">
        <v>78</v>
      </c>
      <c r="N804" t="s">
        <v>108</v>
      </c>
      <c r="O804" t="s">
        <v>74</v>
      </c>
      <c r="P804" t="s">
        <v>74</v>
      </c>
      <c r="Q804" t="s">
        <v>74</v>
      </c>
      <c r="R804" t="s">
        <v>74</v>
      </c>
      <c r="S804" t="s">
        <v>74</v>
      </c>
      <c r="T804" t="s">
        <v>15612</v>
      </c>
      <c r="U804" t="s">
        <v>15613</v>
      </c>
      <c r="V804" t="s">
        <v>15614</v>
      </c>
      <c r="W804" t="s">
        <v>15615</v>
      </c>
      <c r="X804" t="s">
        <v>15616</v>
      </c>
      <c r="Y804" t="s">
        <v>15617</v>
      </c>
      <c r="Z804" t="s">
        <v>15618</v>
      </c>
      <c r="AA804" t="s">
        <v>15619</v>
      </c>
      <c r="AB804" t="s">
        <v>15620</v>
      </c>
      <c r="AC804" t="s">
        <v>15621</v>
      </c>
      <c r="AD804" t="s">
        <v>15622</v>
      </c>
      <c r="AE804" t="s">
        <v>15623</v>
      </c>
      <c r="AF804" t="s">
        <v>74</v>
      </c>
      <c r="AG804">
        <v>111</v>
      </c>
      <c r="AH804">
        <v>27</v>
      </c>
      <c r="AI804">
        <v>28</v>
      </c>
      <c r="AJ804">
        <v>7</v>
      </c>
      <c r="AK804">
        <v>33</v>
      </c>
      <c r="AL804" t="s">
        <v>154</v>
      </c>
      <c r="AM804" t="s">
        <v>4016</v>
      </c>
      <c r="AN804" t="s">
        <v>4017</v>
      </c>
      <c r="AO804" t="s">
        <v>4018</v>
      </c>
      <c r="AP804" t="s">
        <v>4019</v>
      </c>
      <c r="AQ804" t="s">
        <v>74</v>
      </c>
      <c r="AR804" t="s">
        <v>4020</v>
      </c>
      <c r="AS804" t="s">
        <v>4021</v>
      </c>
      <c r="AT804" t="s">
        <v>6722</v>
      </c>
      <c r="AU804">
        <v>2019</v>
      </c>
      <c r="AV804">
        <v>42</v>
      </c>
      <c r="AW804">
        <v>6</v>
      </c>
      <c r="AX804" t="s">
        <v>74</v>
      </c>
      <c r="AY804" t="s">
        <v>74</v>
      </c>
      <c r="AZ804" t="s">
        <v>74</v>
      </c>
      <c r="BA804" t="s">
        <v>74</v>
      </c>
      <c r="BB804">
        <v>1061</v>
      </c>
      <c r="BC804">
        <v>1079</v>
      </c>
      <c r="BD804" t="s">
        <v>74</v>
      </c>
      <c r="BE804" t="s">
        <v>15624</v>
      </c>
      <c r="BF804" t="str">
        <f>HYPERLINK("http://dx.doi.org/10.1007/s00300-019-02480-w","http://dx.doi.org/10.1007/s00300-019-02480-w")</f>
        <v>http://dx.doi.org/10.1007/s00300-019-02480-w</v>
      </c>
      <c r="BG804" t="s">
        <v>74</v>
      </c>
      <c r="BH804" t="s">
        <v>74</v>
      </c>
      <c r="BI804">
        <v>19</v>
      </c>
      <c r="BJ804" t="s">
        <v>3802</v>
      </c>
      <c r="BK804" t="s">
        <v>101</v>
      </c>
      <c r="BL804" t="s">
        <v>1646</v>
      </c>
      <c r="BM804" t="s">
        <v>14647</v>
      </c>
      <c r="BN804" t="s">
        <v>74</v>
      </c>
      <c r="BO804" t="s">
        <v>1648</v>
      </c>
      <c r="BP804" t="s">
        <v>74</v>
      </c>
      <c r="BQ804" t="s">
        <v>74</v>
      </c>
      <c r="BR804" t="s">
        <v>103</v>
      </c>
      <c r="BS804" t="s">
        <v>15625</v>
      </c>
      <c r="BT804" t="str">
        <f>HYPERLINK("https%3A%2F%2Fwww.webofscience.com%2Fwos%2Fwoscc%2Ffull-record%2FWOS:000470694200001","View Full Record in Web of Science")</f>
        <v>View Full Record in Web of Science</v>
      </c>
    </row>
    <row r="805" spans="1:72" x14ac:dyDescent="0.15">
      <c r="A805" t="s">
        <v>72</v>
      </c>
      <c r="B805" t="s">
        <v>15626</v>
      </c>
      <c r="C805" t="s">
        <v>74</v>
      </c>
      <c r="D805" t="s">
        <v>74</v>
      </c>
      <c r="E805" t="s">
        <v>74</v>
      </c>
      <c r="F805" t="s">
        <v>15627</v>
      </c>
      <c r="G805" t="s">
        <v>74</v>
      </c>
      <c r="H805" t="s">
        <v>74</v>
      </c>
      <c r="I805" t="s">
        <v>15628</v>
      </c>
      <c r="J805" t="s">
        <v>13083</v>
      </c>
      <c r="K805" t="s">
        <v>74</v>
      </c>
      <c r="L805" t="s">
        <v>74</v>
      </c>
      <c r="M805" t="s">
        <v>78</v>
      </c>
      <c r="N805" t="s">
        <v>2711</v>
      </c>
      <c r="O805" t="s">
        <v>74</v>
      </c>
      <c r="P805" t="s">
        <v>74</v>
      </c>
      <c r="Q805" t="s">
        <v>74</v>
      </c>
      <c r="R805" t="s">
        <v>74</v>
      </c>
      <c r="S805" t="s">
        <v>74</v>
      </c>
      <c r="T805" t="s">
        <v>15629</v>
      </c>
      <c r="U805" t="s">
        <v>74</v>
      </c>
      <c r="V805" t="s">
        <v>15630</v>
      </c>
      <c r="W805" t="s">
        <v>15631</v>
      </c>
      <c r="X805" t="s">
        <v>15632</v>
      </c>
      <c r="Y805" t="s">
        <v>15633</v>
      </c>
      <c r="Z805" t="s">
        <v>15634</v>
      </c>
      <c r="AA805" t="s">
        <v>15635</v>
      </c>
      <c r="AB805" t="s">
        <v>15636</v>
      </c>
      <c r="AC805" t="s">
        <v>15637</v>
      </c>
      <c r="AD805" t="s">
        <v>15637</v>
      </c>
      <c r="AE805" t="s">
        <v>15638</v>
      </c>
      <c r="AF805" t="s">
        <v>74</v>
      </c>
      <c r="AG805">
        <v>6</v>
      </c>
      <c r="AH805">
        <v>0</v>
      </c>
      <c r="AI805">
        <v>0</v>
      </c>
      <c r="AJ805">
        <v>0</v>
      </c>
      <c r="AK805">
        <v>2</v>
      </c>
      <c r="AL805" t="s">
        <v>438</v>
      </c>
      <c r="AM805" t="s">
        <v>439</v>
      </c>
      <c r="AN805" t="s">
        <v>440</v>
      </c>
      <c r="AO805" t="s">
        <v>13099</v>
      </c>
      <c r="AP805" t="s">
        <v>13100</v>
      </c>
      <c r="AQ805" t="s">
        <v>74</v>
      </c>
      <c r="AR805" t="s">
        <v>13101</v>
      </c>
      <c r="AS805" t="s">
        <v>13102</v>
      </c>
      <c r="AT805" t="s">
        <v>6722</v>
      </c>
      <c r="AU805">
        <v>2019</v>
      </c>
      <c r="AV805">
        <v>20</v>
      </c>
      <c r="AW805" t="s">
        <v>74</v>
      </c>
      <c r="AX805">
        <v>1</v>
      </c>
      <c r="AY805" t="s">
        <v>74</v>
      </c>
      <c r="AZ805" t="s">
        <v>730</v>
      </c>
      <c r="BA805" t="s">
        <v>74</v>
      </c>
      <c r="BB805">
        <v>1</v>
      </c>
      <c r="BC805">
        <v>2</v>
      </c>
      <c r="BD805" t="s">
        <v>74</v>
      </c>
      <c r="BE805" t="s">
        <v>15639</v>
      </c>
      <c r="BF805" t="str">
        <f>HYPERLINK("http://dx.doi.org/10.1016/j.polar.2019.07.001","http://dx.doi.org/10.1016/j.polar.2019.07.001")</f>
        <v>http://dx.doi.org/10.1016/j.polar.2019.07.001</v>
      </c>
      <c r="BG805" t="s">
        <v>74</v>
      </c>
      <c r="BH805" t="s">
        <v>74</v>
      </c>
      <c r="BI805">
        <v>2</v>
      </c>
      <c r="BJ805" t="s">
        <v>847</v>
      </c>
      <c r="BK805" t="s">
        <v>101</v>
      </c>
      <c r="BL805" t="s">
        <v>848</v>
      </c>
      <c r="BM805" t="s">
        <v>13104</v>
      </c>
      <c r="BN805" t="s">
        <v>74</v>
      </c>
      <c r="BO805" t="s">
        <v>537</v>
      </c>
      <c r="BP805" t="s">
        <v>74</v>
      </c>
      <c r="BQ805" t="s">
        <v>74</v>
      </c>
      <c r="BR805" t="s">
        <v>103</v>
      </c>
      <c r="BS805" t="s">
        <v>15640</v>
      </c>
      <c r="BT805" t="str">
        <f>HYPERLINK("https%3A%2F%2Fwww.webofscience.com%2Fwos%2Fwoscc%2Ffull-record%2FWOS:000483368600001","View Full Record in Web of Science")</f>
        <v>View Full Record in Web of Science</v>
      </c>
    </row>
    <row r="806" spans="1:72" x14ac:dyDescent="0.15">
      <c r="A806" t="s">
        <v>72</v>
      </c>
      <c r="B806" t="s">
        <v>15641</v>
      </c>
      <c r="C806" t="s">
        <v>74</v>
      </c>
      <c r="D806" t="s">
        <v>74</v>
      </c>
      <c r="E806" t="s">
        <v>74</v>
      </c>
      <c r="F806" t="s">
        <v>15642</v>
      </c>
      <c r="G806" t="s">
        <v>74</v>
      </c>
      <c r="H806" t="s">
        <v>74</v>
      </c>
      <c r="I806" t="s">
        <v>15643</v>
      </c>
      <c r="J806" t="s">
        <v>141</v>
      </c>
      <c r="K806" t="s">
        <v>74</v>
      </c>
      <c r="L806" t="s">
        <v>74</v>
      </c>
      <c r="M806" t="s">
        <v>78</v>
      </c>
      <c r="N806" t="s">
        <v>79</v>
      </c>
      <c r="O806" t="s">
        <v>74</v>
      </c>
      <c r="P806" t="s">
        <v>74</v>
      </c>
      <c r="Q806" t="s">
        <v>74</v>
      </c>
      <c r="R806" t="s">
        <v>74</v>
      </c>
      <c r="S806" t="s">
        <v>74</v>
      </c>
      <c r="T806" t="s">
        <v>15644</v>
      </c>
      <c r="U806" t="s">
        <v>15645</v>
      </c>
      <c r="V806" t="s">
        <v>15646</v>
      </c>
      <c r="W806" t="s">
        <v>15647</v>
      </c>
      <c r="X806" t="s">
        <v>84</v>
      </c>
      <c r="Y806" t="s">
        <v>15648</v>
      </c>
      <c r="Z806" t="s">
        <v>15649</v>
      </c>
      <c r="AA806" t="s">
        <v>74</v>
      </c>
      <c r="AB806" t="s">
        <v>15650</v>
      </c>
      <c r="AC806" t="s">
        <v>1135</v>
      </c>
      <c r="AD806" t="s">
        <v>1135</v>
      </c>
      <c r="AE806" t="s">
        <v>15651</v>
      </c>
      <c r="AF806" t="s">
        <v>74</v>
      </c>
      <c r="AG806">
        <v>177</v>
      </c>
      <c r="AH806">
        <v>61</v>
      </c>
      <c r="AI806">
        <v>67</v>
      </c>
      <c r="AJ806">
        <v>5</v>
      </c>
      <c r="AK806">
        <v>107</v>
      </c>
      <c r="AL806" t="s">
        <v>154</v>
      </c>
      <c r="AM806" t="s">
        <v>155</v>
      </c>
      <c r="AN806" t="s">
        <v>156</v>
      </c>
      <c r="AO806" t="s">
        <v>157</v>
      </c>
      <c r="AP806" t="s">
        <v>158</v>
      </c>
      <c r="AQ806" t="s">
        <v>74</v>
      </c>
      <c r="AR806" t="s">
        <v>159</v>
      </c>
      <c r="AS806" t="s">
        <v>160</v>
      </c>
      <c r="AT806" t="s">
        <v>6722</v>
      </c>
      <c r="AU806">
        <v>2019</v>
      </c>
      <c r="AV806">
        <v>29</v>
      </c>
      <c r="AW806">
        <v>2</v>
      </c>
      <c r="AX806" t="s">
        <v>74</v>
      </c>
      <c r="AY806" t="s">
        <v>74</v>
      </c>
      <c r="AZ806" t="s">
        <v>74</v>
      </c>
      <c r="BA806" t="s">
        <v>74</v>
      </c>
      <c r="BB806">
        <v>223</v>
      </c>
      <c r="BC806">
        <v>247</v>
      </c>
      <c r="BD806" t="s">
        <v>74</v>
      </c>
      <c r="BE806" t="s">
        <v>15652</v>
      </c>
      <c r="BF806" t="str">
        <f>HYPERLINK("http://dx.doi.org/10.1007/s11160-019-09550-6","http://dx.doi.org/10.1007/s11160-019-09550-6")</f>
        <v>http://dx.doi.org/10.1007/s11160-019-09550-6</v>
      </c>
      <c r="BG806" t="s">
        <v>74</v>
      </c>
      <c r="BH806" t="s">
        <v>74</v>
      </c>
      <c r="BI806">
        <v>25</v>
      </c>
      <c r="BJ806" t="s">
        <v>162</v>
      </c>
      <c r="BK806" t="s">
        <v>101</v>
      </c>
      <c r="BL806" t="s">
        <v>162</v>
      </c>
      <c r="BM806" t="s">
        <v>15653</v>
      </c>
      <c r="BN806" t="s">
        <v>74</v>
      </c>
      <c r="BO806" t="s">
        <v>74</v>
      </c>
      <c r="BP806" t="s">
        <v>74</v>
      </c>
      <c r="BQ806" t="s">
        <v>74</v>
      </c>
      <c r="BR806" t="s">
        <v>103</v>
      </c>
      <c r="BS806" t="s">
        <v>15654</v>
      </c>
      <c r="BT806" t="str">
        <f>HYPERLINK("https%3A%2F%2Fwww.webofscience.com%2Fwos%2Fwoscc%2Ffull-record%2FWOS:000467802500002","View Full Record in Web of Science")</f>
        <v>View Full Record in Web of Science</v>
      </c>
    </row>
    <row r="807" spans="1:72" x14ac:dyDescent="0.15">
      <c r="A807" t="s">
        <v>72</v>
      </c>
      <c r="B807" t="s">
        <v>15655</v>
      </c>
      <c r="C807" t="s">
        <v>74</v>
      </c>
      <c r="D807" t="s">
        <v>74</v>
      </c>
      <c r="E807" t="s">
        <v>74</v>
      </c>
      <c r="F807" t="s">
        <v>15656</v>
      </c>
      <c r="G807" t="s">
        <v>74</v>
      </c>
      <c r="H807" t="s">
        <v>74</v>
      </c>
      <c r="I807" t="s">
        <v>15657</v>
      </c>
      <c r="J807" t="s">
        <v>141</v>
      </c>
      <c r="K807" t="s">
        <v>74</v>
      </c>
      <c r="L807" t="s">
        <v>74</v>
      </c>
      <c r="M807" t="s">
        <v>78</v>
      </c>
      <c r="N807" t="s">
        <v>79</v>
      </c>
      <c r="O807" t="s">
        <v>74</v>
      </c>
      <c r="P807" t="s">
        <v>74</v>
      </c>
      <c r="Q807" t="s">
        <v>74</v>
      </c>
      <c r="R807" t="s">
        <v>74</v>
      </c>
      <c r="S807" t="s">
        <v>74</v>
      </c>
      <c r="T807" t="s">
        <v>15658</v>
      </c>
      <c r="U807" t="s">
        <v>15659</v>
      </c>
      <c r="V807" t="s">
        <v>15660</v>
      </c>
      <c r="W807" t="s">
        <v>15661</v>
      </c>
      <c r="X807" t="s">
        <v>15662</v>
      </c>
      <c r="Y807" t="s">
        <v>15663</v>
      </c>
      <c r="Z807" t="s">
        <v>15664</v>
      </c>
      <c r="AA807" t="s">
        <v>15665</v>
      </c>
      <c r="AB807" t="s">
        <v>15666</v>
      </c>
      <c r="AC807" t="s">
        <v>15667</v>
      </c>
      <c r="AD807" t="s">
        <v>15668</v>
      </c>
      <c r="AE807" t="s">
        <v>15669</v>
      </c>
      <c r="AF807" t="s">
        <v>74</v>
      </c>
      <c r="AG807">
        <v>101</v>
      </c>
      <c r="AH807">
        <v>27</v>
      </c>
      <c r="AI807">
        <v>31</v>
      </c>
      <c r="AJ807">
        <v>10</v>
      </c>
      <c r="AK807">
        <v>98</v>
      </c>
      <c r="AL807" t="s">
        <v>154</v>
      </c>
      <c r="AM807" t="s">
        <v>155</v>
      </c>
      <c r="AN807" t="s">
        <v>156</v>
      </c>
      <c r="AO807" t="s">
        <v>157</v>
      </c>
      <c r="AP807" t="s">
        <v>158</v>
      </c>
      <c r="AQ807" t="s">
        <v>74</v>
      </c>
      <c r="AR807" t="s">
        <v>159</v>
      </c>
      <c r="AS807" t="s">
        <v>160</v>
      </c>
      <c r="AT807" t="s">
        <v>6722</v>
      </c>
      <c r="AU807">
        <v>2019</v>
      </c>
      <c r="AV807">
        <v>29</v>
      </c>
      <c r="AW807">
        <v>2</v>
      </c>
      <c r="AX807" t="s">
        <v>74</v>
      </c>
      <c r="AY807" t="s">
        <v>74</v>
      </c>
      <c r="AZ807" t="s">
        <v>74</v>
      </c>
      <c r="BA807" t="s">
        <v>74</v>
      </c>
      <c r="BB807">
        <v>277</v>
      </c>
      <c r="BC807">
        <v>296</v>
      </c>
      <c r="BD807" t="s">
        <v>74</v>
      </c>
      <c r="BE807" t="s">
        <v>15670</v>
      </c>
      <c r="BF807" t="str">
        <f>HYPERLINK("http://dx.doi.org/10.1007/s11160-019-09552-4","http://dx.doi.org/10.1007/s11160-019-09552-4")</f>
        <v>http://dx.doi.org/10.1007/s11160-019-09552-4</v>
      </c>
      <c r="BG807" t="s">
        <v>74</v>
      </c>
      <c r="BH807" t="s">
        <v>74</v>
      </c>
      <c r="BI807">
        <v>20</v>
      </c>
      <c r="BJ807" t="s">
        <v>162</v>
      </c>
      <c r="BK807" t="s">
        <v>101</v>
      </c>
      <c r="BL807" t="s">
        <v>162</v>
      </c>
      <c r="BM807" t="s">
        <v>15653</v>
      </c>
      <c r="BN807" t="s">
        <v>74</v>
      </c>
      <c r="BO807" t="s">
        <v>74</v>
      </c>
      <c r="BP807" t="s">
        <v>74</v>
      </c>
      <c r="BQ807" t="s">
        <v>74</v>
      </c>
      <c r="BR807" t="s">
        <v>103</v>
      </c>
      <c r="BS807" t="s">
        <v>15671</v>
      </c>
      <c r="BT807" t="str">
        <f>HYPERLINK("https%3A%2F%2Fwww.webofscience.com%2Fwos%2Fwoscc%2Ffull-record%2FWOS:000467802500004","View Full Record in Web of Science")</f>
        <v>View Full Record in Web of Science</v>
      </c>
    </row>
    <row r="808" spans="1:72" x14ac:dyDescent="0.15">
      <c r="A808" t="s">
        <v>72</v>
      </c>
      <c r="B808" t="s">
        <v>15672</v>
      </c>
      <c r="C808" t="s">
        <v>74</v>
      </c>
      <c r="D808" t="s">
        <v>74</v>
      </c>
      <c r="E808" t="s">
        <v>74</v>
      </c>
      <c r="F808" t="s">
        <v>15673</v>
      </c>
      <c r="G808" t="s">
        <v>74</v>
      </c>
      <c r="H808" t="s">
        <v>74</v>
      </c>
      <c r="I808" t="s">
        <v>15674</v>
      </c>
      <c r="J808" t="s">
        <v>141</v>
      </c>
      <c r="K808" t="s">
        <v>74</v>
      </c>
      <c r="L808" t="s">
        <v>74</v>
      </c>
      <c r="M808" t="s">
        <v>78</v>
      </c>
      <c r="N808" t="s">
        <v>79</v>
      </c>
      <c r="O808" t="s">
        <v>74</v>
      </c>
      <c r="P808" t="s">
        <v>74</v>
      </c>
      <c r="Q808" t="s">
        <v>74</v>
      </c>
      <c r="R808" t="s">
        <v>74</v>
      </c>
      <c r="S808" t="s">
        <v>74</v>
      </c>
      <c r="T808" t="s">
        <v>15675</v>
      </c>
      <c r="U808" t="s">
        <v>15676</v>
      </c>
      <c r="V808" t="s">
        <v>15677</v>
      </c>
      <c r="W808" t="s">
        <v>15678</v>
      </c>
      <c r="X808" t="s">
        <v>1965</v>
      </c>
      <c r="Y808" t="s">
        <v>15679</v>
      </c>
      <c r="Z808" t="s">
        <v>15680</v>
      </c>
      <c r="AA808" t="s">
        <v>15681</v>
      </c>
      <c r="AB808" t="s">
        <v>15682</v>
      </c>
      <c r="AC808" t="s">
        <v>15683</v>
      </c>
      <c r="AD808" t="s">
        <v>15684</v>
      </c>
      <c r="AE808" t="s">
        <v>15685</v>
      </c>
      <c r="AF808" t="s">
        <v>74</v>
      </c>
      <c r="AG808">
        <v>235</v>
      </c>
      <c r="AH808">
        <v>44</v>
      </c>
      <c r="AI808">
        <v>47</v>
      </c>
      <c r="AJ808">
        <v>2</v>
      </c>
      <c r="AK808">
        <v>62</v>
      </c>
      <c r="AL808" t="s">
        <v>154</v>
      </c>
      <c r="AM808" t="s">
        <v>155</v>
      </c>
      <c r="AN808" t="s">
        <v>156</v>
      </c>
      <c r="AO808" t="s">
        <v>157</v>
      </c>
      <c r="AP808" t="s">
        <v>158</v>
      </c>
      <c r="AQ808" t="s">
        <v>74</v>
      </c>
      <c r="AR808" t="s">
        <v>159</v>
      </c>
      <c r="AS808" t="s">
        <v>160</v>
      </c>
      <c r="AT808" t="s">
        <v>6722</v>
      </c>
      <c r="AU808">
        <v>2019</v>
      </c>
      <c r="AV808">
        <v>29</v>
      </c>
      <c r="AW808">
        <v>2</v>
      </c>
      <c r="AX808" t="s">
        <v>74</v>
      </c>
      <c r="AY808" t="s">
        <v>74</v>
      </c>
      <c r="AZ808" t="s">
        <v>74</v>
      </c>
      <c r="BA808" t="s">
        <v>74</v>
      </c>
      <c r="BB808">
        <v>313</v>
      </c>
      <c r="BC808">
        <v>334</v>
      </c>
      <c r="BD808" t="s">
        <v>74</v>
      </c>
      <c r="BE808" t="s">
        <v>15686</v>
      </c>
      <c r="BF808" t="str">
        <f>HYPERLINK("http://dx.doi.org/10.1007/s11160-019-09554-2","http://dx.doi.org/10.1007/s11160-019-09554-2")</f>
        <v>http://dx.doi.org/10.1007/s11160-019-09554-2</v>
      </c>
      <c r="BG808" t="s">
        <v>74</v>
      </c>
      <c r="BH808" t="s">
        <v>74</v>
      </c>
      <c r="BI808">
        <v>22</v>
      </c>
      <c r="BJ808" t="s">
        <v>162</v>
      </c>
      <c r="BK808" t="s">
        <v>101</v>
      </c>
      <c r="BL808" t="s">
        <v>162</v>
      </c>
      <c r="BM808" t="s">
        <v>15653</v>
      </c>
      <c r="BN808" t="s">
        <v>74</v>
      </c>
      <c r="BO808" t="s">
        <v>74</v>
      </c>
      <c r="BP808" t="s">
        <v>74</v>
      </c>
      <c r="BQ808" t="s">
        <v>74</v>
      </c>
      <c r="BR808" t="s">
        <v>103</v>
      </c>
      <c r="BS808" t="s">
        <v>15687</v>
      </c>
      <c r="BT808" t="str">
        <f>HYPERLINK("https%3A%2F%2Fwww.webofscience.com%2Fwos%2Fwoscc%2Ffull-record%2FWOS:000467802500006","View Full Record in Web of Science")</f>
        <v>View Full Record in Web of Science</v>
      </c>
    </row>
    <row r="809" spans="1:72" x14ac:dyDescent="0.15">
      <c r="A809" t="s">
        <v>72</v>
      </c>
      <c r="B809" t="s">
        <v>15688</v>
      </c>
      <c r="C809" t="s">
        <v>74</v>
      </c>
      <c r="D809" t="s">
        <v>74</v>
      </c>
      <c r="E809" t="s">
        <v>74</v>
      </c>
      <c r="F809" t="s">
        <v>15689</v>
      </c>
      <c r="G809" t="s">
        <v>74</v>
      </c>
      <c r="H809" t="s">
        <v>74</v>
      </c>
      <c r="I809" t="s">
        <v>15690</v>
      </c>
      <c r="J809" t="s">
        <v>169</v>
      </c>
      <c r="K809" t="s">
        <v>74</v>
      </c>
      <c r="L809" t="s">
        <v>74</v>
      </c>
      <c r="M809" t="s">
        <v>78</v>
      </c>
      <c r="N809" t="s">
        <v>79</v>
      </c>
      <c r="O809" t="s">
        <v>74</v>
      </c>
      <c r="P809" t="s">
        <v>74</v>
      </c>
      <c r="Q809" t="s">
        <v>74</v>
      </c>
      <c r="R809" t="s">
        <v>74</v>
      </c>
      <c r="S809" t="s">
        <v>74</v>
      </c>
      <c r="T809" t="s">
        <v>15691</v>
      </c>
      <c r="U809" t="s">
        <v>15692</v>
      </c>
      <c r="V809" t="s">
        <v>15693</v>
      </c>
      <c r="W809" t="s">
        <v>15694</v>
      </c>
      <c r="X809" t="s">
        <v>15695</v>
      </c>
      <c r="Y809" t="s">
        <v>15696</v>
      </c>
      <c r="Z809" t="s">
        <v>15697</v>
      </c>
      <c r="AA809" t="s">
        <v>15698</v>
      </c>
      <c r="AB809" t="s">
        <v>15699</v>
      </c>
      <c r="AC809" t="s">
        <v>15700</v>
      </c>
      <c r="AD809" t="s">
        <v>15701</v>
      </c>
      <c r="AE809" t="s">
        <v>15702</v>
      </c>
      <c r="AF809" t="s">
        <v>74</v>
      </c>
      <c r="AG809">
        <v>395</v>
      </c>
      <c r="AH809">
        <v>114</v>
      </c>
      <c r="AI809">
        <v>126</v>
      </c>
      <c r="AJ809">
        <v>5</v>
      </c>
      <c r="AK809">
        <v>68</v>
      </c>
      <c r="AL809" t="s">
        <v>182</v>
      </c>
      <c r="AM809" t="s">
        <v>183</v>
      </c>
      <c r="AN809" t="s">
        <v>184</v>
      </c>
      <c r="AO809" t="s">
        <v>185</v>
      </c>
      <c r="AP809" t="s">
        <v>186</v>
      </c>
      <c r="AQ809" t="s">
        <v>74</v>
      </c>
      <c r="AR809" t="s">
        <v>187</v>
      </c>
      <c r="AS809" t="s">
        <v>188</v>
      </c>
      <c r="AT809" t="s">
        <v>6722</v>
      </c>
      <c r="AU809">
        <v>2019</v>
      </c>
      <c r="AV809">
        <v>57</v>
      </c>
      <c r="AW809">
        <v>2</v>
      </c>
      <c r="AX809" t="s">
        <v>74</v>
      </c>
      <c r="AY809" t="s">
        <v>74</v>
      </c>
      <c r="AZ809" t="s">
        <v>74</v>
      </c>
      <c r="BA809" t="s">
        <v>74</v>
      </c>
      <c r="BB809">
        <v>376</v>
      </c>
      <c r="BC809">
        <v>420</v>
      </c>
      <c r="BD809" t="s">
        <v>74</v>
      </c>
      <c r="BE809" t="s">
        <v>15703</v>
      </c>
      <c r="BF809" t="str">
        <f>HYPERLINK("http://dx.doi.org/10.1029/2018RG000622","http://dx.doi.org/10.1029/2018RG000622")</f>
        <v>http://dx.doi.org/10.1029/2018RG000622</v>
      </c>
      <c r="BG809" t="s">
        <v>74</v>
      </c>
      <c r="BH809" t="s">
        <v>74</v>
      </c>
      <c r="BI809">
        <v>45</v>
      </c>
      <c r="BJ809" t="s">
        <v>190</v>
      </c>
      <c r="BK809" t="s">
        <v>101</v>
      </c>
      <c r="BL809" t="s">
        <v>190</v>
      </c>
      <c r="BM809" t="s">
        <v>15704</v>
      </c>
      <c r="BN809">
        <v>31598609</v>
      </c>
      <c r="BO809" t="s">
        <v>15705</v>
      </c>
      <c r="BP809" t="s">
        <v>74</v>
      </c>
      <c r="BQ809" t="s">
        <v>74</v>
      </c>
      <c r="BR809" t="s">
        <v>103</v>
      </c>
      <c r="BS809" t="s">
        <v>15706</v>
      </c>
      <c r="BT809" t="str">
        <f>HYPERLINK("https%3A%2F%2Fwww.webofscience.com%2Fwos%2Fwoscc%2Ffull-record%2FWOS:000477616400005","View Full Record in Web of Science")</f>
        <v>View Full Record in Web of Science</v>
      </c>
    </row>
    <row r="810" spans="1:72" x14ac:dyDescent="0.15">
      <c r="A810" t="s">
        <v>72</v>
      </c>
      <c r="B810" t="s">
        <v>15707</v>
      </c>
      <c r="C810" t="s">
        <v>74</v>
      </c>
      <c r="D810" t="s">
        <v>74</v>
      </c>
      <c r="E810" t="s">
        <v>74</v>
      </c>
      <c r="F810" t="s">
        <v>15708</v>
      </c>
      <c r="G810" t="s">
        <v>74</v>
      </c>
      <c r="H810" t="s">
        <v>74</v>
      </c>
      <c r="I810" t="s">
        <v>15709</v>
      </c>
      <c r="J810" t="s">
        <v>15710</v>
      </c>
      <c r="K810" t="s">
        <v>74</v>
      </c>
      <c r="L810" t="s">
        <v>74</v>
      </c>
      <c r="M810" t="s">
        <v>78</v>
      </c>
      <c r="N810" t="s">
        <v>108</v>
      </c>
      <c r="O810" t="s">
        <v>74</v>
      </c>
      <c r="P810" t="s">
        <v>74</v>
      </c>
      <c r="Q810" t="s">
        <v>74</v>
      </c>
      <c r="R810" t="s">
        <v>74</v>
      </c>
      <c r="S810" t="s">
        <v>74</v>
      </c>
      <c r="T810" t="s">
        <v>15711</v>
      </c>
      <c r="U810" t="s">
        <v>15712</v>
      </c>
      <c r="V810" t="s">
        <v>15713</v>
      </c>
      <c r="W810" t="s">
        <v>15714</v>
      </c>
      <c r="X810" t="s">
        <v>15715</v>
      </c>
      <c r="Y810" t="s">
        <v>15716</v>
      </c>
      <c r="Z810" t="s">
        <v>15717</v>
      </c>
      <c r="AA810" t="s">
        <v>15718</v>
      </c>
      <c r="AB810" t="s">
        <v>15719</v>
      </c>
      <c r="AC810" t="s">
        <v>15720</v>
      </c>
      <c r="AD810" t="s">
        <v>2329</v>
      </c>
      <c r="AE810" t="s">
        <v>74</v>
      </c>
      <c r="AF810" t="s">
        <v>74</v>
      </c>
      <c r="AG810">
        <v>49</v>
      </c>
      <c r="AH810">
        <v>10</v>
      </c>
      <c r="AI810">
        <v>10</v>
      </c>
      <c r="AJ810">
        <v>1</v>
      </c>
      <c r="AK810">
        <v>15</v>
      </c>
      <c r="AL810" t="s">
        <v>2723</v>
      </c>
      <c r="AM810" t="s">
        <v>657</v>
      </c>
      <c r="AN810" t="s">
        <v>2724</v>
      </c>
      <c r="AO810" t="s">
        <v>15721</v>
      </c>
      <c r="AP810" t="s">
        <v>74</v>
      </c>
      <c r="AQ810" t="s">
        <v>74</v>
      </c>
      <c r="AR810" t="s">
        <v>15722</v>
      </c>
      <c r="AS810" t="s">
        <v>15723</v>
      </c>
      <c r="AT810" t="s">
        <v>6722</v>
      </c>
      <c r="AU810">
        <v>2019</v>
      </c>
      <c r="AV810">
        <v>6</v>
      </c>
      <c r="AW810">
        <v>6</v>
      </c>
      <c r="AX810" t="s">
        <v>74</v>
      </c>
      <c r="AY810" t="s">
        <v>74</v>
      </c>
      <c r="AZ810" t="s">
        <v>74</v>
      </c>
      <c r="BA810" t="s">
        <v>74</v>
      </c>
      <c r="BB810" t="s">
        <v>74</v>
      </c>
      <c r="BC810" t="s">
        <v>74</v>
      </c>
      <c r="BD810">
        <v>190252</v>
      </c>
      <c r="BE810" t="s">
        <v>15724</v>
      </c>
      <c r="BF810" t="str">
        <f>HYPERLINK("http://dx.doi.org/10.1098/rsos.190252","http://dx.doi.org/10.1098/rsos.190252")</f>
        <v>http://dx.doi.org/10.1098/rsos.190252</v>
      </c>
      <c r="BG810" t="s">
        <v>74</v>
      </c>
      <c r="BH810" t="s">
        <v>74</v>
      </c>
      <c r="BI810">
        <v>10</v>
      </c>
      <c r="BJ810" t="s">
        <v>1004</v>
      </c>
      <c r="BK810" t="s">
        <v>101</v>
      </c>
      <c r="BL810" t="s">
        <v>1005</v>
      </c>
      <c r="BM810" t="s">
        <v>15725</v>
      </c>
      <c r="BN810">
        <v>31312491</v>
      </c>
      <c r="BO810" t="s">
        <v>4818</v>
      </c>
      <c r="BP810" t="s">
        <v>74</v>
      </c>
      <c r="BQ810" t="s">
        <v>74</v>
      </c>
      <c r="BR810" t="s">
        <v>103</v>
      </c>
      <c r="BS810" t="s">
        <v>15726</v>
      </c>
      <c r="BT810" t="str">
        <f>HYPERLINK("https%3A%2F%2Fwww.webofscience.com%2Fwos%2Fwoscc%2Ffull-record%2FWOS:000473797400028","View Full Record in Web of Science")</f>
        <v>View Full Record in Web of Science</v>
      </c>
    </row>
    <row r="811" spans="1:72" x14ac:dyDescent="0.15">
      <c r="A811" t="s">
        <v>72</v>
      </c>
      <c r="B811" t="s">
        <v>15727</v>
      </c>
      <c r="C811" t="s">
        <v>74</v>
      </c>
      <c r="D811" t="s">
        <v>74</v>
      </c>
      <c r="E811" t="s">
        <v>74</v>
      </c>
      <c r="F811" t="s">
        <v>15728</v>
      </c>
      <c r="G811" t="s">
        <v>74</v>
      </c>
      <c r="H811" t="s">
        <v>74</v>
      </c>
      <c r="I811" t="s">
        <v>15729</v>
      </c>
      <c r="J811" t="s">
        <v>3275</v>
      </c>
      <c r="K811" t="s">
        <v>74</v>
      </c>
      <c r="L811" t="s">
        <v>74</v>
      </c>
      <c r="M811" t="s">
        <v>78</v>
      </c>
      <c r="N811" t="s">
        <v>108</v>
      </c>
      <c r="O811" t="s">
        <v>74</v>
      </c>
      <c r="P811" t="s">
        <v>74</v>
      </c>
      <c r="Q811" t="s">
        <v>74</v>
      </c>
      <c r="R811" t="s">
        <v>74</v>
      </c>
      <c r="S811" t="s">
        <v>74</v>
      </c>
      <c r="T811" t="s">
        <v>74</v>
      </c>
      <c r="U811" t="s">
        <v>15730</v>
      </c>
      <c r="V811" t="s">
        <v>15731</v>
      </c>
      <c r="W811" t="s">
        <v>15732</v>
      </c>
      <c r="X811" t="s">
        <v>15733</v>
      </c>
      <c r="Y811" t="s">
        <v>15734</v>
      </c>
      <c r="Z811" t="s">
        <v>15735</v>
      </c>
      <c r="AA811" t="s">
        <v>15736</v>
      </c>
      <c r="AB811" t="s">
        <v>15737</v>
      </c>
      <c r="AC811" t="s">
        <v>15738</v>
      </c>
      <c r="AD811" t="s">
        <v>15739</v>
      </c>
      <c r="AE811" t="s">
        <v>15740</v>
      </c>
      <c r="AF811" t="s">
        <v>74</v>
      </c>
      <c r="AG811">
        <v>61</v>
      </c>
      <c r="AH811">
        <v>144</v>
      </c>
      <c r="AI811">
        <v>159</v>
      </c>
      <c r="AJ811">
        <v>2</v>
      </c>
      <c r="AK811">
        <v>25</v>
      </c>
      <c r="AL811" t="s">
        <v>3287</v>
      </c>
      <c r="AM811" t="s">
        <v>183</v>
      </c>
      <c r="AN811" t="s">
        <v>3288</v>
      </c>
      <c r="AO811" t="s">
        <v>3289</v>
      </c>
      <c r="AP811" t="s">
        <v>74</v>
      </c>
      <c r="AQ811" t="s">
        <v>74</v>
      </c>
      <c r="AR811" t="s">
        <v>3290</v>
      </c>
      <c r="AS811" t="s">
        <v>3291</v>
      </c>
      <c r="AT811" t="s">
        <v>6722</v>
      </c>
      <c r="AU811">
        <v>2019</v>
      </c>
      <c r="AV811">
        <v>5</v>
      </c>
      <c r="AW811">
        <v>6</v>
      </c>
      <c r="AX811" t="s">
        <v>74</v>
      </c>
      <c r="AY811" t="s">
        <v>74</v>
      </c>
      <c r="AZ811" t="s">
        <v>74</v>
      </c>
      <c r="BA811" t="s">
        <v>74</v>
      </c>
      <c r="BB811" t="s">
        <v>74</v>
      </c>
      <c r="BC811" t="s">
        <v>74</v>
      </c>
      <c r="BD811" t="s">
        <v>15741</v>
      </c>
      <c r="BE811" t="s">
        <v>15742</v>
      </c>
      <c r="BF811" t="str">
        <f>HYPERLINK("http://dx.doi.org/10.1126/sciadv.aav9396","http://dx.doi.org/10.1126/sciadv.aav9396")</f>
        <v>http://dx.doi.org/10.1126/sciadv.aav9396</v>
      </c>
      <c r="BG811" t="s">
        <v>74</v>
      </c>
      <c r="BH811" t="s">
        <v>74</v>
      </c>
      <c r="BI811">
        <v>11</v>
      </c>
      <c r="BJ811" t="s">
        <v>1004</v>
      </c>
      <c r="BK811" t="s">
        <v>101</v>
      </c>
      <c r="BL811" t="s">
        <v>1005</v>
      </c>
      <c r="BM811" t="s">
        <v>14078</v>
      </c>
      <c r="BN811">
        <v>31223652</v>
      </c>
      <c r="BO811" t="s">
        <v>331</v>
      </c>
      <c r="BP811" t="s">
        <v>1784</v>
      </c>
      <c r="BQ811" t="s">
        <v>1785</v>
      </c>
      <c r="BR811" t="s">
        <v>103</v>
      </c>
      <c r="BS811" t="s">
        <v>15743</v>
      </c>
      <c r="BT811" t="str">
        <f>HYPERLINK("https%3A%2F%2Fwww.webofscience.com%2Fwos%2Fwoscc%2Ffull-record%2FWOS:000473798500045","View Full Record in Web of Science")</f>
        <v>View Full Record in Web of Science</v>
      </c>
    </row>
    <row r="812" spans="1:72" x14ac:dyDescent="0.15">
      <c r="A812" t="s">
        <v>72</v>
      </c>
      <c r="B812" t="s">
        <v>15744</v>
      </c>
      <c r="C812" t="s">
        <v>74</v>
      </c>
      <c r="D812" t="s">
        <v>74</v>
      </c>
      <c r="E812" t="s">
        <v>74</v>
      </c>
      <c r="F812" t="s">
        <v>15745</v>
      </c>
      <c r="G812" t="s">
        <v>74</v>
      </c>
      <c r="H812" t="s">
        <v>74</v>
      </c>
      <c r="I812" t="s">
        <v>15746</v>
      </c>
      <c r="J812" t="s">
        <v>15747</v>
      </c>
      <c r="K812" t="s">
        <v>74</v>
      </c>
      <c r="L812" t="s">
        <v>74</v>
      </c>
      <c r="M812" t="s">
        <v>78</v>
      </c>
      <c r="N812" t="s">
        <v>108</v>
      </c>
      <c r="O812" t="s">
        <v>74</v>
      </c>
      <c r="P812" t="s">
        <v>74</v>
      </c>
      <c r="Q812" t="s">
        <v>74</v>
      </c>
      <c r="R812" t="s">
        <v>74</v>
      </c>
      <c r="S812" t="s">
        <v>74</v>
      </c>
      <c r="T812" t="s">
        <v>15748</v>
      </c>
      <c r="U812" t="s">
        <v>15749</v>
      </c>
      <c r="V812" t="s">
        <v>15750</v>
      </c>
      <c r="W812" t="s">
        <v>15751</v>
      </c>
      <c r="X812" t="s">
        <v>15752</v>
      </c>
      <c r="Y812" t="s">
        <v>15753</v>
      </c>
      <c r="Z812" t="s">
        <v>15754</v>
      </c>
      <c r="AA812" t="s">
        <v>15755</v>
      </c>
      <c r="AB812" t="s">
        <v>15756</v>
      </c>
      <c r="AC812" t="s">
        <v>15757</v>
      </c>
      <c r="AD812" t="s">
        <v>15757</v>
      </c>
      <c r="AE812" t="s">
        <v>15758</v>
      </c>
      <c r="AF812" t="s">
        <v>74</v>
      </c>
      <c r="AG812">
        <v>31</v>
      </c>
      <c r="AH812">
        <v>3</v>
      </c>
      <c r="AI812">
        <v>3</v>
      </c>
      <c r="AJ812">
        <v>1</v>
      </c>
      <c r="AK812">
        <v>13</v>
      </c>
      <c r="AL812" t="s">
        <v>438</v>
      </c>
      <c r="AM812" t="s">
        <v>439</v>
      </c>
      <c r="AN812" t="s">
        <v>440</v>
      </c>
      <c r="AO812" t="s">
        <v>74</v>
      </c>
      <c r="AP812" t="s">
        <v>15759</v>
      </c>
      <c r="AQ812" t="s">
        <v>74</v>
      </c>
      <c r="AR812" t="s">
        <v>15760</v>
      </c>
      <c r="AS812" t="s">
        <v>15761</v>
      </c>
      <c r="AT812" t="s">
        <v>6722</v>
      </c>
      <c r="AU812">
        <v>2019</v>
      </c>
      <c r="AV812">
        <v>7</v>
      </c>
      <c r="AW812" t="s">
        <v>74</v>
      </c>
      <c r="AX812" t="s">
        <v>74</v>
      </c>
      <c r="AY812" t="s">
        <v>74</v>
      </c>
      <c r="AZ812" t="s">
        <v>74</v>
      </c>
      <c r="BA812" t="s">
        <v>74</v>
      </c>
      <c r="BB812" t="s">
        <v>74</v>
      </c>
      <c r="BC812" t="s">
        <v>74</v>
      </c>
      <c r="BD812">
        <v>100057</v>
      </c>
      <c r="BE812" t="s">
        <v>15762</v>
      </c>
      <c r="BF812" t="str">
        <f>HYPERLINK("http://dx.doi.org/10.1016/j.vas.2019.100057","http://dx.doi.org/10.1016/j.vas.2019.100057")</f>
        <v>http://dx.doi.org/10.1016/j.vas.2019.100057</v>
      </c>
      <c r="BG812" t="s">
        <v>74</v>
      </c>
      <c r="BH812" t="s">
        <v>74</v>
      </c>
      <c r="BI812">
        <v>6</v>
      </c>
      <c r="BJ812" t="s">
        <v>15763</v>
      </c>
      <c r="BK812" t="s">
        <v>2978</v>
      </c>
      <c r="BL812" t="s">
        <v>15764</v>
      </c>
      <c r="BM812" t="s">
        <v>15765</v>
      </c>
      <c r="BN812">
        <v>32734078</v>
      </c>
      <c r="BO812" t="s">
        <v>313</v>
      </c>
      <c r="BP812" t="s">
        <v>74</v>
      </c>
      <c r="BQ812" t="s">
        <v>74</v>
      </c>
      <c r="BR812" t="s">
        <v>103</v>
      </c>
      <c r="BS812" t="s">
        <v>15766</v>
      </c>
      <c r="BT812" t="str">
        <f>HYPERLINK("https%3A%2F%2Fwww.webofscience.com%2Fwos%2Fwoscc%2Ffull-record%2FWOS:000548312500018","View Full Record in Web of Science")</f>
        <v>View Full Record in Web of Science</v>
      </c>
    </row>
    <row r="813" spans="1:72" x14ac:dyDescent="0.15">
      <c r="A813" t="s">
        <v>72</v>
      </c>
      <c r="B813" t="s">
        <v>15767</v>
      </c>
      <c r="C813" t="s">
        <v>74</v>
      </c>
      <c r="D813" t="s">
        <v>74</v>
      </c>
      <c r="E813" t="s">
        <v>74</v>
      </c>
      <c r="F813" t="s">
        <v>15768</v>
      </c>
      <c r="G813" t="s">
        <v>74</v>
      </c>
      <c r="H813" t="s">
        <v>74</v>
      </c>
      <c r="I813" t="s">
        <v>15769</v>
      </c>
      <c r="J813" t="s">
        <v>8630</v>
      </c>
      <c r="K813" t="s">
        <v>74</v>
      </c>
      <c r="L813" t="s">
        <v>74</v>
      </c>
      <c r="M813" t="s">
        <v>78</v>
      </c>
      <c r="N813" t="s">
        <v>108</v>
      </c>
      <c r="O813" t="s">
        <v>74</v>
      </c>
      <c r="P813" t="s">
        <v>74</v>
      </c>
      <c r="Q813" t="s">
        <v>74</v>
      </c>
      <c r="R813" t="s">
        <v>74</v>
      </c>
      <c r="S813" t="s">
        <v>74</v>
      </c>
      <c r="T813" t="s">
        <v>15770</v>
      </c>
      <c r="U813" t="s">
        <v>15771</v>
      </c>
      <c r="V813" t="s">
        <v>15772</v>
      </c>
      <c r="W813" t="s">
        <v>15773</v>
      </c>
      <c r="X813" t="s">
        <v>15774</v>
      </c>
      <c r="Y813" t="s">
        <v>15775</v>
      </c>
      <c r="Z813" t="s">
        <v>15776</v>
      </c>
      <c r="AA813" t="s">
        <v>15777</v>
      </c>
      <c r="AB813" t="s">
        <v>15778</v>
      </c>
      <c r="AC813" t="s">
        <v>15779</v>
      </c>
      <c r="AD813" t="s">
        <v>15780</v>
      </c>
      <c r="AE813" t="s">
        <v>15781</v>
      </c>
      <c r="AF813" t="s">
        <v>74</v>
      </c>
      <c r="AG813">
        <v>181</v>
      </c>
      <c r="AH813">
        <v>9</v>
      </c>
      <c r="AI813">
        <v>10</v>
      </c>
      <c r="AJ813">
        <v>1</v>
      </c>
      <c r="AK813">
        <v>22</v>
      </c>
      <c r="AL813" t="s">
        <v>3084</v>
      </c>
      <c r="AM813" t="s">
        <v>93</v>
      </c>
      <c r="AN813" t="s">
        <v>3085</v>
      </c>
      <c r="AO813" t="s">
        <v>8642</v>
      </c>
      <c r="AP813" t="s">
        <v>8643</v>
      </c>
      <c r="AQ813" t="s">
        <v>74</v>
      </c>
      <c r="AR813" t="s">
        <v>8644</v>
      </c>
      <c r="AS813" t="s">
        <v>8645</v>
      </c>
      <c r="AT813" t="s">
        <v>6722</v>
      </c>
      <c r="AU813">
        <v>2019</v>
      </c>
      <c r="AV813">
        <v>186</v>
      </c>
      <c r="AW813">
        <v>2</v>
      </c>
      <c r="AX813" t="s">
        <v>74</v>
      </c>
      <c r="AY813" t="s">
        <v>74</v>
      </c>
      <c r="AZ813" t="s">
        <v>74</v>
      </c>
      <c r="BA813" t="s">
        <v>74</v>
      </c>
      <c r="BB813">
        <v>303</v>
      </c>
      <c r="BC813">
        <v>336</v>
      </c>
      <c r="BD813" t="s">
        <v>74</v>
      </c>
      <c r="BE813" t="s">
        <v>15782</v>
      </c>
      <c r="BF813" t="str">
        <f>HYPERLINK("http://dx.doi.org/10.1093/zoolinnean/zly067","http://dx.doi.org/10.1093/zoolinnean/zly067")</f>
        <v>http://dx.doi.org/10.1093/zoolinnean/zly067</v>
      </c>
      <c r="BG813" t="s">
        <v>74</v>
      </c>
      <c r="BH813" t="s">
        <v>74</v>
      </c>
      <c r="BI813">
        <v>34</v>
      </c>
      <c r="BJ813" t="s">
        <v>1348</v>
      </c>
      <c r="BK813" t="s">
        <v>101</v>
      </c>
      <c r="BL813" t="s">
        <v>1348</v>
      </c>
      <c r="BM813" t="s">
        <v>14963</v>
      </c>
      <c r="BN813" t="s">
        <v>74</v>
      </c>
      <c r="BO813" t="s">
        <v>74</v>
      </c>
      <c r="BP813" t="s">
        <v>74</v>
      </c>
      <c r="BQ813" t="s">
        <v>74</v>
      </c>
      <c r="BR813" t="s">
        <v>103</v>
      </c>
      <c r="BS813" t="s">
        <v>15783</v>
      </c>
      <c r="BT813" t="str">
        <f>HYPERLINK("https%3A%2F%2Fwww.webofscience.com%2Fwos%2Fwoscc%2Ffull-record%2FWOS:000469821200001","View Full Record in Web of Science")</f>
        <v>View Full Record in Web of Science</v>
      </c>
    </row>
    <row r="814" spans="1:72" x14ac:dyDescent="0.15">
      <c r="A814" t="s">
        <v>72</v>
      </c>
      <c r="B814" t="s">
        <v>15784</v>
      </c>
      <c r="C814" t="s">
        <v>74</v>
      </c>
      <c r="D814" t="s">
        <v>74</v>
      </c>
      <c r="E814" t="s">
        <v>74</v>
      </c>
      <c r="F814" t="s">
        <v>15785</v>
      </c>
      <c r="G814" t="s">
        <v>74</v>
      </c>
      <c r="H814" t="s">
        <v>74</v>
      </c>
      <c r="I814" t="s">
        <v>15786</v>
      </c>
      <c r="J814" t="s">
        <v>15787</v>
      </c>
      <c r="K814" t="s">
        <v>74</v>
      </c>
      <c r="L814" t="s">
        <v>74</v>
      </c>
      <c r="M814" t="s">
        <v>78</v>
      </c>
      <c r="N814" t="s">
        <v>108</v>
      </c>
      <c r="O814" t="s">
        <v>74</v>
      </c>
      <c r="P814" t="s">
        <v>74</v>
      </c>
      <c r="Q814" t="s">
        <v>74</v>
      </c>
      <c r="R814" t="s">
        <v>74</v>
      </c>
      <c r="S814" t="s">
        <v>74</v>
      </c>
      <c r="T814" t="s">
        <v>15788</v>
      </c>
      <c r="U814" t="s">
        <v>15789</v>
      </c>
      <c r="V814" t="s">
        <v>15790</v>
      </c>
      <c r="W814" t="s">
        <v>15791</v>
      </c>
      <c r="X814" t="s">
        <v>15792</v>
      </c>
      <c r="Y814" t="s">
        <v>15793</v>
      </c>
      <c r="Z814" t="s">
        <v>9933</v>
      </c>
      <c r="AA814" t="s">
        <v>15794</v>
      </c>
      <c r="AB814" t="s">
        <v>15795</v>
      </c>
      <c r="AC814" t="s">
        <v>15796</v>
      </c>
      <c r="AD814" t="s">
        <v>15797</v>
      </c>
      <c r="AE814" t="s">
        <v>15798</v>
      </c>
      <c r="AF814" t="s">
        <v>74</v>
      </c>
      <c r="AG814">
        <v>72</v>
      </c>
      <c r="AH814">
        <v>10</v>
      </c>
      <c r="AI814">
        <v>10</v>
      </c>
      <c r="AJ814">
        <v>1</v>
      </c>
      <c r="AK814">
        <v>16</v>
      </c>
      <c r="AL814" t="s">
        <v>154</v>
      </c>
      <c r="AM814" t="s">
        <v>155</v>
      </c>
      <c r="AN814" t="s">
        <v>156</v>
      </c>
      <c r="AO814" t="s">
        <v>15799</v>
      </c>
      <c r="AP814" t="s">
        <v>15800</v>
      </c>
      <c r="AQ814" t="s">
        <v>74</v>
      </c>
      <c r="AR814" t="s">
        <v>15801</v>
      </c>
      <c r="AS814" t="s">
        <v>15802</v>
      </c>
      <c r="AT814" t="s">
        <v>6722</v>
      </c>
      <c r="AU814">
        <v>2019</v>
      </c>
      <c r="AV814">
        <v>53</v>
      </c>
      <c r="AW814">
        <v>2</v>
      </c>
      <c r="AX814" t="s">
        <v>74</v>
      </c>
      <c r="AY814" t="s">
        <v>74</v>
      </c>
      <c r="AZ814" t="s">
        <v>74</v>
      </c>
      <c r="BA814" t="s">
        <v>74</v>
      </c>
      <c r="BB814">
        <v>179</v>
      </c>
      <c r="BC814">
        <v>190</v>
      </c>
      <c r="BD814" t="s">
        <v>74</v>
      </c>
      <c r="BE814" t="s">
        <v>15803</v>
      </c>
      <c r="BF814" t="str">
        <f>HYPERLINK("http://dx.doi.org/10.1007/s10452-019-09681-9","http://dx.doi.org/10.1007/s10452-019-09681-9")</f>
        <v>http://dx.doi.org/10.1007/s10452-019-09681-9</v>
      </c>
      <c r="BG814" t="s">
        <v>74</v>
      </c>
      <c r="BH814" t="s">
        <v>74</v>
      </c>
      <c r="BI814">
        <v>12</v>
      </c>
      <c r="BJ814" t="s">
        <v>15804</v>
      </c>
      <c r="BK814" t="s">
        <v>101</v>
      </c>
      <c r="BL814" t="s">
        <v>877</v>
      </c>
      <c r="BM814" t="s">
        <v>15805</v>
      </c>
      <c r="BN814" t="s">
        <v>74</v>
      </c>
      <c r="BO814" t="s">
        <v>595</v>
      </c>
      <c r="BP814" t="s">
        <v>74</v>
      </c>
      <c r="BQ814" t="s">
        <v>74</v>
      </c>
      <c r="BR814" t="s">
        <v>103</v>
      </c>
      <c r="BS814" t="s">
        <v>15806</v>
      </c>
      <c r="BT814" t="str">
        <f>HYPERLINK("https%3A%2F%2Fwww.webofscience.com%2Fwos%2Fwoscc%2Ffull-record%2FWOS:000467538000003","View Full Record in Web of Science")</f>
        <v>View Full Record in Web of Science</v>
      </c>
    </row>
    <row r="815" spans="1:72" x14ac:dyDescent="0.15">
      <c r="A815" t="s">
        <v>72</v>
      </c>
      <c r="B815" t="s">
        <v>15807</v>
      </c>
      <c r="C815" t="s">
        <v>74</v>
      </c>
      <c r="D815" t="s">
        <v>74</v>
      </c>
      <c r="E815" t="s">
        <v>74</v>
      </c>
      <c r="F815" t="s">
        <v>15808</v>
      </c>
      <c r="G815" t="s">
        <v>74</v>
      </c>
      <c r="H815" t="s">
        <v>74</v>
      </c>
      <c r="I815" t="s">
        <v>15809</v>
      </c>
      <c r="J815" t="s">
        <v>238</v>
      </c>
      <c r="K815" t="s">
        <v>74</v>
      </c>
      <c r="L815" t="s">
        <v>74</v>
      </c>
      <c r="M815" t="s">
        <v>78</v>
      </c>
      <c r="N815" t="s">
        <v>108</v>
      </c>
      <c r="O815" t="s">
        <v>74</v>
      </c>
      <c r="P815" t="s">
        <v>74</v>
      </c>
      <c r="Q815" t="s">
        <v>74</v>
      </c>
      <c r="R815" t="s">
        <v>74</v>
      </c>
      <c r="S815" t="s">
        <v>74</v>
      </c>
      <c r="T815" t="s">
        <v>15810</v>
      </c>
      <c r="U815" t="s">
        <v>15811</v>
      </c>
      <c r="V815" t="s">
        <v>15812</v>
      </c>
      <c r="W815" t="s">
        <v>15813</v>
      </c>
      <c r="X815" t="s">
        <v>15814</v>
      </c>
      <c r="Y815" t="s">
        <v>15815</v>
      </c>
      <c r="Z815" t="s">
        <v>15816</v>
      </c>
      <c r="AA815" t="s">
        <v>15817</v>
      </c>
      <c r="AB815" t="s">
        <v>15818</v>
      </c>
      <c r="AC815" t="s">
        <v>15819</v>
      </c>
      <c r="AD815" t="s">
        <v>15820</v>
      </c>
      <c r="AE815" t="s">
        <v>15821</v>
      </c>
      <c r="AF815" t="s">
        <v>74</v>
      </c>
      <c r="AG815">
        <v>76</v>
      </c>
      <c r="AH815">
        <v>13</v>
      </c>
      <c r="AI815">
        <v>14</v>
      </c>
      <c r="AJ815">
        <v>0</v>
      </c>
      <c r="AK815">
        <v>17</v>
      </c>
      <c r="AL815" t="s">
        <v>251</v>
      </c>
      <c r="AM815" t="s">
        <v>252</v>
      </c>
      <c r="AN815" t="s">
        <v>253</v>
      </c>
      <c r="AO815" t="s">
        <v>254</v>
      </c>
      <c r="AP815" t="s">
        <v>255</v>
      </c>
      <c r="AQ815" t="s">
        <v>74</v>
      </c>
      <c r="AR815" t="s">
        <v>256</v>
      </c>
      <c r="AS815" t="s">
        <v>257</v>
      </c>
      <c r="AT815" t="s">
        <v>6722</v>
      </c>
      <c r="AU815">
        <v>2019</v>
      </c>
      <c r="AV815">
        <v>32</v>
      </c>
      <c r="AW815">
        <v>11</v>
      </c>
      <c r="AX815" t="s">
        <v>74</v>
      </c>
      <c r="AY815" t="s">
        <v>74</v>
      </c>
      <c r="AZ815" t="s">
        <v>74</v>
      </c>
      <c r="BA815" t="s">
        <v>74</v>
      </c>
      <c r="BB815">
        <v>3131</v>
      </c>
      <c r="BC815">
        <v>3151</v>
      </c>
      <c r="BD815" t="s">
        <v>74</v>
      </c>
      <c r="BE815" t="s">
        <v>15822</v>
      </c>
      <c r="BF815" t="str">
        <f>HYPERLINK("http://dx.doi.org/10.1175/JCLI-D-18-0273.1","http://dx.doi.org/10.1175/JCLI-D-18-0273.1")</f>
        <v>http://dx.doi.org/10.1175/JCLI-D-18-0273.1</v>
      </c>
      <c r="BG815" t="s">
        <v>74</v>
      </c>
      <c r="BH815" t="s">
        <v>74</v>
      </c>
      <c r="BI815">
        <v>21</v>
      </c>
      <c r="BJ815" t="s">
        <v>259</v>
      </c>
      <c r="BK815" t="s">
        <v>101</v>
      </c>
      <c r="BL815" t="s">
        <v>259</v>
      </c>
      <c r="BM815" t="s">
        <v>15823</v>
      </c>
      <c r="BN815" t="s">
        <v>74</v>
      </c>
      <c r="BO815" t="s">
        <v>13643</v>
      </c>
      <c r="BP815" t="s">
        <v>74</v>
      </c>
      <c r="BQ815" t="s">
        <v>74</v>
      </c>
      <c r="BR815" t="s">
        <v>103</v>
      </c>
      <c r="BS815" t="s">
        <v>15824</v>
      </c>
      <c r="BT815" t="str">
        <f>HYPERLINK("https%3A%2F%2Fwww.webofscience.com%2Fwos%2Fwoscc%2Ffull-record%2FWOS:000467307600001","View Full Record in Web of Science")</f>
        <v>View Full Record in Web of Science</v>
      </c>
    </row>
    <row r="816" spans="1:72" x14ac:dyDescent="0.15">
      <c r="A816" t="s">
        <v>72</v>
      </c>
      <c r="B816" t="s">
        <v>15825</v>
      </c>
      <c r="C816" t="s">
        <v>74</v>
      </c>
      <c r="D816" t="s">
        <v>74</v>
      </c>
      <c r="E816" t="s">
        <v>74</v>
      </c>
      <c r="F816" t="s">
        <v>15826</v>
      </c>
      <c r="G816" t="s">
        <v>74</v>
      </c>
      <c r="H816" t="s">
        <v>74</v>
      </c>
      <c r="I816" t="s">
        <v>15827</v>
      </c>
      <c r="J816" t="s">
        <v>15828</v>
      </c>
      <c r="K816" t="s">
        <v>74</v>
      </c>
      <c r="L816" t="s">
        <v>74</v>
      </c>
      <c r="M816" t="s">
        <v>78</v>
      </c>
      <c r="N816" t="s">
        <v>15829</v>
      </c>
      <c r="O816" t="s">
        <v>74</v>
      </c>
      <c r="P816" t="s">
        <v>74</v>
      </c>
      <c r="Q816" t="s">
        <v>74</v>
      </c>
      <c r="R816" t="s">
        <v>74</v>
      </c>
      <c r="S816" t="s">
        <v>74</v>
      </c>
      <c r="T816" t="s">
        <v>74</v>
      </c>
      <c r="U816" t="s">
        <v>74</v>
      </c>
      <c r="V816" t="s">
        <v>74</v>
      </c>
      <c r="W816" t="s">
        <v>15830</v>
      </c>
      <c r="X816" t="s">
        <v>15831</v>
      </c>
      <c r="Y816" t="s">
        <v>15832</v>
      </c>
      <c r="Z816" t="s">
        <v>15833</v>
      </c>
      <c r="AA816" t="s">
        <v>15834</v>
      </c>
      <c r="AB816" t="s">
        <v>15835</v>
      </c>
      <c r="AC816" t="s">
        <v>15836</v>
      </c>
      <c r="AD816" t="s">
        <v>15837</v>
      </c>
      <c r="AE816" t="s">
        <v>15838</v>
      </c>
      <c r="AF816" t="s">
        <v>74</v>
      </c>
      <c r="AG816">
        <v>10</v>
      </c>
      <c r="AH816">
        <v>1</v>
      </c>
      <c r="AI816">
        <v>1</v>
      </c>
      <c r="AJ816">
        <v>0</v>
      </c>
      <c r="AK816">
        <v>1</v>
      </c>
      <c r="AL816" t="s">
        <v>15839</v>
      </c>
      <c r="AM816" t="s">
        <v>657</v>
      </c>
      <c r="AN816" t="s">
        <v>15840</v>
      </c>
      <c r="AO816" t="s">
        <v>15841</v>
      </c>
      <c r="AP816" t="s">
        <v>15842</v>
      </c>
      <c r="AQ816" t="s">
        <v>74</v>
      </c>
      <c r="AR816" t="s">
        <v>15843</v>
      </c>
      <c r="AS816" t="s">
        <v>15844</v>
      </c>
      <c r="AT816" t="s">
        <v>6722</v>
      </c>
      <c r="AU816">
        <v>2019</v>
      </c>
      <c r="AV816">
        <v>78</v>
      </c>
      <c r="AW816">
        <v>6</v>
      </c>
      <c r="AX816" t="s">
        <v>74</v>
      </c>
      <c r="AY816" t="s">
        <v>74</v>
      </c>
      <c r="AZ816" t="s">
        <v>74</v>
      </c>
      <c r="BA816" t="s">
        <v>74</v>
      </c>
      <c r="BB816">
        <v>495</v>
      </c>
      <c r="BC816">
        <v>497</v>
      </c>
      <c r="BD816" t="s">
        <v>74</v>
      </c>
      <c r="BE816" t="s">
        <v>15845</v>
      </c>
      <c r="BF816" t="str">
        <f>HYPERLINK("http://dx.doi.org/10.1016/j.jinf.2019.03.007","http://dx.doi.org/10.1016/j.jinf.2019.03.007")</f>
        <v>http://dx.doi.org/10.1016/j.jinf.2019.03.007</v>
      </c>
      <c r="BG816" t="s">
        <v>74</v>
      </c>
      <c r="BH816" t="s">
        <v>74</v>
      </c>
      <c r="BI816">
        <v>3</v>
      </c>
      <c r="BJ816" t="s">
        <v>15846</v>
      </c>
      <c r="BK816" t="s">
        <v>101</v>
      </c>
      <c r="BL816" t="s">
        <v>15846</v>
      </c>
      <c r="BM816" t="s">
        <v>15847</v>
      </c>
      <c r="BN816">
        <v>30878576</v>
      </c>
      <c r="BO816" t="s">
        <v>1125</v>
      </c>
      <c r="BP816" t="s">
        <v>74</v>
      </c>
      <c r="BQ816" t="s">
        <v>74</v>
      </c>
      <c r="BR816" t="s">
        <v>103</v>
      </c>
      <c r="BS816" t="s">
        <v>15848</v>
      </c>
      <c r="BT816" t="str">
        <f>HYPERLINK("https%3A%2F%2Fwww.webofscience.com%2Fwos%2Fwoscc%2Ffull-record%2FWOS:000467533200012","View Full Record in Web of Science")</f>
        <v>View Full Record in Web of Science</v>
      </c>
    </row>
    <row r="817" spans="1:72" x14ac:dyDescent="0.15">
      <c r="A817" t="s">
        <v>72</v>
      </c>
      <c r="B817" t="s">
        <v>15849</v>
      </c>
      <c r="C817" t="s">
        <v>74</v>
      </c>
      <c r="D817" t="s">
        <v>74</v>
      </c>
      <c r="E817" t="s">
        <v>74</v>
      </c>
      <c r="F817" t="s">
        <v>15850</v>
      </c>
      <c r="G817" t="s">
        <v>74</v>
      </c>
      <c r="H817" t="s">
        <v>74</v>
      </c>
      <c r="I817" t="s">
        <v>15851</v>
      </c>
      <c r="J817" t="s">
        <v>5625</v>
      </c>
      <c r="K817" t="s">
        <v>74</v>
      </c>
      <c r="L817" t="s">
        <v>74</v>
      </c>
      <c r="M817" t="s">
        <v>78</v>
      </c>
      <c r="N817" t="s">
        <v>108</v>
      </c>
      <c r="O817" t="s">
        <v>74</v>
      </c>
      <c r="P817" t="s">
        <v>74</v>
      </c>
      <c r="Q817" t="s">
        <v>74</v>
      </c>
      <c r="R817" t="s">
        <v>74</v>
      </c>
      <c r="S817" t="s">
        <v>74</v>
      </c>
      <c r="T817" t="s">
        <v>15852</v>
      </c>
      <c r="U817" t="s">
        <v>15853</v>
      </c>
      <c r="V817" t="s">
        <v>15854</v>
      </c>
      <c r="W817" t="s">
        <v>15855</v>
      </c>
      <c r="X817" t="s">
        <v>15856</v>
      </c>
      <c r="Y817" t="s">
        <v>15857</v>
      </c>
      <c r="Z817" t="s">
        <v>15858</v>
      </c>
      <c r="AA817" t="s">
        <v>15859</v>
      </c>
      <c r="AB817" t="s">
        <v>15860</v>
      </c>
      <c r="AC817" t="s">
        <v>15861</v>
      </c>
      <c r="AD817" t="s">
        <v>15862</v>
      </c>
      <c r="AE817" t="s">
        <v>15863</v>
      </c>
      <c r="AF817" t="s">
        <v>74</v>
      </c>
      <c r="AG817">
        <v>98</v>
      </c>
      <c r="AH817">
        <v>85</v>
      </c>
      <c r="AI817">
        <v>89</v>
      </c>
      <c r="AJ817">
        <v>8</v>
      </c>
      <c r="AK817">
        <v>52</v>
      </c>
      <c r="AL817" t="s">
        <v>3533</v>
      </c>
      <c r="AM817" t="s">
        <v>93</v>
      </c>
      <c r="AN817" t="s">
        <v>3534</v>
      </c>
      <c r="AO817" t="s">
        <v>5637</v>
      </c>
      <c r="AP817" t="s">
        <v>5638</v>
      </c>
      <c r="AQ817" t="s">
        <v>74</v>
      </c>
      <c r="AR817" t="s">
        <v>5639</v>
      </c>
      <c r="AS817" t="s">
        <v>5640</v>
      </c>
      <c r="AT817" t="s">
        <v>6722</v>
      </c>
      <c r="AU817">
        <v>2019</v>
      </c>
      <c r="AV817">
        <v>104</v>
      </c>
      <c r="AW817" t="s">
        <v>74</v>
      </c>
      <c r="AX817" t="s">
        <v>74</v>
      </c>
      <c r="AY817" t="s">
        <v>74</v>
      </c>
      <c r="AZ817" t="s">
        <v>74</v>
      </c>
      <c r="BA817" t="s">
        <v>74</v>
      </c>
      <c r="BB817">
        <v>90</v>
      </c>
      <c r="BC817">
        <v>102</v>
      </c>
      <c r="BD817" t="s">
        <v>74</v>
      </c>
      <c r="BE817" t="s">
        <v>15864</v>
      </c>
      <c r="BF817" t="str">
        <f>HYPERLINK("http://dx.doi.org/10.1016/j.marpol.2019.02.050","http://dx.doi.org/10.1016/j.marpol.2019.02.050")</f>
        <v>http://dx.doi.org/10.1016/j.marpol.2019.02.050</v>
      </c>
      <c r="BG817" t="s">
        <v>74</v>
      </c>
      <c r="BH817" t="s">
        <v>74</v>
      </c>
      <c r="BI817">
        <v>13</v>
      </c>
      <c r="BJ817" t="s">
        <v>5642</v>
      </c>
      <c r="BK817" t="s">
        <v>1490</v>
      </c>
      <c r="BL817" t="s">
        <v>5643</v>
      </c>
      <c r="BM817" t="s">
        <v>15865</v>
      </c>
      <c r="BN817" t="s">
        <v>74</v>
      </c>
      <c r="BO817" t="s">
        <v>6648</v>
      </c>
      <c r="BP817" t="s">
        <v>1784</v>
      </c>
      <c r="BQ817" t="s">
        <v>1785</v>
      </c>
      <c r="BR817" t="s">
        <v>103</v>
      </c>
      <c r="BS817" t="s">
        <v>15866</v>
      </c>
      <c r="BT817" t="str">
        <f>HYPERLINK("https%3A%2F%2Fwww.webofscience.com%2Fwos%2Fwoscc%2Ffull-record%2FWOS:000467509500010","View Full Record in Web of Science")</f>
        <v>View Full Record in Web of Science</v>
      </c>
    </row>
    <row r="818" spans="1:72" x14ac:dyDescent="0.15">
      <c r="A818" t="s">
        <v>72</v>
      </c>
      <c r="B818" t="s">
        <v>15867</v>
      </c>
      <c r="C818" t="s">
        <v>74</v>
      </c>
      <c r="D818" t="s">
        <v>74</v>
      </c>
      <c r="E818" t="s">
        <v>74</v>
      </c>
      <c r="F818" t="s">
        <v>15868</v>
      </c>
      <c r="G818" t="s">
        <v>74</v>
      </c>
      <c r="H818" t="s">
        <v>74</v>
      </c>
      <c r="I818" t="s">
        <v>15869</v>
      </c>
      <c r="J818" t="s">
        <v>15870</v>
      </c>
      <c r="K818" t="s">
        <v>74</v>
      </c>
      <c r="L818" t="s">
        <v>74</v>
      </c>
      <c r="M818" t="s">
        <v>78</v>
      </c>
      <c r="N818" t="s">
        <v>108</v>
      </c>
      <c r="O818" t="s">
        <v>74</v>
      </c>
      <c r="P818" t="s">
        <v>74</v>
      </c>
      <c r="Q818" t="s">
        <v>74</v>
      </c>
      <c r="R818" t="s">
        <v>74</v>
      </c>
      <c r="S818" t="s">
        <v>74</v>
      </c>
      <c r="T818" t="s">
        <v>15871</v>
      </c>
      <c r="U818" t="s">
        <v>15872</v>
      </c>
      <c r="V818" t="s">
        <v>15873</v>
      </c>
      <c r="W818" t="s">
        <v>15874</v>
      </c>
      <c r="X818" t="s">
        <v>15875</v>
      </c>
      <c r="Y818" t="s">
        <v>15876</v>
      </c>
      <c r="Z818" t="s">
        <v>15877</v>
      </c>
      <c r="AA818" t="s">
        <v>15878</v>
      </c>
      <c r="AB818" t="s">
        <v>15879</v>
      </c>
      <c r="AC818" t="s">
        <v>15880</v>
      </c>
      <c r="AD818" t="s">
        <v>15881</v>
      </c>
      <c r="AE818" t="s">
        <v>15882</v>
      </c>
      <c r="AF818" t="s">
        <v>74</v>
      </c>
      <c r="AG818">
        <v>43</v>
      </c>
      <c r="AH818">
        <v>6</v>
      </c>
      <c r="AI818">
        <v>7</v>
      </c>
      <c r="AJ818">
        <v>1</v>
      </c>
      <c r="AK818">
        <v>23</v>
      </c>
      <c r="AL818" t="s">
        <v>1140</v>
      </c>
      <c r="AM818" t="s">
        <v>1141</v>
      </c>
      <c r="AN818" t="s">
        <v>1142</v>
      </c>
      <c r="AO818" t="s">
        <v>15883</v>
      </c>
      <c r="AP818" t="s">
        <v>15884</v>
      </c>
      <c r="AQ818" t="s">
        <v>74</v>
      </c>
      <c r="AR818" t="s">
        <v>15885</v>
      </c>
      <c r="AS818" t="s">
        <v>15886</v>
      </c>
      <c r="AT818" t="s">
        <v>6722</v>
      </c>
      <c r="AU818">
        <v>2019</v>
      </c>
      <c r="AV818">
        <v>59</v>
      </c>
      <c r="AW818">
        <v>3</v>
      </c>
      <c r="AX818" t="s">
        <v>74</v>
      </c>
      <c r="AY818" t="s">
        <v>74</v>
      </c>
      <c r="AZ818" t="s">
        <v>74</v>
      </c>
      <c r="BA818" t="s">
        <v>74</v>
      </c>
      <c r="BB818">
        <v>180</v>
      </c>
      <c r="BC818">
        <v>190</v>
      </c>
      <c r="BD818" t="s">
        <v>74</v>
      </c>
      <c r="BE818" t="s">
        <v>15887</v>
      </c>
      <c r="BF818" t="str">
        <f>HYPERLINK("http://dx.doi.org/10.1111/wre.12355","http://dx.doi.org/10.1111/wre.12355")</f>
        <v>http://dx.doi.org/10.1111/wre.12355</v>
      </c>
      <c r="BG818" t="s">
        <v>74</v>
      </c>
      <c r="BH818" t="s">
        <v>74</v>
      </c>
      <c r="BI818">
        <v>11</v>
      </c>
      <c r="BJ818" t="s">
        <v>15888</v>
      </c>
      <c r="BK818" t="s">
        <v>101</v>
      </c>
      <c r="BL818" t="s">
        <v>15889</v>
      </c>
      <c r="BM818" t="s">
        <v>15890</v>
      </c>
      <c r="BN818" t="s">
        <v>74</v>
      </c>
      <c r="BO818" t="s">
        <v>74</v>
      </c>
      <c r="BP818" t="s">
        <v>74</v>
      </c>
      <c r="BQ818" t="s">
        <v>74</v>
      </c>
      <c r="BR818" t="s">
        <v>103</v>
      </c>
      <c r="BS818" t="s">
        <v>15891</v>
      </c>
      <c r="BT818" t="str">
        <f>HYPERLINK("https%3A%2F%2Fwww.webofscience.com%2Fwos%2Fwoscc%2Ffull-record%2FWOS:000467568500003","View Full Record in Web of Science")</f>
        <v>View Full Record in Web of Science</v>
      </c>
    </row>
    <row r="819" spans="1:72" x14ac:dyDescent="0.15">
      <c r="A819" t="s">
        <v>72</v>
      </c>
      <c r="B819" t="s">
        <v>15892</v>
      </c>
      <c r="C819" t="s">
        <v>74</v>
      </c>
      <c r="D819" t="s">
        <v>74</v>
      </c>
      <c r="E819" t="s">
        <v>74</v>
      </c>
      <c r="F819" t="s">
        <v>15893</v>
      </c>
      <c r="G819" t="s">
        <v>74</v>
      </c>
      <c r="H819" t="s">
        <v>74</v>
      </c>
      <c r="I819" t="s">
        <v>15894</v>
      </c>
      <c r="J819" t="s">
        <v>15895</v>
      </c>
      <c r="K819" t="s">
        <v>74</v>
      </c>
      <c r="L819" t="s">
        <v>74</v>
      </c>
      <c r="M819" t="s">
        <v>78</v>
      </c>
      <c r="N819" t="s">
        <v>108</v>
      </c>
      <c r="O819" t="s">
        <v>74</v>
      </c>
      <c r="P819" t="s">
        <v>74</v>
      </c>
      <c r="Q819" t="s">
        <v>74</v>
      </c>
      <c r="R819" t="s">
        <v>74</v>
      </c>
      <c r="S819" t="s">
        <v>74</v>
      </c>
      <c r="T819" t="s">
        <v>15896</v>
      </c>
      <c r="U819" t="s">
        <v>15897</v>
      </c>
      <c r="V819" t="s">
        <v>15898</v>
      </c>
      <c r="W819" t="s">
        <v>15899</v>
      </c>
      <c r="X819" t="s">
        <v>15900</v>
      </c>
      <c r="Y819" t="s">
        <v>15901</v>
      </c>
      <c r="Z819" t="s">
        <v>15902</v>
      </c>
      <c r="AA819" t="s">
        <v>15903</v>
      </c>
      <c r="AB819" t="s">
        <v>15904</v>
      </c>
      <c r="AC819" t="s">
        <v>15905</v>
      </c>
      <c r="AD819" t="s">
        <v>15906</v>
      </c>
      <c r="AE819" t="s">
        <v>15907</v>
      </c>
      <c r="AF819" t="s">
        <v>74</v>
      </c>
      <c r="AG819">
        <v>85</v>
      </c>
      <c r="AH819">
        <v>59</v>
      </c>
      <c r="AI819">
        <v>64</v>
      </c>
      <c r="AJ819">
        <v>4</v>
      </c>
      <c r="AK819">
        <v>33</v>
      </c>
      <c r="AL819" t="s">
        <v>15908</v>
      </c>
      <c r="AM819" t="s">
        <v>15909</v>
      </c>
      <c r="AN819" t="s">
        <v>15910</v>
      </c>
      <c r="AO819" t="s">
        <v>15911</v>
      </c>
      <c r="AP819" t="s">
        <v>15912</v>
      </c>
      <c r="AQ819" t="s">
        <v>74</v>
      </c>
      <c r="AR819" t="s">
        <v>15913</v>
      </c>
      <c r="AS819" t="s">
        <v>15914</v>
      </c>
      <c r="AT819" t="s">
        <v>6722</v>
      </c>
      <c r="AU819">
        <v>2019</v>
      </c>
      <c r="AV819">
        <v>76</v>
      </c>
      <c r="AW819">
        <v>2</v>
      </c>
      <c r="AX819" t="s">
        <v>74</v>
      </c>
      <c r="AY819" t="s">
        <v>74</v>
      </c>
      <c r="AZ819" t="s">
        <v>74</v>
      </c>
      <c r="BA819" t="s">
        <v>74</v>
      </c>
      <c r="BB819" t="s">
        <v>74</v>
      </c>
      <c r="BC819" t="s">
        <v>74</v>
      </c>
      <c r="BD819">
        <v>49</v>
      </c>
      <c r="BE819" t="s">
        <v>15915</v>
      </c>
      <c r="BF819" t="str">
        <f>HYPERLINK("http://dx.doi.org/10.1007/s13595-019-0819-x","http://dx.doi.org/10.1007/s13595-019-0819-x")</f>
        <v>http://dx.doi.org/10.1007/s13595-019-0819-x</v>
      </c>
      <c r="BG819" t="s">
        <v>74</v>
      </c>
      <c r="BH819" t="s">
        <v>74</v>
      </c>
      <c r="BI819">
        <v>13</v>
      </c>
      <c r="BJ819" t="s">
        <v>3571</v>
      </c>
      <c r="BK819" t="s">
        <v>101</v>
      </c>
      <c r="BL819" t="s">
        <v>3571</v>
      </c>
      <c r="BM819" t="s">
        <v>15916</v>
      </c>
      <c r="BN819" t="s">
        <v>74</v>
      </c>
      <c r="BO819" t="s">
        <v>3117</v>
      </c>
      <c r="BP819" t="s">
        <v>74</v>
      </c>
      <c r="BQ819" t="s">
        <v>74</v>
      </c>
      <c r="BR819" t="s">
        <v>103</v>
      </c>
      <c r="BS819" t="s">
        <v>15917</v>
      </c>
      <c r="BT819" t="str">
        <f>HYPERLINK("https%3A%2F%2Fwww.webofscience.com%2Fwos%2Fwoscc%2Ffull-record%2FWOS:000466848400001","View Full Record in Web of Science")</f>
        <v>View Full Record in Web of Science</v>
      </c>
    </row>
    <row r="820" spans="1:72" x14ac:dyDescent="0.15">
      <c r="A820" t="s">
        <v>72</v>
      </c>
      <c r="B820" t="s">
        <v>15918</v>
      </c>
      <c r="C820" t="s">
        <v>74</v>
      </c>
      <c r="D820" t="s">
        <v>74</v>
      </c>
      <c r="E820" t="s">
        <v>74</v>
      </c>
      <c r="F820" t="s">
        <v>15919</v>
      </c>
      <c r="G820" t="s">
        <v>74</v>
      </c>
      <c r="H820" t="s">
        <v>74</v>
      </c>
      <c r="I820" t="s">
        <v>15920</v>
      </c>
      <c r="J820" t="s">
        <v>15921</v>
      </c>
      <c r="K820" t="s">
        <v>74</v>
      </c>
      <c r="L820" t="s">
        <v>74</v>
      </c>
      <c r="M820" t="s">
        <v>78</v>
      </c>
      <c r="N820" t="s">
        <v>108</v>
      </c>
      <c r="O820" t="s">
        <v>74</v>
      </c>
      <c r="P820" t="s">
        <v>74</v>
      </c>
      <c r="Q820" t="s">
        <v>74</v>
      </c>
      <c r="R820" t="s">
        <v>74</v>
      </c>
      <c r="S820" t="s">
        <v>74</v>
      </c>
      <c r="T820" t="s">
        <v>15922</v>
      </c>
      <c r="U820" t="s">
        <v>15923</v>
      </c>
      <c r="V820" t="s">
        <v>15924</v>
      </c>
      <c r="W820" t="s">
        <v>15925</v>
      </c>
      <c r="X820" t="s">
        <v>15926</v>
      </c>
      <c r="Y820" t="s">
        <v>15927</v>
      </c>
      <c r="Z820" t="s">
        <v>15928</v>
      </c>
      <c r="AA820" t="s">
        <v>15929</v>
      </c>
      <c r="AB820" t="s">
        <v>15930</v>
      </c>
      <c r="AC820" t="s">
        <v>15931</v>
      </c>
      <c r="AD820" t="s">
        <v>15932</v>
      </c>
      <c r="AE820" t="s">
        <v>15933</v>
      </c>
      <c r="AF820" t="s">
        <v>74</v>
      </c>
      <c r="AG820">
        <v>72</v>
      </c>
      <c r="AH820">
        <v>12</v>
      </c>
      <c r="AI820">
        <v>13</v>
      </c>
      <c r="AJ820">
        <v>1</v>
      </c>
      <c r="AK820">
        <v>26</v>
      </c>
      <c r="AL820" t="s">
        <v>638</v>
      </c>
      <c r="AM820" t="s">
        <v>439</v>
      </c>
      <c r="AN820" t="s">
        <v>639</v>
      </c>
      <c r="AO820" t="s">
        <v>15934</v>
      </c>
      <c r="AP820" t="s">
        <v>15935</v>
      </c>
      <c r="AQ820" t="s">
        <v>74</v>
      </c>
      <c r="AR820" t="s">
        <v>15921</v>
      </c>
      <c r="AS820" t="s">
        <v>15936</v>
      </c>
      <c r="AT820" t="s">
        <v>6722</v>
      </c>
      <c r="AU820">
        <v>2019</v>
      </c>
      <c r="AV820">
        <v>177</v>
      </c>
      <c r="AW820" t="s">
        <v>74</v>
      </c>
      <c r="AX820" t="s">
        <v>74</v>
      </c>
      <c r="AY820" t="s">
        <v>74</v>
      </c>
      <c r="AZ820" t="s">
        <v>74</v>
      </c>
      <c r="BA820" t="s">
        <v>74</v>
      </c>
      <c r="BB820">
        <v>167</v>
      </c>
      <c r="BC820">
        <v>179</v>
      </c>
      <c r="BD820" t="s">
        <v>74</v>
      </c>
      <c r="BE820" t="s">
        <v>15937</v>
      </c>
      <c r="BF820" t="str">
        <f>HYPERLINK("http://dx.doi.org/10.1016/j.catena.2019.02.007","http://dx.doi.org/10.1016/j.catena.2019.02.007")</f>
        <v>http://dx.doi.org/10.1016/j.catena.2019.02.007</v>
      </c>
      <c r="BG820" t="s">
        <v>74</v>
      </c>
      <c r="BH820" t="s">
        <v>74</v>
      </c>
      <c r="BI820">
        <v>13</v>
      </c>
      <c r="BJ820" t="s">
        <v>15938</v>
      </c>
      <c r="BK820" t="s">
        <v>101</v>
      </c>
      <c r="BL820" t="s">
        <v>15939</v>
      </c>
      <c r="BM820" t="s">
        <v>15940</v>
      </c>
      <c r="BN820" t="s">
        <v>74</v>
      </c>
      <c r="BO820" t="s">
        <v>74</v>
      </c>
      <c r="BP820" t="s">
        <v>74</v>
      </c>
      <c r="BQ820" t="s">
        <v>74</v>
      </c>
      <c r="BR820" t="s">
        <v>103</v>
      </c>
      <c r="BS820" t="s">
        <v>15941</v>
      </c>
      <c r="BT820" t="str">
        <f>HYPERLINK("https%3A%2F%2Fwww.webofscience.com%2Fwos%2Fwoscc%2Ffull-record%2FWOS:000463979000016","View Full Record in Web of Science")</f>
        <v>View Full Record in Web of Science</v>
      </c>
    </row>
    <row r="821" spans="1:72" x14ac:dyDescent="0.15">
      <c r="A821" t="s">
        <v>72</v>
      </c>
      <c r="B821" t="s">
        <v>15942</v>
      </c>
      <c r="C821" t="s">
        <v>74</v>
      </c>
      <c r="D821" t="s">
        <v>74</v>
      </c>
      <c r="E821" t="s">
        <v>74</v>
      </c>
      <c r="F821" t="s">
        <v>15943</v>
      </c>
      <c r="G821" t="s">
        <v>74</v>
      </c>
      <c r="H821" t="s">
        <v>74</v>
      </c>
      <c r="I821" t="s">
        <v>15944</v>
      </c>
      <c r="J821" t="s">
        <v>1496</v>
      </c>
      <c r="K821" t="s">
        <v>74</v>
      </c>
      <c r="L821" t="s">
        <v>74</v>
      </c>
      <c r="M821" t="s">
        <v>78</v>
      </c>
      <c r="N821" t="s">
        <v>108</v>
      </c>
      <c r="O821" t="s">
        <v>74</v>
      </c>
      <c r="P821" t="s">
        <v>74</v>
      </c>
      <c r="Q821" t="s">
        <v>74</v>
      </c>
      <c r="R821" t="s">
        <v>74</v>
      </c>
      <c r="S821" t="s">
        <v>74</v>
      </c>
      <c r="T821" t="s">
        <v>15945</v>
      </c>
      <c r="U821" t="s">
        <v>15946</v>
      </c>
      <c r="V821" t="s">
        <v>15947</v>
      </c>
      <c r="W821" t="s">
        <v>15948</v>
      </c>
      <c r="X821" t="s">
        <v>15949</v>
      </c>
      <c r="Y821" t="s">
        <v>15950</v>
      </c>
      <c r="Z821" t="s">
        <v>15951</v>
      </c>
      <c r="AA821" t="s">
        <v>15952</v>
      </c>
      <c r="AB821" t="s">
        <v>15953</v>
      </c>
      <c r="AC821" t="s">
        <v>15954</v>
      </c>
      <c r="AD821" t="s">
        <v>15955</v>
      </c>
      <c r="AE821" t="s">
        <v>15956</v>
      </c>
      <c r="AF821" t="s">
        <v>74</v>
      </c>
      <c r="AG821">
        <v>144</v>
      </c>
      <c r="AH821">
        <v>46</v>
      </c>
      <c r="AI821">
        <v>52</v>
      </c>
      <c r="AJ821">
        <v>0</v>
      </c>
      <c r="AK821">
        <v>24</v>
      </c>
      <c r="AL821" t="s">
        <v>868</v>
      </c>
      <c r="AM821" t="s">
        <v>869</v>
      </c>
      <c r="AN821" t="s">
        <v>870</v>
      </c>
      <c r="AO821" t="s">
        <v>74</v>
      </c>
      <c r="AP821" t="s">
        <v>1509</v>
      </c>
      <c r="AQ821" t="s">
        <v>74</v>
      </c>
      <c r="AR821" t="s">
        <v>1510</v>
      </c>
      <c r="AS821" t="s">
        <v>1511</v>
      </c>
      <c r="AT821" t="s">
        <v>15957</v>
      </c>
      <c r="AU821">
        <v>2019</v>
      </c>
      <c r="AV821">
        <v>10</v>
      </c>
      <c r="AW821" t="s">
        <v>74</v>
      </c>
      <c r="AX821" t="s">
        <v>74</v>
      </c>
      <c r="AY821" t="s">
        <v>74</v>
      </c>
      <c r="AZ821" t="s">
        <v>74</v>
      </c>
      <c r="BA821" t="s">
        <v>74</v>
      </c>
      <c r="BB821" t="s">
        <v>74</v>
      </c>
      <c r="BC821" t="s">
        <v>74</v>
      </c>
      <c r="BD821">
        <v>1018</v>
      </c>
      <c r="BE821" t="s">
        <v>15958</v>
      </c>
      <c r="BF821" t="str">
        <f>HYPERLINK("http://dx.doi.org/10.3389/fmicb.2019.01018","http://dx.doi.org/10.3389/fmicb.2019.01018")</f>
        <v>http://dx.doi.org/10.3389/fmicb.2019.01018</v>
      </c>
      <c r="BG821" t="s">
        <v>74</v>
      </c>
      <c r="BH821" t="s">
        <v>74</v>
      </c>
      <c r="BI821">
        <v>19</v>
      </c>
      <c r="BJ821" t="s">
        <v>1514</v>
      </c>
      <c r="BK821" t="s">
        <v>101</v>
      </c>
      <c r="BL821" t="s">
        <v>1514</v>
      </c>
      <c r="BM821" t="s">
        <v>15959</v>
      </c>
      <c r="BN821">
        <v>31214128</v>
      </c>
      <c r="BO821" t="s">
        <v>313</v>
      </c>
      <c r="BP821" t="s">
        <v>74</v>
      </c>
      <c r="BQ821" t="s">
        <v>74</v>
      </c>
      <c r="BR821" t="s">
        <v>103</v>
      </c>
      <c r="BS821" t="s">
        <v>15960</v>
      </c>
      <c r="BT821" t="str">
        <f>HYPERLINK("https%3A%2F%2Fwww.webofscience.com%2Fwos%2Fwoscc%2Ffull-record%2FWOS:000470126900001","View Full Record in Web of Science")</f>
        <v>View Full Record in Web of Science</v>
      </c>
    </row>
    <row r="822" spans="1:72" x14ac:dyDescent="0.15">
      <c r="A822" t="s">
        <v>72</v>
      </c>
      <c r="B822" t="s">
        <v>15961</v>
      </c>
      <c r="C822" t="s">
        <v>74</v>
      </c>
      <c r="D822" t="s">
        <v>74</v>
      </c>
      <c r="E822" t="s">
        <v>74</v>
      </c>
      <c r="F822" t="s">
        <v>15962</v>
      </c>
      <c r="G822" t="s">
        <v>74</v>
      </c>
      <c r="H822" t="s">
        <v>74</v>
      </c>
      <c r="I822" t="s">
        <v>15963</v>
      </c>
      <c r="J822" t="s">
        <v>2117</v>
      </c>
      <c r="K822" t="s">
        <v>74</v>
      </c>
      <c r="L822" t="s">
        <v>74</v>
      </c>
      <c r="M822" t="s">
        <v>78</v>
      </c>
      <c r="N822" t="s">
        <v>108</v>
      </c>
      <c r="O822" t="s">
        <v>74</v>
      </c>
      <c r="P822" t="s">
        <v>74</v>
      </c>
      <c r="Q822" t="s">
        <v>74</v>
      </c>
      <c r="R822" t="s">
        <v>74</v>
      </c>
      <c r="S822" t="s">
        <v>74</v>
      </c>
      <c r="T822" t="s">
        <v>15964</v>
      </c>
      <c r="U822" t="s">
        <v>15965</v>
      </c>
      <c r="V822" t="s">
        <v>15966</v>
      </c>
      <c r="W822" t="s">
        <v>15967</v>
      </c>
      <c r="X822" t="s">
        <v>15968</v>
      </c>
      <c r="Y822" t="s">
        <v>15969</v>
      </c>
      <c r="Z822" t="s">
        <v>15970</v>
      </c>
      <c r="AA822" t="s">
        <v>15971</v>
      </c>
      <c r="AB822" t="s">
        <v>15972</v>
      </c>
      <c r="AC822" t="s">
        <v>15973</v>
      </c>
      <c r="AD822" t="s">
        <v>15974</v>
      </c>
      <c r="AE822" t="s">
        <v>15975</v>
      </c>
      <c r="AF822" t="s">
        <v>74</v>
      </c>
      <c r="AG822">
        <v>82</v>
      </c>
      <c r="AH822">
        <v>11</v>
      </c>
      <c r="AI822">
        <v>13</v>
      </c>
      <c r="AJ822">
        <v>0</v>
      </c>
      <c r="AK822">
        <v>25</v>
      </c>
      <c r="AL822" t="s">
        <v>438</v>
      </c>
      <c r="AM822" t="s">
        <v>439</v>
      </c>
      <c r="AN822" t="s">
        <v>440</v>
      </c>
      <c r="AO822" t="s">
        <v>2129</v>
      </c>
      <c r="AP822" t="s">
        <v>2130</v>
      </c>
      <c r="AQ822" t="s">
        <v>74</v>
      </c>
      <c r="AR822" t="s">
        <v>2117</v>
      </c>
      <c r="AS822" t="s">
        <v>2131</v>
      </c>
      <c r="AT822" t="s">
        <v>15976</v>
      </c>
      <c r="AU822">
        <v>2019</v>
      </c>
      <c r="AV822">
        <v>507</v>
      </c>
      <c r="AW822" t="s">
        <v>74</v>
      </c>
      <c r="AX822" t="s">
        <v>74</v>
      </c>
      <c r="AY822" t="s">
        <v>74</v>
      </c>
      <c r="AZ822" t="s">
        <v>74</v>
      </c>
      <c r="BA822" t="s">
        <v>74</v>
      </c>
      <c r="BB822">
        <v>222</v>
      </c>
      <c r="BC822">
        <v>232</v>
      </c>
      <c r="BD822" t="s">
        <v>74</v>
      </c>
      <c r="BE822" t="s">
        <v>15977</v>
      </c>
      <c r="BF822" t="str">
        <f>HYPERLINK("http://dx.doi.org/10.1016/j.aquaculture.2019.04.024","http://dx.doi.org/10.1016/j.aquaculture.2019.04.024")</f>
        <v>http://dx.doi.org/10.1016/j.aquaculture.2019.04.024</v>
      </c>
      <c r="BG822" t="s">
        <v>74</v>
      </c>
      <c r="BH822" t="s">
        <v>74</v>
      </c>
      <c r="BI822">
        <v>11</v>
      </c>
      <c r="BJ822" t="s">
        <v>162</v>
      </c>
      <c r="BK822" t="s">
        <v>101</v>
      </c>
      <c r="BL822" t="s">
        <v>162</v>
      </c>
      <c r="BM822" t="s">
        <v>15978</v>
      </c>
      <c r="BN822" t="s">
        <v>74</v>
      </c>
      <c r="BO822" t="s">
        <v>74</v>
      </c>
      <c r="BP822" t="s">
        <v>74</v>
      </c>
      <c r="BQ822" t="s">
        <v>74</v>
      </c>
      <c r="BR822" t="s">
        <v>103</v>
      </c>
      <c r="BS822" t="s">
        <v>15979</v>
      </c>
      <c r="BT822" t="str">
        <f>HYPERLINK("https%3A%2F%2Fwww.webofscience.com%2Fwos%2Fwoscc%2Ffull-record%2FWOS:000471112700026","View Full Record in Web of Science")</f>
        <v>View Full Record in Web of Science</v>
      </c>
    </row>
    <row r="823" spans="1:72" x14ac:dyDescent="0.15">
      <c r="A823" t="s">
        <v>72</v>
      </c>
      <c r="B823" t="s">
        <v>15980</v>
      </c>
      <c r="C823" t="s">
        <v>74</v>
      </c>
      <c r="D823" t="s">
        <v>74</v>
      </c>
      <c r="E823" t="s">
        <v>74</v>
      </c>
      <c r="F823" t="s">
        <v>15981</v>
      </c>
      <c r="G823" t="s">
        <v>74</v>
      </c>
      <c r="H823" t="s">
        <v>74</v>
      </c>
      <c r="I823" t="s">
        <v>15982</v>
      </c>
      <c r="J823" t="s">
        <v>2117</v>
      </c>
      <c r="K823" t="s">
        <v>74</v>
      </c>
      <c r="L823" t="s">
        <v>74</v>
      </c>
      <c r="M823" t="s">
        <v>78</v>
      </c>
      <c r="N823" t="s">
        <v>79</v>
      </c>
      <c r="O823" t="s">
        <v>74</v>
      </c>
      <c r="P823" t="s">
        <v>74</v>
      </c>
      <c r="Q823" t="s">
        <v>74</v>
      </c>
      <c r="R823" t="s">
        <v>74</v>
      </c>
      <c r="S823" t="s">
        <v>74</v>
      </c>
      <c r="T823" t="s">
        <v>15983</v>
      </c>
      <c r="U823" t="s">
        <v>15984</v>
      </c>
      <c r="V823" t="s">
        <v>15985</v>
      </c>
      <c r="W823" t="s">
        <v>15986</v>
      </c>
      <c r="X823" t="s">
        <v>10433</v>
      </c>
      <c r="Y823" t="s">
        <v>15987</v>
      </c>
      <c r="Z823" t="s">
        <v>15988</v>
      </c>
      <c r="AA823" t="s">
        <v>15989</v>
      </c>
      <c r="AB823" t="s">
        <v>15990</v>
      </c>
      <c r="AC823" t="s">
        <v>15991</v>
      </c>
      <c r="AD823" t="s">
        <v>15992</v>
      </c>
      <c r="AE823" t="s">
        <v>15993</v>
      </c>
      <c r="AF823" t="s">
        <v>74</v>
      </c>
      <c r="AG823">
        <v>82</v>
      </c>
      <c r="AH823">
        <v>28</v>
      </c>
      <c r="AI823">
        <v>30</v>
      </c>
      <c r="AJ823">
        <v>4</v>
      </c>
      <c r="AK823">
        <v>27</v>
      </c>
      <c r="AL823" t="s">
        <v>438</v>
      </c>
      <c r="AM823" t="s">
        <v>439</v>
      </c>
      <c r="AN823" t="s">
        <v>440</v>
      </c>
      <c r="AO823" t="s">
        <v>2129</v>
      </c>
      <c r="AP823" t="s">
        <v>2130</v>
      </c>
      <c r="AQ823" t="s">
        <v>74</v>
      </c>
      <c r="AR823" t="s">
        <v>2117</v>
      </c>
      <c r="AS823" t="s">
        <v>2131</v>
      </c>
      <c r="AT823" t="s">
        <v>15976</v>
      </c>
      <c r="AU823">
        <v>2019</v>
      </c>
      <c r="AV823">
        <v>507</v>
      </c>
      <c r="AW823" t="s">
        <v>74</v>
      </c>
      <c r="AX823" t="s">
        <v>74</v>
      </c>
      <c r="AY823" t="s">
        <v>74</v>
      </c>
      <c r="AZ823" t="s">
        <v>74</v>
      </c>
      <c r="BA823" t="s">
        <v>74</v>
      </c>
      <c r="BB823">
        <v>322</v>
      </c>
      <c r="BC823">
        <v>328</v>
      </c>
      <c r="BD823" t="s">
        <v>74</v>
      </c>
      <c r="BE823" t="s">
        <v>15994</v>
      </c>
      <c r="BF823" t="str">
        <f>HYPERLINK("http://dx.doi.org/10.1016/j.aquaculture.2019.04.041","http://dx.doi.org/10.1016/j.aquaculture.2019.04.041")</f>
        <v>http://dx.doi.org/10.1016/j.aquaculture.2019.04.041</v>
      </c>
      <c r="BG823" t="s">
        <v>74</v>
      </c>
      <c r="BH823" t="s">
        <v>74</v>
      </c>
      <c r="BI823">
        <v>7</v>
      </c>
      <c r="BJ823" t="s">
        <v>162</v>
      </c>
      <c r="BK823" t="s">
        <v>3718</v>
      </c>
      <c r="BL823" t="s">
        <v>162</v>
      </c>
      <c r="BM823" t="s">
        <v>15978</v>
      </c>
      <c r="BN823" t="s">
        <v>74</v>
      </c>
      <c r="BO823" t="s">
        <v>74</v>
      </c>
      <c r="BP823" t="s">
        <v>74</v>
      </c>
      <c r="BQ823" t="s">
        <v>74</v>
      </c>
      <c r="BR823" t="s">
        <v>103</v>
      </c>
      <c r="BS823" t="s">
        <v>15995</v>
      </c>
      <c r="BT823" t="str">
        <f>HYPERLINK("https%3A%2F%2Fwww.webofscience.com%2Fwos%2Fwoscc%2Ffull-record%2FWOS:000471112700038","View Full Record in Web of Science")</f>
        <v>View Full Record in Web of Science</v>
      </c>
    </row>
    <row r="824" spans="1:72" x14ac:dyDescent="0.15">
      <c r="A824" t="s">
        <v>72</v>
      </c>
      <c r="B824" t="s">
        <v>15996</v>
      </c>
      <c r="C824" t="s">
        <v>74</v>
      </c>
      <c r="D824" t="s">
        <v>74</v>
      </c>
      <c r="E824" t="s">
        <v>74</v>
      </c>
      <c r="F824" t="s">
        <v>15997</v>
      </c>
      <c r="G824" t="s">
        <v>74</v>
      </c>
      <c r="H824" t="s">
        <v>74</v>
      </c>
      <c r="I824" t="s">
        <v>15998</v>
      </c>
      <c r="J824" t="s">
        <v>8187</v>
      </c>
      <c r="K824" t="s">
        <v>74</v>
      </c>
      <c r="L824" t="s">
        <v>74</v>
      </c>
      <c r="M824" t="s">
        <v>78</v>
      </c>
      <c r="N824" t="s">
        <v>108</v>
      </c>
      <c r="O824" t="s">
        <v>74</v>
      </c>
      <c r="P824" t="s">
        <v>74</v>
      </c>
      <c r="Q824" t="s">
        <v>74</v>
      </c>
      <c r="R824" t="s">
        <v>74</v>
      </c>
      <c r="S824" t="s">
        <v>74</v>
      </c>
      <c r="T824" t="s">
        <v>74</v>
      </c>
      <c r="U824" t="s">
        <v>15999</v>
      </c>
      <c r="V824" t="s">
        <v>16000</v>
      </c>
      <c r="W824" t="s">
        <v>16001</v>
      </c>
      <c r="X824" t="s">
        <v>3440</v>
      </c>
      <c r="Y824" t="s">
        <v>16002</v>
      </c>
      <c r="Z824" t="s">
        <v>16003</v>
      </c>
      <c r="AA824" t="s">
        <v>16004</v>
      </c>
      <c r="AB824" t="s">
        <v>74</v>
      </c>
      <c r="AC824" t="s">
        <v>16005</v>
      </c>
      <c r="AD824" t="s">
        <v>2329</v>
      </c>
      <c r="AE824" t="s">
        <v>74</v>
      </c>
      <c r="AF824" t="s">
        <v>74</v>
      </c>
      <c r="AG824">
        <v>61</v>
      </c>
      <c r="AH824">
        <v>346</v>
      </c>
      <c r="AI824">
        <v>381</v>
      </c>
      <c r="AJ824">
        <v>42</v>
      </c>
      <c r="AK824">
        <v>297</v>
      </c>
      <c r="AL824" t="s">
        <v>1019</v>
      </c>
      <c r="AM824" t="s">
        <v>1020</v>
      </c>
      <c r="AN824" t="s">
        <v>1021</v>
      </c>
      <c r="AO824" t="s">
        <v>8198</v>
      </c>
      <c r="AP824" t="s">
        <v>8199</v>
      </c>
      <c r="AQ824" t="s">
        <v>74</v>
      </c>
      <c r="AR824" t="s">
        <v>8187</v>
      </c>
      <c r="AS824" t="s">
        <v>8200</v>
      </c>
      <c r="AT824" t="s">
        <v>15976</v>
      </c>
      <c r="AU824">
        <v>2019</v>
      </c>
      <c r="AV824">
        <v>569</v>
      </c>
      <c r="AW824">
        <v>7758</v>
      </c>
      <c r="AX824" t="s">
        <v>74</v>
      </c>
      <c r="AY824" t="s">
        <v>74</v>
      </c>
      <c r="AZ824" t="s">
        <v>74</v>
      </c>
      <c r="BA824" t="s">
        <v>74</v>
      </c>
      <c r="BB824">
        <v>649</v>
      </c>
      <c r="BC824" t="s">
        <v>3569</v>
      </c>
      <c r="BD824" t="s">
        <v>74</v>
      </c>
      <c r="BE824" t="s">
        <v>16006</v>
      </c>
      <c r="BF824" t="str">
        <f>HYPERLINK("http://dx.doi.org/10.1038/s41586-019-1240-1","http://dx.doi.org/10.1038/s41586-019-1240-1")</f>
        <v>http://dx.doi.org/10.1038/s41586-019-1240-1</v>
      </c>
      <c r="BG824" t="s">
        <v>74</v>
      </c>
      <c r="BH824" t="s">
        <v>74</v>
      </c>
      <c r="BI824">
        <v>20</v>
      </c>
      <c r="BJ824" t="s">
        <v>1004</v>
      </c>
      <c r="BK824" t="s">
        <v>101</v>
      </c>
      <c r="BL824" t="s">
        <v>1005</v>
      </c>
      <c r="BM824" t="s">
        <v>16007</v>
      </c>
      <c r="BN824">
        <v>31142854</v>
      </c>
      <c r="BO824" t="s">
        <v>74</v>
      </c>
      <c r="BP824" t="s">
        <v>1784</v>
      </c>
      <c r="BQ824" t="s">
        <v>1785</v>
      </c>
      <c r="BR824" t="s">
        <v>103</v>
      </c>
      <c r="BS824" t="s">
        <v>16008</v>
      </c>
      <c r="BT824" t="str">
        <f>HYPERLINK("https%3A%2F%2Fwww.webofscience.com%2Fwos%2Fwoscc%2Ffull-record%2FWOS:000470144100032","View Full Record in Web of Science")</f>
        <v>View Full Record in Web of Science</v>
      </c>
    </row>
    <row r="825" spans="1:72" x14ac:dyDescent="0.15">
      <c r="A825" t="s">
        <v>72</v>
      </c>
      <c r="B825" t="s">
        <v>16009</v>
      </c>
      <c r="C825" t="s">
        <v>74</v>
      </c>
      <c r="D825" t="s">
        <v>74</v>
      </c>
      <c r="E825" t="s">
        <v>74</v>
      </c>
      <c r="F825" t="s">
        <v>16010</v>
      </c>
      <c r="G825" t="s">
        <v>74</v>
      </c>
      <c r="H825" t="s">
        <v>74</v>
      </c>
      <c r="I825" t="s">
        <v>16011</v>
      </c>
      <c r="J825" t="s">
        <v>16012</v>
      </c>
      <c r="K825" t="s">
        <v>74</v>
      </c>
      <c r="L825" t="s">
        <v>74</v>
      </c>
      <c r="M825" t="s">
        <v>78</v>
      </c>
      <c r="N825" t="s">
        <v>108</v>
      </c>
      <c r="O825" t="s">
        <v>74</v>
      </c>
      <c r="P825" t="s">
        <v>74</v>
      </c>
      <c r="Q825" t="s">
        <v>74</v>
      </c>
      <c r="R825" t="s">
        <v>74</v>
      </c>
      <c r="S825" t="s">
        <v>74</v>
      </c>
      <c r="T825" t="s">
        <v>16013</v>
      </c>
      <c r="U825" t="s">
        <v>16014</v>
      </c>
      <c r="V825" t="s">
        <v>16015</v>
      </c>
      <c r="W825" t="s">
        <v>16016</v>
      </c>
      <c r="X825" t="s">
        <v>16017</v>
      </c>
      <c r="Y825" t="s">
        <v>16018</v>
      </c>
      <c r="Z825" t="s">
        <v>16019</v>
      </c>
      <c r="AA825" t="s">
        <v>16020</v>
      </c>
      <c r="AB825" t="s">
        <v>16021</v>
      </c>
      <c r="AC825" t="s">
        <v>16022</v>
      </c>
      <c r="AD825" t="s">
        <v>16023</v>
      </c>
      <c r="AE825" t="s">
        <v>16024</v>
      </c>
      <c r="AF825" t="s">
        <v>74</v>
      </c>
      <c r="AG825">
        <v>63</v>
      </c>
      <c r="AH825">
        <v>10</v>
      </c>
      <c r="AI825">
        <v>12</v>
      </c>
      <c r="AJ825">
        <v>1</v>
      </c>
      <c r="AK825">
        <v>23</v>
      </c>
      <c r="AL825" t="s">
        <v>1550</v>
      </c>
      <c r="AM825" t="s">
        <v>1551</v>
      </c>
      <c r="AN825" t="s">
        <v>1552</v>
      </c>
      <c r="AO825" t="s">
        <v>16025</v>
      </c>
      <c r="AP825" t="s">
        <v>16026</v>
      </c>
      <c r="AQ825" t="s">
        <v>74</v>
      </c>
      <c r="AR825" t="s">
        <v>16027</v>
      </c>
      <c r="AS825" t="s">
        <v>16028</v>
      </c>
      <c r="AT825" t="s">
        <v>15976</v>
      </c>
      <c r="AU825">
        <v>2019</v>
      </c>
      <c r="AV825">
        <v>92</v>
      </c>
      <c r="AW825" t="s">
        <v>74</v>
      </c>
      <c r="AX825" t="s">
        <v>74</v>
      </c>
      <c r="AY825" t="s">
        <v>74</v>
      </c>
      <c r="AZ825" t="s">
        <v>74</v>
      </c>
      <c r="BA825" t="s">
        <v>74</v>
      </c>
      <c r="BB825" t="s">
        <v>74</v>
      </c>
      <c r="BC825" t="s">
        <v>74</v>
      </c>
      <c r="BD825">
        <v>2</v>
      </c>
      <c r="BE825" t="s">
        <v>16029</v>
      </c>
      <c r="BF825" t="str">
        <f>HYPERLINK("http://dx.doi.org/10.1186/s40693-019-0082-4","http://dx.doi.org/10.1186/s40693-019-0082-4")</f>
        <v>http://dx.doi.org/10.1186/s40693-019-0082-4</v>
      </c>
      <c r="BG825" t="s">
        <v>74</v>
      </c>
      <c r="BH825" t="s">
        <v>74</v>
      </c>
      <c r="BI825">
        <v>10</v>
      </c>
      <c r="BJ825" t="s">
        <v>3802</v>
      </c>
      <c r="BK825" t="s">
        <v>101</v>
      </c>
      <c r="BL825" t="s">
        <v>1646</v>
      </c>
      <c r="BM825" t="s">
        <v>16030</v>
      </c>
      <c r="BN825" t="s">
        <v>74</v>
      </c>
      <c r="BO825" t="s">
        <v>313</v>
      </c>
      <c r="BP825" t="s">
        <v>74</v>
      </c>
      <c r="BQ825" t="s">
        <v>74</v>
      </c>
      <c r="BR825" t="s">
        <v>103</v>
      </c>
      <c r="BS825" t="s">
        <v>16031</v>
      </c>
      <c r="BT825" t="str">
        <f>HYPERLINK("https%3A%2F%2Fwww.webofscience.com%2Fwos%2Fwoscc%2Ffull-record%2FWOS:000469775300001","View Full Record in Web of Science")</f>
        <v>View Full Record in Web of Science</v>
      </c>
    </row>
    <row r="826" spans="1:72" x14ac:dyDescent="0.15">
      <c r="A826" t="s">
        <v>72</v>
      </c>
      <c r="B826" t="s">
        <v>16032</v>
      </c>
      <c r="C826" t="s">
        <v>74</v>
      </c>
      <c r="D826" t="s">
        <v>74</v>
      </c>
      <c r="E826" t="s">
        <v>74</v>
      </c>
      <c r="F826" t="s">
        <v>16033</v>
      </c>
      <c r="G826" t="s">
        <v>74</v>
      </c>
      <c r="H826" t="s">
        <v>74</v>
      </c>
      <c r="I826" t="s">
        <v>16034</v>
      </c>
      <c r="J826" t="s">
        <v>989</v>
      </c>
      <c r="K826" t="s">
        <v>74</v>
      </c>
      <c r="L826" t="s">
        <v>74</v>
      </c>
      <c r="M826" t="s">
        <v>78</v>
      </c>
      <c r="N826" t="s">
        <v>108</v>
      </c>
      <c r="O826" t="s">
        <v>74</v>
      </c>
      <c r="P826" t="s">
        <v>74</v>
      </c>
      <c r="Q826" t="s">
        <v>74</v>
      </c>
      <c r="R826" t="s">
        <v>74</v>
      </c>
      <c r="S826" t="s">
        <v>74</v>
      </c>
      <c r="T826" t="s">
        <v>74</v>
      </c>
      <c r="U826" t="s">
        <v>16035</v>
      </c>
      <c r="V826" t="s">
        <v>16036</v>
      </c>
      <c r="W826" t="s">
        <v>16037</v>
      </c>
      <c r="X826" t="s">
        <v>16038</v>
      </c>
      <c r="Y826" t="s">
        <v>16039</v>
      </c>
      <c r="Z826" t="s">
        <v>16040</v>
      </c>
      <c r="AA826" t="s">
        <v>16041</v>
      </c>
      <c r="AB826" t="s">
        <v>16042</v>
      </c>
      <c r="AC826" t="s">
        <v>16043</v>
      </c>
      <c r="AD826" t="s">
        <v>16044</v>
      </c>
      <c r="AE826" t="s">
        <v>16045</v>
      </c>
      <c r="AF826" t="s">
        <v>74</v>
      </c>
      <c r="AG826">
        <v>60</v>
      </c>
      <c r="AH826">
        <v>27</v>
      </c>
      <c r="AI826">
        <v>30</v>
      </c>
      <c r="AJ826">
        <v>1</v>
      </c>
      <c r="AK826">
        <v>27</v>
      </c>
      <c r="AL826" t="s">
        <v>998</v>
      </c>
      <c r="AM826" t="s">
        <v>657</v>
      </c>
      <c r="AN826" t="s">
        <v>999</v>
      </c>
      <c r="AO826" t="s">
        <v>1000</v>
      </c>
      <c r="AP826" t="s">
        <v>74</v>
      </c>
      <c r="AQ826" t="s">
        <v>74</v>
      </c>
      <c r="AR826" t="s">
        <v>1001</v>
      </c>
      <c r="AS826" t="s">
        <v>1002</v>
      </c>
      <c r="AT826" t="s">
        <v>15976</v>
      </c>
      <c r="AU826">
        <v>2019</v>
      </c>
      <c r="AV826">
        <v>9</v>
      </c>
      <c r="AW826" t="s">
        <v>74</v>
      </c>
      <c r="AX826" t="s">
        <v>74</v>
      </c>
      <c r="AY826" t="s">
        <v>74</v>
      </c>
      <c r="AZ826" t="s">
        <v>74</v>
      </c>
      <c r="BA826" t="s">
        <v>74</v>
      </c>
      <c r="BB826" t="s">
        <v>74</v>
      </c>
      <c r="BC826" t="s">
        <v>74</v>
      </c>
      <c r="BD826">
        <v>8062</v>
      </c>
      <c r="BE826" t="s">
        <v>16046</v>
      </c>
      <c r="BF826" t="str">
        <f>HYPERLINK("http://dx.doi.org/10.1038/s41598-019-44605-5","http://dx.doi.org/10.1038/s41598-019-44605-5")</f>
        <v>http://dx.doi.org/10.1038/s41598-019-44605-5</v>
      </c>
      <c r="BG826" t="s">
        <v>74</v>
      </c>
      <c r="BH826" t="s">
        <v>74</v>
      </c>
      <c r="BI826">
        <v>11</v>
      </c>
      <c r="BJ826" t="s">
        <v>1004</v>
      </c>
      <c r="BK826" t="s">
        <v>101</v>
      </c>
      <c r="BL826" t="s">
        <v>1005</v>
      </c>
      <c r="BM826" t="s">
        <v>16047</v>
      </c>
      <c r="BN826">
        <v>31147605</v>
      </c>
      <c r="BO826" t="s">
        <v>9492</v>
      </c>
      <c r="BP826" t="s">
        <v>74</v>
      </c>
      <c r="BQ826" t="s">
        <v>74</v>
      </c>
      <c r="BR826" t="s">
        <v>103</v>
      </c>
      <c r="BS826" t="s">
        <v>16048</v>
      </c>
      <c r="BT826" t="str">
        <f>HYPERLINK("https%3A%2F%2Fwww.webofscience.com%2Fwos%2Fwoscc%2Ffull-record%2FWOS:000469418100008","View Full Record in Web of Science")</f>
        <v>View Full Record in Web of Science</v>
      </c>
    </row>
    <row r="827" spans="1:72" x14ac:dyDescent="0.15">
      <c r="A827" t="s">
        <v>72</v>
      </c>
      <c r="B827" t="s">
        <v>16049</v>
      </c>
      <c r="C827" t="s">
        <v>74</v>
      </c>
      <c r="D827" t="s">
        <v>74</v>
      </c>
      <c r="E827" t="s">
        <v>74</v>
      </c>
      <c r="F827" t="s">
        <v>16050</v>
      </c>
      <c r="G827" t="s">
        <v>74</v>
      </c>
      <c r="H827" t="s">
        <v>74</v>
      </c>
      <c r="I827" t="s">
        <v>16051</v>
      </c>
      <c r="J827" t="s">
        <v>2117</v>
      </c>
      <c r="K827" t="s">
        <v>74</v>
      </c>
      <c r="L827" t="s">
        <v>74</v>
      </c>
      <c r="M827" t="s">
        <v>78</v>
      </c>
      <c r="N827" t="s">
        <v>108</v>
      </c>
      <c r="O827" t="s">
        <v>74</v>
      </c>
      <c r="P827" t="s">
        <v>74</v>
      </c>
      <c r="Q827" t="s">
        <v>74</v>
      </c>
      <c r="R827" t="s">
        <v>74</v>
      </c>
      <c r="S827" t="s">
        <v>74</v>
      </c>
      <c r="T827" t="s">
        <v>16052</v>
      </c>
      <c r="U827" t="s">
        <v>16053</v>
      </c>
      <c r="V827" t="s">
        <v>16054</v>
      </c>
      <c r="W827" t="s">
        <v>16055</v>
      </c>
      <c r="X827" t="s">
        <v>16056</v>
      </c>
      <c r="Y827" t="s">
        <v>16057</v>
      </c>
      <c r="Z827" t="s">
        <v>16058</v>
      </c>
      <c r="AA827" t="s">
        <v>16059</v>
      </c>
      <c r="AB827" t="s">
        <v>16060</v>
      </c>
      <c r="AC827" t="s">
        <v>16061</v>
      </c>
      <c r="AD827" t="s">
        <v>16062</v>
      </c>
      <c r="AE827" t="s">
        <v>16063</v>
      </c>
      <c r="AF827" t="s">
        <v>74</v>
      </c>
      <c r="AG827">
        <v>49</v>
      </c>
      <c r="AH827">
        <v>3</v>
      </c>
      <c r="AI827">
        <v>4</v>
      </c>
      <c r="AJ827">
        <v>0</v>
      </c>
      <c r="AK827">
        <v>10</v>
      </c>
      <c r="AL827" t="s">
        <v>638</v>
      </c>
      <c r="AM827" t="s">
        <v>439</v>
      </c>
      <c r="AN827" t="s">
        <v>639</v>
      </c>
      <c r="AO827" t="s">
        <v>2129</v>
      </c>
      <c r="AP827" t="s">
        <v>2130</v>
      </c>
      <c r="AQ827" t="s">
        <v>74</v>
      </c>
      <c r="AR827" t="s">
        <v>2117</v>
      </c>
      <c r="AS827" t="s">
        <v>2131</v>
      </c>
      <c r="AT827" t="s">
        <v>15976</v>
      </c>
      <c r="AU827">
        <v>2019</v>
      </c>
      <c r="AV827">
        <v>507</v>
      </c>
      <c r="AW827" t="s">
        <v>74</v>
      </c>
      <c r="AX827" t="s">
        <v>74</v>
      </c>
      <c r="AY827" t="s">
        <v>74</v>
      </c>
      <c r="AZ827" t="s">
        <v>74</v>
      </c>
      <c r="BA827" t="s">
        <v>74</v>
      </c>
      <c r="BB827">
        <v>28</v>
      </c>
      <c r="BC827">
        <v>34</v>
      </c>
      <c r="BD827" t="s">
        <v>74</v>
      </c>
      <c r="BE827" t="s">
        <v>16064</v>
      </c>
      <c r="BF827" t="str">
        <f>HYPERLINK("http://dx.doi.org/10.1016/j.aquaculture.2019.04.008","http://dx.doi.org/10.1016/j.aquaculture.2019.04.008")</f>
        <v>http://dx.doi.org/10.1016/j.aquaculture.2019.04.008</v>
      </c>
      <c r="BG827" t="s">
        <v>74</v>
      </c>
      <c r="BH827" t="s">
        <v>74</v>
      </c>
      <c r="BI827">
        <v>7</v>
      </c>
      <c r="BJ827" t="s">
        <v>162</v>
      </c>
      <c r="BK827" t="s">
        <v>101</v>
      </c>
      <c r="BL827" t="s">
        <v>162</v>
      </c>
      <c r="BM827" t="s">
        <v>15978</v>
      </c>
      <c r="BN827" t="s">
        <v>74</v>
      </c>
      <c r="BO827" t="s">
        <v>74</v>
      </c>
      <c r="BP827" t="s">
        <v>74</v>
      </c>
      <c r="BQ827" t="s">
        <v>74</v>
      </c>
      <c r="BR827" t="s">
        <v>103</v>
      </c>
      <c r="BS827" t="s">
        <v>16065</v>
      </c>
      <c r="BT827" t="str">
        <f>HYPERLINK("https%3A%2F%2Fwww.webofscience.com%2Fwos%2Fwoscc%2Ffull-record%2FWOS:000471112700004","View Full Record in Web of Science")</f>
        <v>View Full Record in Web of Science</v>
      </c>
    </row>
    <row r="828" spans="1:72" x14ac:dyDescent="0.15">
      <c r="A828" t="s">
        <v>72</v>
      </c>
      <c r="B828" t="s">
        <v>16066</v>
      </c>
      <c r="C828" t="s">
        <v>74</v>
      </c>
      <c r="D828" t="s">
        <v>74</v>
      </c>
      <c r="E828" t="s">
        <v>74</v>
      </c>
      <c r="F828" t="s">
        <v>16067</v>
      </c>
      <c r="G828" t="s">
        <v>74</v>
      </c>
      <c r="H828" t="s">
        <v>74</v>
      </c>
      <c r="I828" t="s">
        <v>16068</v>
      </c>
      <c r="J828" t="s">
        <v>2249</v>
      </c>
      <c r="K828" t="s">
        <v>74</v>
      </c>
      <c r="L828" t="s">
        <v>74</v>
      </c>
      <c r="M828" t="s">
        <v>78</v>
      </c>
      <c r="N828" t="s">
        <v>108</v>
      </c>
      <c r="O828" t="s">
        <v>74</v>
      </c>
      <c r="P828" t="s">
        <v>74</v>
      </c>
      <c r="Q828" t="s">
        <v>74</v>
      </c>
      <c r="R828" t="s">
        <v>74</v>
      </c>
      <c r="S828" t="s">
        <v>74</v>
      </c>
      <c r="T828" t="s">
        <v>74</v>
      </c>
      <c r="U828" t="s">
        <v>16069</v>
      </c>
      <c r="V828" t="s">
        <v>16070</v>
      </c>
      <c r="W828" t="s">
        <v>16071</v>
      </c>
      <c r="X828" t="s">
        <v>16072</v>
      </c>
      <c r="Y828" t="s">
        <v>16073</v>
      </c>
      <c r="Z828" t="s">
        <v>16074</v>
      </c>
      <c r="AA828" t="s">
        <v>16075</v>
      </c>
      <c r="AB828" t="s">
        <v>16076</v>
      </c>
      <c r="AC828" t="s">
        <v>16077</v>
      </c>
      <c r="AD828" t="s">
        <v>16077</v>
      </c>
      <c r="AE828" t="s">
        <v>16078</v>
      </c>
      <c r="AF828" t="s">
        <v>74</v>
      </c>
      <c r="AG828">
        <v>56</v>
      </c>
      <c r="AH828">
        <v>16</v>
      </c>
      <c r="AI828">
        <v>18</v>
      </c>
      <c r="AJ828">
        <v>1</v>
      </c>
      <c r="AK828">
        <v>17</v>
      </c>
      <c r="AL828" t="s">
        <v>839</v>
      </c>
      <c r="AM828" t="s">
        <v>840</v>
      </c>
      <c r="AN828" t="s">
        <v>841</v>
      </c>
      <c r="AO828" t="s">
        <v>2261</v>
      </c>
      <c r="AP828" t="s">
        <v>2262</v>
      </c>
      <c r="AQ828" t="s">
        <v>74</v>
      </c>
      <c r="AR828" t="s">
        <v>2263</v>
      </c>
      <c r="AS828" t="s">
        <v>2264</v>
      </c>
      <c r="AT828" t="s">
        <v>16079</v>
      </c>
      <c r="AU828">
        <v>2019</v>
      </c>
      <c r="AV828">
        <v>19</v>
      </c>
      <c r="AW828">
        <v>10</v>
      </c>
      <c r="AX828" t="s">
        <v>74</v>
      </c>
      <c r="AY828" t="s">
        <v>74</v>
      </c>
      <c r="AZ828" t="s">
        <v>74</v>
      </c>
      <c r="BA828" t="s">
        <v>74</v>
      </c>
      <c r="BB828">
        <v>7151</v>
      </c>
      <c r="BC828">
        <v>7163</v>
      </c>
      <c r="BD828" t="s">
        <v>74</v>
      </c>
      <c r="BE828" t="s">
        <v>16080</v>
      </c>
      <c r="BF828" t="str">
        <f>HYPERLINK("http://dx.doi.org/10.5194/acp-19-7151-2019","http://dx.doi.org/10.5194/acp-19-7151-2019")</f>
        <v>http://dx.doi.org/10.5194/acp-19-7151-2019</v>
      </c>
      <c r="BG828" t="s">
        <v>74</v>
      </c>
      <c r="BH828" t="s">
        <v>74</v>
      </c>
      <c r="BI828">
        <v>13</v>
      </c>
      <c r="BJ828" t="s">
        <v>2267</v>
      </c>
      <c r="BK828" t="s">
        <v>101</v>
      </c>
      <c r="BL828" t="s">
        <v>2268</v>
      </c>
      <c r="BM828" t="s">
        <v>16081</v>
      </c>
      <c r="BN828" t="s">
        <v>74</v>
      </c>
      <c r="BO828" t="s">
        <v>12430</v>
      </c>
      <c r="BP828" t="s">
        <v>74</v>
      </c>
      <c r="BQ828" t="s">
        <v>74</v>
      </c>
      <c r="BR828" t="s">
        <v>103</v>
      </c>
      <c r="BS828" t="s">
        <v>16082</v>
      </c>
      <c r="BT828" t="str">
        <f>HYPERLINK("https%3A%2F%2Fwww.webofscience.com%2Fwos%2Fwoscc%2Ffull-record%2FWOS:000469430600002","View Full Record in Web of Science")</f>
        <v>View Full Record in Web of Science</v>
      </c>
    </row>
    <row r="829" spans="1:72" x14ac:dyDescent="0.15">
      <c r="A829" t="s">
        <v>72</v>
      </c>
      <c r="B829" t="s">
        <v>16083</v>
      </c>
      <c r="C829" t="s">
        <v>74</v>
      </c>
      <c r="D829" t="s">
        <v>74</v>
      </c>
      <c r="E829" t="s">
        <v>74</v>
      </c>
      <c r="F829" t="s">
        <v>16084</v>
      </c>
      <c r="G829" t="s">
        <v>74</v>
      </c>
      <c r="H829" t="s">
        <v>74</v>
      </c>
      <c r="I829" t="s">
        <v>16085</v>
      </c>
      <c r="J829" t="s">
        <v>989</v>
      </c>
      <c r="K829" t="s">
        <v>74</v>
      </c>
      <c r="L829" t="s">
        <v>74</v>
      </c>
      <c r="M829" t="s">
        <v>78</v>
      </c>
      <c r="N829" t="s">
        <v>108</v>
      </c>
      <c r="O829" t="s">
        <v>74</v>
      </c>
      <c r="P829" t="s">
        <v>74</v>
      </c>
      <c r="Q829" t="s">
        <v>74</v>
      </c>
      <c r="R829" t="s">
        <v>74</v>
      </c>
      <c r="S829" t="s">
        <v>74</v>
      </c>
      <c r="T829" t="s">
        <v>74</v>
      </c>
      <c r="U829" t="s">
        <v>16086</v>
      </c>
      <c r="V829" t="s">
        <v>16087</v>
      </c>
      <c r="W829" t="s">
        <v>16088</v>
      </c>
      <c r="X829" t="s">
        <v>16089</v>
      </c>
      <c r="Y829" t="s">
        <v>16090</v>
      </c>
      <c r="Z829" t="s">
        <v>16091</v>
      </c>
      <c r="AA829" t="s">
        <v>16092</v>
      </c>
      <c r="AB829" t="s">
        <v>16093</v>
      </c>
      <c r="AC829" t="s">
        <v>16094</v>
      </c>
      <c r="AD829" t="s">
        <v>16095</v>
      </c>
      <c r="AE829" t="s">
        <v>16096</v>
      </c>
      <c r="AF829" t="s">
        <v>74</v>
      </c>
      <c r="AG829">
        <v>91</v>
      </c>
      <c r="AH829">
        <v>9</v>
      </c>
      <c r="AI829">
        <v>10</v>
      </c>
      <c r="AJ829">
        <v>1</v>
      </c>
      <c r="AK829">
        <v>13</v>
      </c>
      <c r="AL829" t="s">
        <v>998</v>
      </c>
      <c r="AM829" t="s">
        <v>657</v>
      </c>
      <c r="AN829" t="s">
        <v>999</v>
      </c>
      <c r="AO829" t="s">
        <v>1000</v>
      </c>
      <c r="AP829" t="s">
        <v>74</v>
      </c>
      <c r="AQ829" t="s">
        <v>74</v>
      </c>
      <c r="AR829" t="s">
        <v>1001</v>
      </c>
      <c r="AS829" t="s">
        <v>1002</v>
      </c>
      <c r="AT829" t="s">
        <v>16079</v>
      </c>
      <c r="AU829">
        <v>2019</v>
      </c>
      <c r="AV829">
        <v>9</v>
      </c>
      <c r="AW829" t="s">
        <v>74</v>
      </c>
      <c r="AX829" t="s">
        <v>74</v>
      </c>
      <c r="AY829" t="s">
        <v>74</v>
      </c>
      <c r="AZ829" t="s">
        <v>74</v>
      </c>
      <c r="BA829" t="s">
        <v>74</v>
      </c>
      <c r="BB829" t="s">
        <v>74</v>
      </c>
      <c r="BC829" t="s">
        <v>74</v>
      </c>
      <c r="BD829">
        <v>8044</v>
      </c>
      <c r="BE829" t="s">
        <v>16097</v>
      </c>
      <c r="BF829" t="str">
        <f>HYPERLINK("http://dx.doi.org/10.1038/s41598-019-44310-3","http://dx.doi.org/10.1038/s41598-019-44310-3")</f>
        <v>http://dx.doi.org/10.1038/s41598-019-44310-3</v>
      </c>
      <c r="BG829" t="s">
        <v>74</v>
      </c>
      <c r="BH829" t="s">
        <v>74</v>
      </c>
      <c r="BI829">
        <v>14</v>
      </c>
      <c r="BJ829" t="s">
        <v>1004</v>
      </c>
      <c r="BK829" t="s">
        <v>101</v>
      </c>
      <c r="BL829" t="s">
        <v>1005</v>
      </c>
      <c r="BM829" t="s">
        <v>16098</v>
      </c>
      <c r="BN829">
        <v>31142765</v>
      </c>
      <c r="BO829" t="s">
        <v>331</v>
      </c>
      <c r="BP829" t="s">
        <v>74</v>
      </c>
      <c r="BQ829" t="s">
        <v>74</v>
      </c>
      <c r="BR829" t="s">
        <v>103</v>
      </c>
      <c r="BS829" t="s">
        <v>16099</v>
      </c>
      <c r="BT829" t="str">
        <f>HYPERLINK("https%3A%2F%2Fwww.webofscience.com%2Fwos%2Fwoscc%2Ffull-record%2FWOS:000469319500002","View Full Record in Web of Science")</f>
        <v>View Full Record in Web of Science</v>
      </c>
    </row>
    <row r="830" spans="1:72" x14ac:dyDescent="0.15">
      <c r="A830" t="s">
        <v>72</v>
      </c>
      <c r="B830" t="s">
        <v>16100</v>
      </c>
      <c r="C830" t="s">
        <v>74</v>
      </c>
      <c r="D830" t="s">
        <v>74</v>
      </c>
      <c r="E830" t="s">
        <v>74</v>
      </c>
      <c r="F830" t="s">
        <v>16101</v>
      </c>
      <c r="G830" t="s">
        <v>74</v>
      </c>
      <c r="H830" t="s">
        <v>74</v>
      </c>
      <c r="I830" t="s">
        <v>16102</v>
      </c>
      <c r="J830" t="s">
        <v>855</v>
      </c>
      <c r="K830" t="s">
        <v>74</v>
      </c>
      <c r="L830" t="s">
        <v>74</v>
      </c>
      <c r="M830" t="s">
        <v>78</v>
      </c>
      <c r="N830" t="s">
        <v>79</v>
      </c>
      <c r="O830" t="s">
        <v>74</v>
      </c>
      <c r="P830" t="s">
        <v>74</v>
      </c>
      <c r="Q830" t="s">
        <v>74</v>
      </c>
      <c r="R830" t="s">
        <v>74</v>
      </c>
      <c r="S830" t="s">
        <v>74</v>
      </c>
      <c r="T830" t="s">
        <v>16103</v>
      </c>
      <c r="U830" t="s">
        <v>16104</v>
      </c>
      <c r="V830" t="s">
        <v>16105</v>
      </c>
      <c r="W830" t="s">
        <v>16106</v>
      </c>
      <c r="X830" t="s">
        <v>16107</v>
      </c>
      <c r="Y830" t="s">
        <v>16108</v>
      </c>
      <c r="Z830" t="s">
        <v>16109</v>
      </c>
      <c r="AA830" t="s">
        <v>16110</v>
      </c>
      <c r="AB830" t="s">
        <v>16111</v>
      </c>
      <c r="AC830" t="s">
        <v>16112</v>
      </c>
      <c r="AD830" t="s">
        <v>16113</v>
      </c>
      <c r="AE830" t="s">
        <v>16114</v>
      </c>
      <c r="AF830" t="s">
        <v>74</v>
      </c>
      <c r="AG830">
        <v>262</v>
      </c>
      <c r="AH830">
        <v>153</v>
      </c>
      <c r="AI830">
        <v>163</v>
      </c>
      <c r="AJ830">
        <v>30</v>
      </c>
      <c r="AK830">
        <v>249</v>
      </c>
      <c r="AL830" t="s">
        <v>868</v>
      </c>
      <c r="AM830" t="s">
        <v>869</v>
      </c>
      <c r="AN830" t="s">
        <v>870</v>
      </c>
      <c r="AO830" t="s">
        <v>74</v>
      </c>
      <c r="AP830" t="s">
        <v>871</v>
      </c>
      <c r="AQ830" t="s">
        <v>74</v>
      </c>
      <c r="AR830" t="s">
        <v>872</v>
      </c>
      <c r="AS830" t="s">
        <v>873</v>
      </c>
      <c r="AT830" t="s">
        <v>16079</v>
      </c>
      <c r="AU830">
        <v>2019</v>
      </c>
      <c r="AV830">
        <v>6</v>
      </c>
      <c r="AW830" t="s">
        <v>74</v>
      </c>
      <c r="AX830" t="s">
        <v>74</v>
      </c>
      <c r="AY830" t="s">
        <v>74</v>
      </c>
      <c r="AZ830" t="s">
        <v>74</v>
      </c>
      <c r="BA830" t="s">
        <v>74</v>
      </c>
      <c r="BB830" t="s">
        <v>74</v>
      </c>
      <c r="BC830" t="s">
        <v>74</v>
      </c>
      <c r="BD830">
        <v>241</v>
      </c>
      <c r="BE830" t="s">
        <v>16115</v>
      </c>
      <c r="BF830" t="str">
        <f>HYPERLINK("http://dx.doi.org/10.3389/fmars.2019.00241","http://dx.doi.org/10.3389/fmars.2019.00241")</f>
        <v>http://dx.doi.org/10.3389/fmars.2019.00241</v>
      </c>
      <c r="BG830" t="s">
        <v>74</v>
      </c>
      <c r="BH830" t="s">
        <v>74</v>
      </c>
      <c r="BI830">
        <v>32</v>
      </c>
      <c r="BJ830" t="s">
        <v>876</v>
      </c>
      <c r="BK830" t="s">
        <v>3718</v>
      </c>
      <c r="BL830" t="s">
        <v>877</v>
      </c>
      <c r="BM830" t="s">
        <v>16116</v>
      </c>
      <c r="BN830" t="s">
        <v>74</v>
      </c>
      <c r="BO830" t="s">
        <v>1368</v>
      </c>
      <c r="BP830" t="s">
        <v>1784</v>
      </c>
      <c r="BQ830" t="s">
        <v>1785</v>
      </c>
      <c r="BR830" t="s">
        <v>103</v>
      </c>
      <c r="BS830" t="s">
        <v>16117</v>
      </c>
      <c r="BT830" t="str">
        <f>HYPERLINK("https%3A%2F%2Fwww.webofscience.com%2Fwos%2Fwoscc%2Ffull-record%2FWOS:000469301800001","View Full Record in Web of Science")</f>
        <v>View Full Record in Web of Science</v>
      </c>
    </row>
    <row r="831" spans="1:72" x14ac:dyDescent="0.15">
      <c r="A831" t="s">
        <v>72</v>
      </c>
      <c r="B831" t="s">
        <v>16118</v>
      </c>
      <c r="C831" t="s">
        <v>74</v>
      </c>
      <c r="D831" t="s">
        <v>74</v>
      </c>
      <c r="E831" t="s">
        <v>74</v>
      </c>
      <c r="F831" t="s">
        <v>16119</v>
      </c>
      <c r="G831" t="s">
        <v>74</v>
      </c>
      <c r="H831" t="s">
        <v>74</v>
      </c>
      <c r="I831" t="s">
        <v>16120</v>
      </c>
      <c r="J831" t="s">
        <v>884</v>
      </c>
      <c r="K831" t="s">
        <v>74</v>
      </c>
      <c r="L831" t="s">
        <v>74</v>
      </c>
      <c r="M831" t="s">
        <v>78</v>
      </c>
      <c r="N831" t="s">
        <v>108</v>
      </c>
      <c r="O831" t="s">
        <v>74</v>
      </c>
      <c r="P831" t="s">
        <v>74</v>
      </c>
      <c r="Q831" t="s">
        <v>74</v>
      </c>
      <c r="R831" t="s">
        <v>74</v>
      </c>
      <c r="S831" t="s">
        <v>74</v>
      </c>
      <c r="T831" t="s">
        <v>74</v>
      </c>
      <c r="U831" t="s">
        <v>16121</v>
      </c>
      <c r="V831" t="s">
        <v>16122</v>
      </c>
      <c r="W831" t="s">
        <v>16123</v>
      </c>
      <c r="X831" t="s">
        <v>16124</v>
      </c>
      <c r="Y831" t="s">
        <v>16125</v>
      </c>
      <c r="Z831" t="s">
        <v>16126</v>
      </c>
      <c r="AA831" t="s">
        <v>16127</v>
      </c>
      <c r="AB831" t="s">
        <v>16128</v>
      </c>
      <c r="AC831" t="s">
        <v>16129</v>
      </c>
      <c r="AD831" t="s">
        <v>16130</v>
      </c>
      <c r="AE831" t="s">
        <v>16131</v>
      </c>
      <c r="AF831" t="s">
        <v>74</v>
      </c>
      <c r="AG831">
        <v>45</v>
      </c>
      <c r="AH831">
        <v>18</v>
      </c>
      <c r="AI831">
        <v>22</v>
      </c>
      <c r="AJ831">
        <v>2</v>
      </c>
      <c r="AK831">
        <v>27</v>
      </c>
      <c r="AL831" t="s">
        <v>182</v>
      </c>
      <c r="AM831" t="s">
        <v>183</v>
      </c>
      <c r="AN831" t="s">
        <v>184</v>
      </c>
      <c r="AO831" t="s">
        <v>896</v>
      </c>
      <c r="AP831" t="s">
        <v>897</v>
      </c>
      <c r="AQ831" t="s">
        <v>74</v>
      </c>
      <c r="AR831" t="s">
        <v>898</v>
      </c>
      <c r="AS831" t="s">
        <v>899</v>
      </c>
      <c r="AT831" t="s">
        <v>16132</v>
      </c>
      <c r="AU831">
        <v>2019</v>
      </c>
      <c r="AV831">
        <v>46</v>
      </c>
      <c r="AW831">
        <v>10</v>
      </c>
      <c r="AX831" t="s">
        <v>74</v>
      </c>
      <c r="AY831" t="s">
        <v>74</v>
      </c>
      <c r="AZ831" t="s">
        <v>74</v>
      </c>
      <c r="BA831" t="s">
        <v>74</v>
      </c>
      <c r="BB831">
        <v>5489</v>
      </c>
      <c r="BC831">
        <v>5498</v>
      </c>
      <c r="BD831" t="s">
        <v>74</v>
      </c>
      <c r="BE831" t="s">
        <v>16133</v>
      </c>
      <c r="BF831" t="str">
        <f>HYPERLINK("http://dx.doi.org/10.1029/2018GL081455","http://dx.doi.org/10.1029/2018GL081455")</f>
        <v>http://dx.doi.org/10.1029/2018GL081455</v>
      </c>
      <c r="BG831" t="s">
        <v>74</v>
      </c>
      <c r="BH831" t="s">
        <v>74</v>
      </c>
      <c r="BI831">
        <v>10</v>
      </c>
      <c r="BJ831" t="s">
        <v>471</v>
      </c>
      <c r="BK831" t="s">
        <v>101</v>
      </c>
      <c r="BL831" t="s">
        <v>472</v>
      </c>
      <c r="BM831" t="s">
        <v>16134</v>
      </c>
      <c r="BN831" t="s">
        <v>74</v>
      </c>
      <c r="BO831" t="s">
        <v>192</v>
      </c>
      <c r="BP831" t="s">
        <v>74</v>
      </c>
      <c r="BQ831" t="s">
        <v>74</v>
      </c>
      <c r="BR831" t="s">
        <v>103</v>
      </c>
      <c r="BS831" t="s">
        <v>16135</v>
      </c>
      <c r="BT831" t="str">
        <f>HYPERLINK("https%3A%2F%2Fwww.webofscience.com%2Fwos%2Fwoscc%2Ffull-record%2FWOS:000471237500054","View Full Record in Web of Science")</f>
        <v>View Full Record in Web of Science</v>
      </c>
    </row>
    <row r="832" spans="1:72" x14ac:dyDescent="0.15">
      <c r="A832" t="s">
        <v>72</v>
      </c>
      <c r="B832" t="s">
        <v>16136</v>
      </c>
      <c r="C832" t="s">
        <v>74</v>
      </c>
      <c r="D832" t="s">
        <v>74</v>
      </c>
      <c r="E832" t="s">
        <v>74</v>
      </c>
      <c r="F832" t="s">
        <v>16137</v>
      </c>
      <c r="G832" t="s">
        <v>74</v>
      </c>
      <c r="H832" t="s">
        <v>74</v>
      </c>
      <c r="I832" t="s">
        <v>16138</v>
      </c>
      <c r="J832" t="s">
        <v>989</v>
      </c>
      <c r="K832" t="s">
        <v>74</v>
      </c>
      <c r="L832" t="s">
        <v>74</v>
      </c>
      <c r="M832" t="s">
        <v>78</v>
      </c>
      <c r="N832" t="s">
        <v>108</v>
      </c>
      <c r="O832" t="s">
        <v>74</v>
      </c>
      <c r="P832" t="s">
        <v>74</v>
      </c>
      <c r="Q832" t="s">
        <v>74</v>
      </c>
      <c r="R832" t="s">
        <v>74</v>
      </c>
      <c r="S832" t="s">
        <v>74</v>
      </c>
      <c r="T832" t="s">
        <v>74</v>
      </c>
      <c r="U832" t="s">
        <v>16139</v>
      </c>
      <c r="V832" t="s">
        <v>16140</v>
      </c>
      <c r="W832" t="s">
        <v>16141</v>
      </c>
      <c r="X832" t="s">
        <v>16142</v>
      </c>
      <c r="Y832" t="s">
        <v>16143</v>
      </c>
      <c r="Z832" t="s">
        <v>16144</v>
      </c>
      <c r="AA832" t="s">
        <v>16145</v>
      </c>
      <c r="AB832" t="s">
        <v>16146</v>
      </c>
      <c r="AC832" t="s">
        <v>16147</v>
      </c>
      <c r="AD832" t="s">
        <v>16148</v>
      </c>
      <c r="AE832" t="s">
        <v>16149</v>
      </c>
      <c r="AF832" t="s">
        <v>74</v>
      </c>
      <c r="AG832">
        <v>47</v>
      </c>
      <c r="AH832">
        <v>3</v>
      </c>
      <c r="AI832">
        <v>3</v>
      </c>
      <c r="AJ832">
        <v>0</v>
      </c>
      <c r="AK832">
        <v>11</v>
      </c>
      <c r="AL832" t="s">
        <v>998</v>
      </c>
      <c r="AM832" t="s">
        <v>657</v>
      </c>
      <c r="AN832" t="s">
        <v>999</v>
      </c>
      <c r="AO832" t="s">
        <v>1000</v>
      </c>
      <c r="AP832" t="s">
        <v>74</v>
      </c>
      <c r="AQ832" t="s">
        <v>74</v>
      </c>
      <c r="AR832" t="s">
        <v>1001</v>
      </c>
      <c r="AS832" t="s">
        <v>1002</v>
      </c>
      <c r="AT832" t="s">
        <v>16132</v>
      </c>
      <c r="AU832">
        <v>2019</v>
      </c>
      <c r="AV832">
        <v>9</v>
      </c>
      <c r="AW832" t="s">
        <v>74</v>
      </c>
      <c r="AX832" t="s">
        <v>74</v>
      </c>
      <c r="AY832" t="s">
        <v>74</v>
      </c>
      <c r="AZ832" t="s">
        <v>74</v>
      </c>
      <c r="BA832" t="s">
        <v>74</v>
      </c>
      <c r="BB832" t="s">
        <v>74</v>
      </c>
      <c r="BC832" t="s">
        <v>74</v>
      </c>
      <c r="BD832">
        <v>7928</v>
      </c>
      <c r="BE832" t="s">
        <v>16150</v>
      </c>
      <c r="BF832" t="str">
        <f>HYPERLINK("http://dx.doi.org/10.1038/s41598-019-44290-4","http://dx.doi.org/10.1038/s41598-019-44290-4")</f>
        <v>http://dx.doi.org/10.1038/s41598-019-44290-4</v>
      </c>
      <c r="BG832" t="s">
        <v>74</v>
      </c>
      <c r="BH832" t="s">
        <v>74</v>
      </c>
      <c r="BI832">
        <v>8</v>
      </c>
      <c r="BJ832" t="s">
        <v>1004</v>
      </c>
      <c r="BK832" t="s">
        <v>101</v>
      </c>
      <c r="BL832" t="s">
        <v>1005</v>
      </c>
      <c r="BM832" t="s">
        <v>16151</v>
      </c>
      <c r="BN832" t="s">
        <v>74</v>
      </c>
      <c r="BO832" t="s">
        <v>313</v>
      </c>
      <c r="BP832" t="s">
        <v>74</v>
      </c>
      <c r="BQ832" t="s">
        <v>74</v>
      </c>
      <c r="BR832" t="s">
        <v>103</v>
      </c>
      <c r="BS832" t="s">
        <v>16152</v>
      </c>
      <c r="BT832" t="str">
        <f>HYPERLINK("https%3A%2F%2Fwww.webofscience.com%2Fwos%2Fwoscc%2Ffull-record%2FWOS:000469217100004","View Full Record in Web of Science")</f>
        <v>View Full Record in Web of Science</v>
      </c>
    </row>
    <row r="833" spans="1:72" x14ac:dyDescent="0.15">
      <c r="A833" t="s">
        <v>72</v>
      </c>
      <c r="B833" t="s">
        <v>16153</v>
      </c>
      <c r="C833" t="s">
        <v>74</v>
      </c>
      <c r="D833" t="s">
        <v>74</v>
      </c>
      <c r="E833" t="s">
        <v>74</v>
      </c>
      <c r="F833" t="s">
        <v>16154</v>
      </c>
      <c r="G833" t="s">
        <v>74</v>
      </c>
      <c r="H833" t="s">
        <v>74</v>
      </c>
      <c r="I833" t="s">
        <v>16155</v>
      </c>
      <c r="J833" t="s">
        <v>855</v>
      </c>
      <c r="K833" t="s">
        <v>74</v>
      </c>
      <c r="L833" t="s">
        <v>74</v>
      </c>
      <c r="M833" t="s">
        <v>78</v>
      </c>
      <c r="N833" t="s">
        <v>79</v>
      </c>
      <c r="O833" t="s">
        <v>74</v>
      </c>
      <c r="P833" t="s">
        <v>74</v>
      </c>
      <c r="Q833" t="s">
        <v>74</v>
      </c>
      <c r="R833" t="s">
        <v>74</v>
      </c>
      <c r="S833" t="s">
        <v>74</v>
      </c>
      <c r="T833" t="s">
        <v>16156</v>
      </c>
      <c r="U833" t="s">
        <v>16157</v>
      </c>
      <c r="V833" t="s">
        <v>16158</v>
      </c>
      <c r="W833" t="s">
        <v>16159</v>
      </c>
      <c r="X833" t="s">
        <v>16160</v>
      </c>
      <c r="Y833" t="s">
        <v>16161</v>
      </c>
      <c r="Z833" t="s">
        <v>16162</v>
      </c>
      <c r="AA833" t="s">
        <v>16163</v>
      </c>
      <c r="AB833" t="s">
        <v>16164</v>
      </c>
      <c r="AC833" t="s">
        <v>16165</v>
      </c>
      <c r="AD833" t="s">
        <v>16166</v>
      </c>
      <c r="AE833" t="s">
        <v>16167</v>
      </c>
      <c r="AF833" t="s">
        <v>74</v>
      </c>
      <c r="AG833">
        <v>324</v>
      </c>
      <c r="AH833">
        <v>59</v>
      </c>
      <c r="AI833">
        <v>60</v>
      </c>
      <c r="AJ833">
        <v>7</v>
      </c>
      <c r="AK833">
        <v>78</v>
      </c>
      <c r="AL833" t="s">
        <v>868</v>
      </c>
      <c r="AM833" t="s">
        <v>869</v>
      </c>
      <c r="AN833" t="s">
        <v>870</v>
      </c>
      <c r="AO833" t="s">
        <v>74</v>
      </c>
      <c r="AP833" t="s">
        <v>871</v>
      </c>
      <c r="AQ833" t="s">
        <v>74</v>
      </c>
      <c r="AR833" t="s">
        <v>872</v>
      </c>
      <c r="AS833" t="s">
        <v>873</v>
      </c>
      <c r="AT833" t="s">
        <v>16132</v>
      </c>
      <c r="AU833">
        <v>2019</v>
      </c>
      <c r="AV833">
        <v>6</v>
      </c>
      <c r="AW833" t="s">
        <v>74</v>
      </c>
      <c r="AX833" t="s">
        <v>74</v>
      </c>
      <c r="AY833" t="s">
        <v>74</v>
      </c>
      <c r="AZ833" t="s">
        <v>74</v>
      </c>
      <c r="BA833" t="s">
        <v>74</v>
      </c>
      <c r="BB833" t="s">
        <v>74</v>
      </c>
      <c r="BC833" t="s">
        <v>74</v>
      </c>
      <c r="BD833">
        <v>248</v>
      </c>
      <c r="BE833" t="s">
        <v>16168</v>
      </c>
      <c r="BF833" t="str">
        <f>HYPERLINK("http://dx.doi.org/10.3389/fmars.2019.00248","http://dx.doi.org/10.3389/fmars.2019.00248")</f>
        <v>http://dx.doi.org/10.3389/fmars.2019.00248</v>
      </c>
      <c r="BG833" t="s">
        <v>74</v>
      </c>
      <c r="BH833" t="s">
        <v>74</v>
      </c>
      <c r="BI833">
        <v>23</v>
      </c>
      <c r="BJ833" t="s">
        <v>876</v>
      </c>
      <c r="BK833" t="s">
        <v>101</v>
      </c>
      <c r="BL833" t="s">
        <v>877</v>
      </c>
      <c r="BM833" t="s">
        <v>16169</v>
      </c>
      <c r="BN833" t="s">
        <v>74</v>
      </c>
      <c r="BO833" t="s">
        <v>4818</v>
      </c>
      <c r="BP833" t="s">
        <v>74</v>
      </c>
      <c r="BQ833" t="s">
        <v>74</v>
      </c>
      <c r="BR833" t="s">
        <v>103</v>
      </c>
      <c r="BS833" t="s">
        <v>16170</v>
      </c>
      <c r="BT833" t="str">
        <f>HYPERLINK("https%3A%2F%2Fwww.webofscience.com%2Fwos%2Fwoscc%2Ffull-record%2FWOS:000469255100001","View Full Record in Web of Science")</f>
        <v>View Full Record in Web of Science</v>
      </c>
    </row>
    <row r="834" spans="1:72" x14ac:dyDescent="0.15">
      <c r="A834" t="s">
        <v>72</v>
      </c>
      <c r="B834" t="s">
        <v>16171</v>
      </c>
      <c r="C834" t="s">
        <v>74</v>
      </c>
      <c r="D834" t="s">
        <v>74</v>
      </c>
      <c r="E834" t="s">
        <v>74</v>
      </c>
      <c r="F834" t="s">
        <v>16172</v>
      </c>
      <c r="G834" t="s">
        <v>74</v>
      </c>
      <c r="H834" t="s">
        <v>74</v>
      </c>
      <c r="I834" t="s">
        <v>16173</v>
      </c>
      <c r="J834" t="s">
        <v>884</v>
      </c>
      <c r="K834" t="s">
        <v>74</v>
      </c>
      <c r="L834" t="s">
        <v>74</v>
      </c>
      <c r="M834" t="s">
        <v>78</v>
      </c>
      <c r="N834" t="s">
        <v>108</v>
      </c>
      <c r="O834" t="s">
        <v>74</v>
      </c>
      <c r="P834" t="s">
        <v>74</v>
      </c>
      <c r="Q834" t="s">
        <v>74</v>
      </c>
      <c r="R834" t="s">
        <v>74</v>
      </c>
      <c r="S834" t="s">
        <v>74</v>
      </c>
      <c r="T834" t="s">
        <v>74</v>
      </c>
      <c r="U834" t="s">
        <v>16174</v>
      </c>
      <c r="V834" t="s">
        <v>16175</v>
      </c>
      <c r="W834" t="s">
        <v>16176</v>
      </c>
      <c r="X834" t="s">
        <v>16177</v>
      </c>
      <c r="Y834" t="s">
        <v>16178</v>
      </c>
      <c r="Z834" t="s">
        <v>16179</v>
      </c>
      <c r="AA834" t="s">
        <v>16180</v>
      </c>
      <c r="AB834" t="s">
        <v>16181</v>
      </c>
      <c r="AC834" t="s">
        <v>16182</v>
      </c>
      <c r="AD834" t="s">
        <v>16183</v>
      </c>
      <c r="AE834" t="s">
        <v>16184</v>
      </c>
      <c r="AF834" t="s">
        <v>74</v>
      </c>
      <c r="AG834">
        <v>47</v>
      </c>
      <c r="AH834">
        <v>24</v>
      </c>
      <c r="AI834">
        <v>25</v>
      </c>
      <c r="AJ834">
        <v>4</v>
      </c>
      <c r="AK834">
        <v>30</v>
      </c>
      <c r="AL834" t="s">
        <v>182</v>
      </c>
      <c r="AM834" t="s">
        <v>183</v>
      </c>
      <c r="AN834" t="s">
        <v>184</v>
      </c>
      <c r="AO834" t="s">
        <v>896</v>
      </c>
      <c r="AP834" t="s">
        <v>897</v>
      </c>
      <c r="AQ834" t="s">
        <v>74</v>
      </c>
      <c r="AR834" t="s">
        <v>898</v>
      </c>
      <c r="AS834" t="s">
        <v>899</v>
      </c>
      <c r="AT834" t="s">
        <v>16132</v>
      </c>
      <c r="AU834">
        <v>2019</v>
      </c>
      <c r="AV834">
        <v>46</v>
      </c>
      <c r="AW834">
        <v>10</v>
      </c>
      <c r="AX834" t="s">
        <v>74</v>
      </c>
      <c r="AY834" t="s">
        <v>74</v>
      </c>
      <c r="AZ834" t="s">
        <v>74</v>
      </c>
      <c r="BA834" t="s">
        <v>74</v>
      </c>
      <c r="BB834">
        <v>5396</v>
      </c>
      <c r="BC834">
        <v>5403</v>
      </c>
      <c r="BD834" t="s">
        <v>74</v>
      </c>
      <c r="BE834" t="s">
        <v>16185</v>
      </c>
      <c r="BF834" t="str">
        <f>HYPERLINK("http://dx.doi.org/10.1029/2019GL083149","http://dx.doi.org/10.1029/2019GL083149")</f>
        <v>http://dx.doi.org/10.1029/2019GL083149</v>
      </c>
      <c r="BG834" t="s">
        <v>74</v>
      </c>
      <c r="BH834" t="s">
        <v>74</v>
      </c>
      <c r="BI834">
        <v>8</v>
      </c>
      <c r="BJ834" t="s">
        <v>471</v>
      </c>
      <c r="BK834" t="s">
        <v>101</v>
      </c>
      <c r="BL834" t="s">
        <v>472</v>
      </c>
      <c r="BM834" t="s">
        <v>16134</v>
      </c>
      <c r="BN834" t="s">
        <v>74</v>
      </c>
      <c r="BO834" t="s">
        <v>1465</v>
      </c>
      <c r="BP834" t="s">
        <v>74</v>
      </c>
      <c r="BQ834" t="s">
        <v>74</v>
      </c>
      <c r="BR834" t="s">
        <v>103</v>
      </c>
      <c r="BS834" t="s">
        <v>16186</v>
      </c>
      <c r="BT834" t="str">
        <f>HYPERLINK("https%3A%2F%2Fwww.webofscience.com%2Fwos%2Fwoscc%2Ffull-record%2FWOS:000471237500043","View Full Record in Web of Science")</f>
        <v>View Full Record in Web of Science</v>
      </c>
    </row>
    <row r="835" spans="1:72" x14ac:dyDescent="0.15">
      <c r="A835" t="s">
        <v>72</v>
      </c>
      <c r="B835" t="s">
        <v>16187</v>
      </c>
      <c r="C835" t="s">
        <v>74</v>
      </c>
      <c r="D835" t="s">
        <v>74</v>
      </c>
      <c r="E835" t="s">
        <v>74</v>
      </c>
      <c r="F835" t="s">
        <v>16188</v>
      </c>
      <c r="G835" t="s">
        <v>74</v>
      </c>
      <c r="H835" t="s">
        <v>74</v>
      </c>
      <c r="I835" t="s">
        <v>16189</v>
      </c>
      <c r="J835" t="s">
        <v>1887</v>
      </c>
      <c r="K835" t="s">
        <v>74</v>
      </c>
      <c r="L835" t="s">
        <v>74</v>
      </c>
      <c r="M835" t="s">
        <v>78</v>
      </c>
      <c r="N835" t="s">
        <v>108</v>
      </c>
      <c r="O835" t="s">
        <v>74</v>
      </c>
      <c r="P835" t="s">
        <v>74</v>
      </c>
      <c r="Q835" t="s">
        <v>74</v>
      </c>
      <c r="R835" t="s">
        <v>74</v>
      </c>
      <c r="S835" t="s">
        <v>74</v>
      </c>
      <c r="T835" t="s">
        <v>16190</v>
      </c>
      <c r="U835" t="s">
        <v>16191</v>
      </c>
      <c r="V835" t="s">
        <v>16192</v>
      </c>
      <c r="W835" t="s">
        <v>16193</v>
      </c>
      <c r="X835" t="s">
        <v>16194</v>
      </c>
      <c r="Y835" t="s">
        <v>16195</v>
      </c>
      <c r="Z835" t="s">
        <v>16196</v>
      </c>
      <c r="AA835" t="s">
        <v>16197</v>
      </c>
      <c r="AB835" t="s">
        <v>16198</v>
      </c>
      <c r="AC835" t="s">
        <v>16199</v>
      </c>
      <c r="AD835" t="s">
        <v>16200</v>
      </c>
      <c r="AE835" t="s">
        <v>16201</v>
      </c>
      <c r="AF835" t="s">
        <v>74</v>
      </c>
      <c r="AG835">
        <v>77</v>
      </c>
      <c r="AH835">
        <v>31</v>
      </c>
      <c r="AI835">
        <v>35</v>
      </c>
      <c r="AJ835">
        <v>2</v>
      </c>
      <c r="AK835">
        <v>24</v>
      </c>
      <c r="AL835" t="s">
        <v>182</v>
      </c>
      <c r="AM835" t="s">
        <v>183</v>
      </c>
      <c r="AN835" t="s">
        <v>184</v>
      </c>
      <c r="AO835" t="s">
        <v>6300</v>
      </c>
      <c r="AP835" t="s">
        <v>1899</v>
      </c>
      <c r="AQ835" t="s">
        <v>74</v>
      </c>
      <c r="AR835" t="s">
        <v>1900</v>
      </c>
      <c r="AS835" t="s">
        <v>1901</v>
      </c>
      <c r="AT835" t="s">
        <v>16202</v>
      </c>
      <c r="AU835">
        <v>2019</v>
      </c>
      <c r="AV835">
        <v>124</v>
      </c>
      <c r="AW835">
        <v>10</v>
      </c>
      <c r="AX835" t="s">
        <v>74</v>
      </c>
      <c r="AY835" t="s">
        <v>74</v>
      </c>
      <c r="AZ835" t="s">
        <v>74</v>
      </c>
      <c r="BA835" t="s">
        <v>74</v>
      </c>
      <c r="BB835">
        <v>5251</v>
      </c>
      <c r="BC835">
        <v>5267</v>
      </c>
      <c r="BD835" t="s">
        <v>74</v>
      </c>
      <c r="BE835" t="s">
        <v>16203</v>
      </c>
      <c r="BF835" t="str">
        <f>HYPERLINK("http://dx.doi.org/10.1029/2019JD030618","http://dx.doi.org/10.1029/2019JD030618")</f>
        <v>http://dx.doi.org/10.1029/2019JD030618</v>
      </c>
      <c r="BG835" t="s">
        <v>74</v>
      </c>
      <c r="BH835" t="s">
        <v>74</v>
      </c>
      <c r="BI835">
        <v>17</v>
      </c>
      <c r="BJ835" t="s">
        <v>259</v>
      </c>
      <c r="BK835" t="s">
        <v>101</v>
      </c>
      <c r="BL835" t="s">
        <v>259</v>
      </c>
      <c r="BM835" t="s">
        <v>16204</v>
      </c>
      <c r="BN835" t="s">
        <v>74</v>
      </c>
      <c r="BO835" t="s">
        <v>261</v>
      </c>
      <c r="BP835" t="s">
        <v>74</v>
      </c>
      <c r="BQ835" t="s">
        <v>74</v>
      </c>
      <c r="BR835" t="s">
        <v>103</v>
      </c>
      <c r="BS835" t="s">
        <v>16205</v>
      </c>
      <c r="BT835" t="str">
        <f>HYPERLINK("https%3A%2F%2Fwww.webofscience.com%2Fwos%2Fwoscc%2Ffull-record%2FWOS:000471237200007","View Full Record in Web of Science")</f>
        <v>View Full Record in Web of Science</v>
      </c>
    </row>
    <row r="836" spans="1:72" x14ac:dyDescent="0.15">
      <c r="A836" t="s">
        <v>72</v>
      </c>
      <c r="B836" t="s">
        <v>16206</v>
      </c>
      <c r="C836" t="s">
        <v>74</v>
      </c>
      <c r="D836" t="s">
        <v>74</v>
      </c>
      <c r="E836" t="s">
        <v>74</v>
      </c>
      <c r="F836" t="s">
        <v>16207</v>
      </c>
      <c r="G836" t="s">
        <v>74</v>
      </c>
      <c r="H836" t="s">
        <v>74</v>
      </c>
      <c r="I836" t="s">
        <v>16208</v>
      </c>
      <c r="J836" t="s">
        <v>1887</v>
      </c>
      <c r="K836" t="s">
        <v>74</v>
      </c>
      <c r="L836" t="s">
        <v>74</v>
      </c>
      <c r="M836" t="s">
        <v>78</v>
      </c>
      <c r="N836" t="s">
        <v>108</v>
      </c>
      <c r="O836" t="s">
        <v>74</v>
      </c>
      <c r="P836" t="s">
        <v>74</v>
      </c>
      <c r="Q836" t="s">
        <v>74</v>
      </c>
      <c r="R836" t="s">
        <v>74</v>
      </c>
      <c r="S836" t="s">
        <v>74</v>
      </c>
      <c r="T836" t="s">
        <v>74</v>
      </c>
      <c r="U836" t="s">
        <v>16209</v>
      </c>
      <c r="V836" t="s">
        <v>16210</v>
      </c>
      <c r="W836" t="s">
        <v>16211</v>
      </c>
      <c r="X836" t="s">
        <v>16212</v>
      </c>
      <c r="Y836" t="s">
        <v>16213</v>
      </c>
      <c r="Z836" t="s">
        <v>16214</v>
      </c>
      <c r="AA836" t="s">
        <v>16215</v>
      </c>
      <c r="AB836" t="s">
        <v>16216</v>
      </c>
      <c r="AC836" t="s">
        <v>16217</v>
      </c>
      <c r="AD836" t="s">
        <v>16218</v>
      </c>
      <c r="AE836" t="s">
        <v>16219</v>
      </c>
      <c r="AF836" t="s">
        <v>74</v>
      </c>
      <c r="AG836">
        <v>49</v>
      </c>
      <c r="AH836">
        <v>5</v>
      </c>
      <c r="AI836">
        <v>5</v>
      </c>
      <c r="AJ836">
        <v>1</v>
      </c>
      <c r="AK836">
        <v>17</v>
      </c>
      <c r="AL836" t="s">
        <v>182</v>
      </c>
      <c r="AM836" t="s">
        <v>183</v>
      </c>
      <c r="AN836" t="s">
        <v>184</v>
      </c>
      <c r="AO836" t="s">
        <v>6300</v>
      </c>
      <c r="AP836" t="s">
        <v>1899</v>
      </c>
      <c r="AQ836" t="s">
        <v>74</v>
      </c>
      <c r="AR836" t="s">
        <v>1900</v>
      </c>
      <c r="AS836" t="s">
        <v>1901</v>
      </c>
      <c r="AT836" t="s">
        <v>16202</v>
      </c>
      <c r="AU836">
        <v>2019</v>
      </c>
      <c r="AV836">
        <v>124</v>
      </c>
      <c r="AW836">
        <v>10</v>
      </c>
      <c r="AX836" t="s">
        <v>74</v>
      </c>
      <c r="AY836" t="s">
        <v>74</v>
      </c>
      <c r="AZ836" t="s">
        <v>74</v>
      </c>
      <c r="BA836" t="s">
        <v>74</v>
      </c>
      <c r="BB836">
        <v>5282</v>
      </c>
      <c r="BC836">
        <v>5295</v>
      </c>
      <c r="BD836" t="s">
        <v>74</v>
      </c>
      <c r="BE836" t="s">
        <v>16220</v>
      </c>
      <c r="BF836" t="str">
        <f>HYPERLINK("http://dx.doi.org/10.1029/2018JD029601","http://dx.doi.org/10.1029/2018JD029601")</f>
        <v>http://dx.doi.org/10.1029/2018JD029601</v>
      </c>
      <c r="BG836" t="s">
        <v>74</v>
      </c>
      <c r="BH836" t="s">
        <v>74</v>
      </c>
      <c r="BI836">
        <v>14</v>
      </c>
      <c r="BJ836" t="s">
        <v>259</v>
      </c>
      <c r="BK836" t="s">
        <v>101</v>
      </c>
      <c r="BL836" t="s">
        <v>259</v>
      </c>
      <c r="BM836" t="s">
        <v>16204</v>
      </c>
      <c r="BN836" t="s">
        <v>74</v>
      </c>
      <c r="BO836" t="s">
        <v>1867</v>
      </c>
      <c r="BP836" t="s">
        <v>74</v>
      </c>
      <c r="BQ836" t="s">
        <v>74</v>
      </c>
      <c r="BR836" t="s">
        <v>103</v>
      </c>
      <c r="BS836" t="s">
        <v>16221</v>
      </c>
      <c r="BT836" t="str">
        <f>HYPERLINK("https%3A%2F%2Fwww.webofscience.com%2Fwos%2Fwoscc%2Ffull-record%2FWOS:000471237200009","View Full Record in Web of Science")</f>
        <v>View Full Record in Web of Science</v>
      </c>
    </row>
    <row r="837" spans="1:72" x14ac:dyDescent="0.15">
      <c r="A837" t="s">
        <v>72</v>
      </c>
      <c r="B837" t="s">
        <v>16222</v>
      </c>
      <c r="C837" t="s">
        <v>74</v>
      </c>
      <c r="D837" t="s">
        <v>74</v>
      </c>
      <c r="E837" t="s">
        <v>74</v>
      </c>
      <c r="F837" t="s">
        <v>16223</v>
      </c>
      <c r="G837" t="s">
        <v>74</v>
      </c>
      <c r="H837" t="s">
        <v>74</v>
      </c>
      <c r="I837" t="s">
        <v>16224</v>
      </c>
      <c r="J837" t="s">
        <v>1060</v>
      </c>
      <c r="K837" t="s">
        <v>74</v>
      </c>
      <c r="L837" t="s">
        <v>74</v>
      </c>
      <c r="M837" t="s">
        <v>78</v>
      </c>
      <c r="N837" t="s">
        <v>108</v>
      </c>
      <c r="O837" t="s">
        <v>74</v>
      </c>
      <c r="P837" t="s">
        <v>74</v>
      </c>
      <c r="Q837" t="s">
        <v>74</v>
      </c>
      <c r="R837" t="s">
        <v>74</v>
      </c>
      <c r="S837" t="s">
        <v>74</v>
      </c>
      <c r="T837" t="s">
        <v>74</v>
      </c>
      <c r="U837" t="s">
        <v>16225</v>
      </c>
      <c r="V837" t="s">
        <v>16226</v>
      </c>
      <c r="W837" t="s">
        <v>16227</v>
      </c>
      <c r="X837" t="s">
        <v>16228</v>
      </c>
      <c r="Y837" t="s">
        <v>16229</v>
      </c>
      <c r="Z837" t="s">
        <v>16230</v>
      </c>
      <c r="AA837" t="s">
        <v>74</v>
      </c>
      <c r="AB837" t="s">
        <v>16231</v>
      </c>
      <c r="AC837" t="s">
        <v>74</v>
      </c>
      <c r="AD837" t="s">
        <v>74</v>
      </c>
      <c r="AE837" t="s">
        <v>74</v>
      </c>
      <c r="AF837" t="s">
        <v>74</v>
      </c>
      <c r="AG837">
        <v>59</v>
      </c>
      <c r="AH837">
        <v>10</v>
      </c>
      <c r="AI837">
        <v>10</v>
      </c>
      <c r="AJ837">
        <v>0</v>
      </c>
      <c r="AK837">
        <v>6</v>
      </c>
      <c r="AL837" t="s">
        <v>839</v>
      </c>
      <c r="AM837" t="s">
        <v>840</v>
      </c>
      <c r="AN837" t="s">
        <v>841</v>
      </c>
      <c r="AO837" t="s">
        <v>1072</v>
      </c>
      <c r="AP837" t="s">
        <v>74</v>
      </c>
      <c r="AQ837" t="s">
        <v>74</v>
      </c>
      <c r="AR837" t="s">
        <v>1074</v>
      </c>
      <c r="AS837" t="s">
        <v>1075</v>
      </c>
      <c r="AT837" t="s">
        <v>16202</v>
      </c>
      <c r="AU837">
        <v>2019</v>
      </c>
      <c r="AV837">
        <v>15</v>
      </c>
      <c r="AW837">
        <v>3</v>
      </c>
      <c r="AX837" t="s">
        <v>74</v>
      </c>
      <c r="AY837" t="s">
        <v>74</v>
      </c>
      <c r="AZ837" t="s">
        <v>74</v>
      </c>
      <c r="BA837" t="s">
        <v>74</v>
      </c>
      <c r="BB837">
        <v>565</v>
      </c>
      <c r="BC837">
        <v>582</v>
      </c>
      <c r="BD837" t="s">
        <v>74</v>
      </c>
      <c r="BE837" t="s">
        <v>16232</v>
      </c>
      <c r="BF837" t="str">
        <f>HYPERLINK("http://dx.doi.org/10.5194/os-15-565-2019","http://dx.doi.org/10.5194/os-15-565-2019")</f>
        <v>http://dx.doi.org/10.5194/os-15-565-2019</v>
      </c>
      <c r="BG837" t="s">
        <v>74</v>
      </c>
      <c r="BH837" t="s">
        <v>74</v>
      </c>
      <c r="BI837">
        <v>18</v>
      </c>
      <c r="BJ837" t="s">
        <v>1077</v>
      </c>
      <c r="BK837" t="s">
        <v>101</v>
      </c>
      <c r="BL837" t="s">
        <v>1077</v>
      </c>
      <c r="BM837" t="s">
        <v>16233</v>
      </c>
      <c r="BN837" t="s">
        <v>74</v>
      </c>
      <c r="BO837" t="s">
        <v>2270</v>
      </c>
      <c r="BP837" t="s">
        <v>74</v>
      </c>
      <c r="BQ837" t="s">
        <v>74</v>
      </c>
      <c r="BR837" t="s">
        <v>103</v>
      </c>
      <c r="BS837" t="s">
        <v>16234</v>
      </c>
      <c r="BT837" t="str">
        <f>HYPERLINK("https%3A%2F%2Fwww.webofscience.com%2Fwos%2Fwoscc%2Ffull-record%2FWOS:000469192300001","View Full Record in Web of Science")</f>
        <v>View Full Record in Web of Science</v>
      </c>
    </row>
    <row r="838" spans="1:72" x14ac:dyDescent="0.15">
      <c r="A838" t="s">
        <v>72</v>
      </c>
      <c r="B838" t="s">
        <v>16235</v>
      </c>
      <c r="C838" t="s">
        <v>74</v>
      </c>
      <c r="D838" t="s">
        <v>74</v>
      </c>
      <c r="E838" t="s">
        <v>74</v>
      </c>
      <c r="F838" t="s">
        <v>16236</v>
      </c>
      <c r="G838" t="s">
        <v>74</v>
      </c>
      <c r="H838" t="s">
        <v>74</v>
      </c>
      <c r="I838" t="s">
        <v>16237</v>
      </c>
      <c r="J838" t="s">
        <v>989</v>
      </c>
      <c r="K838" t="s">
        <v>74</v>
      </c>
      <c r="L838" t="s">
        <v>74</v>
      </c>
      <c r="M838" t="s">
        <v>78</v>
      </c>
      <c r="N838" t="s">
        <v>108</v>
      </c>
      <c r="O838" t="s">
        <v>74</v>
      </c>
      <c r="P838" t="s">
        <v>74</v>
      </c>
      <c r="Q838" t="s">
        <v>74</v>
      </c>
      <c r="R838" t="s">
        <v>74</v>
      </c>
      <c r="S838" t="s">
        <v>74</v>
      </c>
      <c r="T838" t="s">
        <v>74</v>
      </c>
      <c r="U838" t="s">
        <v>16238</v>
      </c>
      <c r="V838" t="s">
        <v>16239</v>
      </c>
      <c r="W838" t="s">
        <v>16240</v>
      </c>
      <c r="X838" t="s">
        <v>16241</v>
      </c>
      <c r="Y838" t="s">
        <v>16242</v>
      </c>
      <c r="Z838" t="s">
        <v>16243</v>
      </c>
      <c r="AA838" t="s">
        <v>74</v>
      </c>
      <c r="AB838" t="s">
        <v>74</v>
      </c>
      <c r="AC838" t="s">
        <v>16244</v>
      </c>
      <c r="AD838" t="s">
        <v>16245</v>
      </c>
      <c r="AE838" t="s">
        <v>16246</v>
      </c>
      <c r="AF838" t="s">
        <v>74</v>
      </c>
      <c r="AG838">
        <v>31</v>
      </c>
      <c r="AH838">
        <v>11</v>
      </c>
      <c r="AI838">
        <v>12</v>
      </c>
      <c r="AJ838">
        <v>3</v>
      </c>
      <c r="AK838">
        <v>19</v>
      </c>
      <c r="AL838" t="s">
        <v>998</v>
      </c>
      <c r="AM838" t="s">
        <v>657</v>
      </c>
      <c r="AN838" t="s">
        <v>999</v>
      </c>
      <c r="AO838" t="s">
        <v>1000</v>
      </c>
      <c r="AP838" t="s">
        <v>74</v>
      </c>
      <c r="AQ838" t="s">
        <v>74</v>
      </c>
      <c r="AR838" t="s">
        <v>1001</v>
      </c>
      <c r="AS838" t="s">
        <v>1002</v>
      </c>
      <c r="AT838" t="s">
        <v>16202</v>
      </c>
      <c r="AU838">
        <v>2019</v>
      </c>
      <c r="AV838">
        <v>9</v>
      </c>
      <c r="AW838" t="s">
        <v>74</v>
      </c>
      <c r="AX838" t="s">
        <v>74</v>
      </c>
      <c r="AY838" t="s">
        <v>74</v>
      </c>
      <c r="AZ838" t="s">
        <v>74</v>
      </c>
      <c r="BA838" t="s">
        <v>74</v>
      </c>
      <c r="BB838" t="s">
        <v>74</v>
      </c>
      <c r="BC838" t="s">
        <v>74</v>
      </c>
      <c r="BD838">
        <v>7853</v>
      </c>
      <c r="BE838" t="s">
        <v>16247</v>
      </c>
      <c r="BF838" t="str">
        <f>HYPERLINK("http://dx.doi.org/10.1038/s41598-019-44337-6","http://dx.doi.org/10.1038/s41598-019-44337-6")</f>
        <v>http://dx.doi.org/10.1038/s41598-019-44337-6</v>
      </c>
      <c r="BG838" t="s">
        <v>74</v>
      </c>
      <c r="BH838" t="s">
        <v>74</v>
      </c>
      <c r="BI838">
        <v>6</v>
      </c>
      <c r="BJ838" t="s">
        <v>1004</v>
      </c>
      <c r="BK838" t="s">
        <v>101</v>
      </c>
      <c r="BL838" t="s">
        <v>1005</v>
      </c>
      <c r="BM838" t="s">
        <v>16248</v>
      </c>
      <c r="BN838">
        <v>31133736</v>
      </c>
      <c r="BO838" t="s">
        <v>313</v>
      </c>
      <c r="BP838" t="s">
        <v>74</v>
      </c>
      <c r="BQ838" t="s">
        <v>74</v>
      </c>
      <c r="BR838" t="s">
        <v>103</v>
      </c>
      <c r="BS838" t="s">
        <v>16249</v>
      </c>
      <c r="BT838" t="str">
        <f>HYPERLINK("https%3A%2F%2Fwww.webofscience.com%2Fwos%2Fwoscc%2Ffull-record%2FWOS:000469011800001","View Full Record in Web of Science")</f>
        <v>View Full Record in Web of Science</v>
      </c>
    </row>
    <row r="839" spans="1:72" x14ac:dyDescent="0.15">
      <c r="A839" t="s">
        <v>72</v>
      </c>
      <c r="B839" t="s">
        <v>16250</v>
      </c>
      <c r="C839" t="s">
        <v>74</v>
      </c>
      <c r="D839" t="s">
        <v>74</v>
      </c>
      <c r="E839" t="s">
        <v>74</v>
      </c>
      <c r="F839" t="s">
        <v>16251</v>
      </c>
      <c r="G839" t="s">
        <v>74</v>
      </c>
      <c r="H839" t="s">
        <v>74</v>
      </c>
      <c r="I839" t="s">
        <v>16252</v>
      </c>
      <c r="J839" t="s">
        <v>16253</v>
      </c>
      <c r="K839" t="s">
        <v>74</v>
      </c>
      <c r="L839" t="s">
        <v>74</v>
      </c>
      <c r="M839" t="s">
        <v>78</v>
      </c>
      <c r="N839" t="s">
        <v>108</v>
      </c>
      <c r="O839" t="s">
        <v>74</v>
      </c>
      <c r="P839" t="s">
        <v>74</v>
      </c>
      <c r="Q839" t="s">
        <v>74</v>
      </c>
      <c r="R839" t="s">
        <v>74</v>
      </c>
      <c r="S839" t="s">
        <v>74</v>
      </c>
      <c r="T839" t="s">
        <v>16254</v>
      </c>
      <c r="U839" t="s">
        <v>16255</v>
      </c>
      <c r="V839" t="s">
        <v>16256</v>
      </c>
      <c r="W839" t="s">
        <v>16257</v>
      </c>
      <c r="X839" t="s">
        <v>16258</v>
      </c>
      <c r="Y839" t="s">
        <v>16259</v>
      </c>
      <c r="Z839" t="s">
        <v>16260</v>
      </c>
      <c r="AA839" t="s">
        <v>74</v>
      </c>
      <c r="AB839" t="s">
        <v>74</v>
      </c>
      <c r="AC839" t="s">
        <v>16261</v>
      </c>
      <c r="AD839" t="s">
        <v>16262</v>
      </c>
      <c r="AE839" t="s">
        <v>16263</v>
      </c>
      <c r="AF839" t="s">
        <v>74</v>
      </c>
      <c r="AG839">
        <v>49</v>
      </c>
      <c r="AH839">
        <v>26</v>
      </c>
      <c r="AI839">
        <v>26</v>
      </c>
      <c r="AJ839">
        <v>0</v>
      </c>
      <c r="AK839">
        <v>9</v>
      </c>
      <c r="AL839" t="s">
        <v>5946</v>
      </c>
      <c r="AM839" t="s">
        <v>5947</v>
      </c>
      <c r="AN839" t="s">
        <v>5948</v>
      </c>
      <c r="AO839" t="s">
        <v>16264</v>
      </c>
      <c r="AP839" t="s">
        <v>74</v>
      </c>
      <c r="AQ839" t="s">
        <v>74</v>
      </c>
      <c r="AR839" t="s">
        <v>16265</v>
      </c>
      <c r="AS839" t="s">
        <v>16266</v>
      </c>
      <c r="AT839" t="s">
        <v>16267</v>
      </c>
      <c r="AU839">
        <v>2019</v>
      </c>
      <c r="AV839">
        <v>116</v>
      </c>
      <c r="AW839">
        <v>10</v>
      </c>
      <c r="AX839" t="s">
        <v>74</v>
      </c>
      <c r="AY839" t="s">
        <v>74</v>
      </c>
      <c r="AZ839" t="s">
        <v>74</v>
      </c>
      <c r="BA839" t="s">
        <v>74</v>
      </c>
      <c r="BB839">
        <v>1721</v>
      </c>
      <c r="BC839">
        <v>1730</v>
      </c>
      <c r="BD839" t="s">
        <v>74</v>
      </c>
      <c r="BE839" t="s">
        <v>16268</v>
      </c>
      <c r="BF839" t="str">
        <f>HYPERLINK("http://dx.doi.org/10.18520/cs/v116/i10/1721-1730","http://dx.doi.org/10.18520/cs/v116/i10/1721-1730")</f>
        <v>http://dx.doi.org/10.18520/cs/v116/i10/1721-1730</v>
      </c>
      <c r="BG839" t="s">
        <v>74</v>
      </c>
      <c r="BH839" t="s">
        <v>74</v>
      </c>
      <c r="BI839">
        <v>10</v>
      </c>
      <c r="BJ839" t="s">
        <v>1004</v>
      </c>
      <c r="BK839" t="s">
        <v>101</v>
      </c>
      <c r="BL839" t="s">
        <v>1005</v>
      </c>
      <c r="BM839" t="s">
        <v>16269</v>
      </c>
      <c r="BN839" t="s">
        <v>74</v>
      </c>
      <c r="BO839" t="s">
        <v>6187</v>
      </c>
      <c r="BP839" t="s">
        <v>74</v>
      </c>
      <c r="BQ839" t="s">
        <v>74</v>
      </c>
      <c r="BR839" t="s">
        <v>103</v>
      </c>
      <c r="BS839" t="s">
        <v>16270</v>
      </c>
      <c r="BT839" t="str">
        <f>HYPERLINK("https%3A%2F%2Fwww.webofscience.com%2Fwos%2Fwoscc%2Ffull-record%2FWOS:000468611700029","View Full Record in Web of Science")</f>
        <v>View Full Record in Web of Science</v>
      </c>
    </row>
    <row r="840" spans="1:72" x14ac:dyDescent="0.15">
      <c r="A840" t="s">
        <v>72</v>
      </c>
      <c r="B840" t="s">
        <v>16271</v>
      </c>
      <c r="C840" t="s">
        <v>74</v>
      </c>
      <c r="D840" t="s">
        <v>74</v>
      </c>
      <c r="E840" t="s">
        <v>74</v>
      </c>
      <c r="F840" t="s">
        <v>16272</v>
      </c>
      <c r="G840" t="s">
        <v>74</v>
      </c>
      <c r="H840" t="s">
        <v>74</v>
      </c>
      <c r="I840" t="s">
        <v>16273</v>
      </c>
      <c r="J840" t="s">
        <v>16274</v>
      </c>
      <c r="K840" t="s">
        <v>74</v>
      </c>
      <c r="L840" t="s">
        <v>74</v>
      </c>
      <c r="M840" t="s">
        <v>78</v>
      </c>
      <c r="N840" t="s">
        <v>108</v>
      </c>
      <c r="O840" t="s">
        <v>74</v>
      </c>
      <c r="P840" t="s">
        <v>74</v>
      </c>
      <c r="Q840" t="s">
        <v>74</v>
      </c>
      <c r="R840" t="s">
        <v>74</v>
      </c>
      <c r="S840" t="s">
        <v>74</v>
      </c>
      <c r="T840" t="s">
        <v>74</v>
      </c>
      <c r="U840" t="s">
        <v>16275</v>
      </c>
      <c r="V840" t="s">
        <v>16276</v>
      </c>
      <c r="W840" t="s">
        <v>16277</v>
      </c>
      <c r="X840" t="s">
        <v>16278</v>
      </c>
      <c r="Y840" t="s">
        <v>16279</v>
      </c>
      <c r="Z840" t="s">
        <v>16280</v>
      </c>
      <c r="AA840" t="s">
        <v>16281</v>
      </c>
      <c r="AB840" t="s">
        <v>16282</v>
      </c>
      <c r="AC840" t="s">
        <v>16283</v>
      </c>
      <c r="AD840" t="s">
        <v>16284</v>
      </c>
      <c r="AE840" t="s">
        <v>16285</v>
      </c>
      <c r="AF840" t="s">
        <v>74</v>
      </c>
      <c r="AG840">
        <v>61</v>
      </c>
      <c r="AH840">
        <v>18</v>
      </c>
      <c r="AI840">
        <v>18</v>
      </c>
      <c r="AJ840">
        <v>0</v>
      </c>
      <c r="AK840">
        <v>2</v>
      </c>
      <c r="AL840" t="s">
        <v>1407</v>
      </c>
      <c r="AM840" t="s">
        <v>1408</v>
      </c>
      <c r="AN840" t="s">
        <v>1409</v>
      </c>
      <c r="AO840" t="s">
        <v>16286</v>
      </c>
      <c r="AP840" t="s">
        <v>16287</v>
      </c>
      <c r="AQ840" t="s">
        <v>74</v>
      </c>
      <c r="AR840" t="s">
        <v>16288</v>
      </c>
      <c r="AS840" t="s">
        <v>16289</v>
      </c>
      <c r="AT840" t="s">
        <v>1281</v>
      </c>
      <c r="AU840">
        <v>2019</v>
      </c>
      <c r="AV840">
        <v>39</v>
      </c>
      <c r="AW840">
        <v>1</v>
      </c>
      <c r="AX840" t="s">
        <v>74</v>
      </c>
      <c r="AY840" t="s">
        <v>74</v>
      </c>
      <c r="AZ840" t="s">
        <v>74</v>
      </c>
      <c r="BA840" t="s">
        <v>74</v>
      </c>
      <c r="BB840" t="s">
        <v>74</v>
      </c>
      <c r="BC840" t="s">
        <v>74</v>
      </c>
      <c r="BD840" t="s">
        <v>16290</v>
      </c>
      <c r="BE840" t="s">
        <v>16291</v>
      </c>
      <c r="BF840" t="str">
        <f>HYPERLINK("http://dx.doi.org/10.1080/02724634.2019.1564757","http://dx.doi.org/10.1080/02724634.2019.1564757")</f>
        <v>http://dx.doi.org/10.1080/02724634.2019.1564757</v>
      </c>
      <c r="BG840" t="s">
        <v>74</v>
      </c>
      <c r="BH840" t="s">
        <v>16292</v>
      </c>
      <c r="BI840">
        <v>18</v>
      </c>
      <c r="BJ840" t="s">
        <v>9964</v>
      </c>
      <c r="BK840" t="s">
        <v>101</v>
      </c>
      <c r="BL840" t="s">
        <v>9964</v>
      </c>
      <c r="BM840" t="s">
        <v>16293</v>
      </c>
      <c r="BN840" t="s">
        <v>74</v>
      </c>
      <c r="BO840" t="s">
        <v>74</v>
      </c>
      <c r="BP840" t="s">
        <v>74</v>
      </c>
      <c r="BQ840" t="s">
        <v>74</v>
      </c>
      <c r="BR840" t="s">
        <v>103</v>
      </c>
      <c r="BS840" t="s">
        <v>16294</v>
      </c>
      <c r="BT840" t="str">
        <f>HYPERLINK("https%3A%2F%2Fwww.webofscience.com%2Fwos%2Fwoscc%2Ffull-record%2FWOS:000471530900001","View Full Record in Web of Science")</f>
        <v>View Full Record in Web of Science</v>
      </c>
    </row>
    <row r="841" spans="1:72" x14ac:dyDescent="0.15">
      <c r="A841" t="s">
        <v>72</v>
      </c>
      <c r="B841" t="s">
        <v>16295</v>
      </c>
      <c r="C841" t="s">
        <v>74</v>
      </c>
      <c r="D841" t="s">
        <v>74</v>
      </c>
      <c r="E841" t="s">
        <v>74</v>
      </c>
      <c r="F841" t="s">
        <v>16296</v>
      </c>
      <c r="G841" t="s">
        <v>74</v>
      </c>
      <c r="H841" t="s">
        <v>74</v>
      </c>
      <c r="I841" t="s">
        <v>16297</v>
      </c>
      <c r="J841" t="s">
        <v>2024</v>
      </c>
      <c r="K841" t="s">
        <v>74</v>
      </c>
      <c r="L841" t="s">
        <v>74</v>
      </c>
      <c r="M841" t="s">
        <v>78</v>
      </c>
      <c r="N841" t="s">
        <v>108</v>
      </c>
      <c r="O841" t="s">
        <v>74</v>
      </c>
      <c r="P841" t="s">
        <v>74</v>
      </c>
      <c r="Q841" t="s">
        <v>74</v>
      </c>
      <c r="R841" t="s">
        <v>74</v>
      </c>
      <c r="S841" t="s">
        <v>74</v>
      </c>
      <c r="T841" t="s">
        <v>74</v>
      </c>
      <c r="U841" t="s">
        <v>16298</v>
      </c>
      <c r="V841" t="s">
        <v>16299</v>
      </c>
      <c r="W841" t="s">
        <v>16300</v>
      </c>
      <c r="X841" t="s">
        <v>16301</v>
      </c>
      <c r="Y841" t="s">
        <v>16302</v>
      </c>
      <c r="Z841" t="s">
        <v>16303</v>
      </c>
      <c r="AA841" t="s">
        <v>16304</v>
      </c>
      <c r="AB841" t="s">
        <v>16305</v>
      </c>
      <c r="AC841" t="s">
        <v>16306</v>
      </c>
      <c r="AD841" t="s">
        <v>16307</v>
      </c>
      <c r="AE841" t="s">
        <v>16308</v>
      </c>
      <c r="AF841" t="s">
        <v>74</v>
      </c>
      <c r="AG841">
        <v>84</v>
      </c>
      <c r="AH841">
        <v>34</v>
      </c>
      <c r="AI841">
        <v>36</v>
      </c>
      <c r="AJ841">
        <v>12</v>
      </c>
      <c r="AK841">
        <v>48</v>
      </c>
      <c r="AL841" t="s">
        <v>2032</v>
      </c>
      <c r="AM841" t="s">
        <v>2033</v>
      </c>
      <c r="AN841" t="s">
        <v>2034</v>
      </c>
      <c r="AO841" t="s">
        <v>2035</v>
      </c>
      <c r="AP841" t="s">
        <v>74</v>
      </c>
      <c r="AQ841" t="s">
        <v>74</v>
      </c>
      <c r="AR841" t="s">
        <v>2024</v>
      </c>
      <c r="AS841" t="s">
        <v>2036</v>
      </c>
      <c r="AT841" t="s">
        <v>16309</v>
      </c>
      <c r="AU841">
        <v>2019</v>
      </c>
      <c r="AV841">
        <v>14</v>
      </c>
      <c r="AW841">
        <v>5</v>
      </c>
      <c r="AX841" t="s">
        <v>74</v>
      </c>
      <c r="AY841" t="s">
        <v>74</v>
      </c>
      <c r="AZ841" t="s">
        <v>74</v>
      </c>
      <c r="BA841" t="s">
        <v>74</v>
      </c>
      <c r="BB841" t="s">
        <v>74</v>
      </c>
      <c r="BC841" t="s">
        <v>74</v>
      </c>
      <c r="BD841" t="s">
        <v>16310</v>
      </c>
      <c r="BE841" t="s">
        <v>16311</v>
      </c>
      <c r="BF841" t="str">
        <f>HYPERLINK("http://dx.doi.org/10.1371/journal.pone.0217133","http://dx.doi.org/10.1371/journal.pone.0217133")</f>
        <v>http://dx.doi.org/10.1371/journal.pone.0217133</v>
      </c>
      <c r="BG841" t="s">
        <v>74</v>
      </c>
      <c r="BH841" t="s">
        <v>74</v>
      </c>
      <c r="BI841">
        <v>23</v>
      </c>
      <c r="BJ841" t="s">
        <v>1004</v>
      </c>
      <c r="BK841" t="s">
        <v>101</v>
      </c>
      <c r="BL841" t="s">
        <v>1005</v>
      </c>
      <c r="BM841" t="s">
        <v>16312</v>
      </c>
      <c r="BN841">
        <v>31125355</v>
      </c>
      <c r="BO841" t="s">
        <v>1197</v>
      </c>
      <c r="BP841" t="s">
        <v>74</v>
      </c>
      <c r="BQ841" t="s">
        <v>74</v>
      </c>
      <c r="BR841" t="s">
        <v>103</v>
      </c>
      <c r="BS841" t="s">
        <v>16313</v>
      </c>
      <c r="BT841" t="str">
        <f>HYPERLINK("https%3A%2F%2Fwww.webofscience.com%2Fwos%2Fwoscc%2Ffull-record%2FWOS:000468865700021","View Full Record in Web of Science")</f>
        <v>View Full Record in Web of Science</v>
      </c>
    </row>
    <row r="842" spans="1:72" x14ac:dyDescent="0.15">
      <c r="A842" t="s">
        <v>72</v>
      </c>
      <c r="B842" t="s">
        <v>16314</v>
      </c>
      <c r="C842" t="s">
        <v>74</v>
      </c>
      <c r="D842" t="s">
        <v>74</v>
      </c>
      <c r="E842" t="s">
        <v>74</v>
      </c>
      <c r="F842" t="s">
        <v>16315</v>
      </c>
      <c r="G842" t="s">
        <v>74</v>
      </c>
      <c r="H842" t="s">
        <v>74</v>
      </c>
      <c r="I842" t="s">
        <v>16316</v>
      </c>
      <c r="J842" t="s">
        <v>2249</v>
      </c>
      <c r="K842" t="s">
        <v>74</v>
      </c>
      <c r="L842" t="s">
        <v>74</v>
      </c>
      <c r="M842" t="s">
        <v>78</v>
      </c>
      <c r="N842" t="s">
        <v>108</v>
      </c>
      <c r="O842" t="s">
        <v>74</v>
      </c>
      <c r="P842" t="s">
        <v>74</v>
      </c>
      <c r="Q842" t="s">
        <v>74</v>
      </c>
      <c r="R842" t="s">
        <v>74</v>
      </c>
      <c r="S842" t="s">
        <v>74</v>
      </c>
      <c r="T842" t="s">
        <v>74</v>
      </c>
      <c r="U842" t="s">
        <v>16317</v>
      </c>
      <c r="V842" t="s">
        <v>16318</v>
      </c>
      <c r="W842" t="s">
        <v>16319</v>
      </c>
      <c r="X842" t="s">
        <v>16320</v>
      </c>
      <c r="Y842" t="s">
        <v>16321</v>
      </c>
      <c r="Z842" t="s">
        <v>16322</v>
      </c>
      <c r="AA842" t="s">
        <v>16323</v>
      </c>
      <c r="AB842" t="s">
        <v>16324</v>
      </c>
      <c r="AC842" t="s">
        <v>16325</v>
      </c>
      <c r="AD842" t="s">
        <v>16326</v>
      </c>
      <c r="AE842" t="s">
        <v>16327</v>
      </c>
      <c r="AF842" t="s">
        <v>74</v>
      </c>
      <c r="AG842">
        <v>42</v>
      </c>
      <c r="AH842">
        <v>10</v>
      </c>
      <c r="AI842">
        <v>11</v>
      </c>
      <c r="AJ842">
        <v>0</v>
      </c>
      <c r="AK842">
        <v>3</v>
      </c>
      <c r="AL842" t="s">
        <v>839</v>
      </c>
      <c r="AM842" t="s">
        <v>840</v>
      </c>
      <c r="AN842" t="s">
        <v>841</v>
      </c>
      <c r="AO842" t="s">
        <v>2261</v>
      </c>
      <c r="AP842" t="s">
        <v>2262</v>
      </c>
      <c r="AQ842" t="s">
        <v>74</v>
      </c>
      <c r="AR842" t="s">
        <v>2263</v>
      </c>
      <c r="AS842" t="s">
        <v>2264</v>
      </c>
      <c r="AT842" t="s">
        <v>16309</v>
      </c>
      <c r="AU842">
        <v>2019</v>
      </c>
      <c r="AV842">
        <v>19</v>
      </c>
      <c r="AW842">
        <v>10</v>
      </c>
      <c r="AX842" t="s">
        <v>74</v>
      </c>
      <c r="AY842" t="s">
        <v>74</v>
      </c>
      <c r="AZ842" t="s">
        <v>74</v>
      </c>
      <c r="BA842" t="s">
        <v>74</v>
      </c>
      <c r="BB842">
        <v>6969</v>
      </c>
      <c r="BC842">
        <v>6984</v>
      </c>
      <c r="BD842" t="s">
        <v>74</v>
      </c>
      <c r="BE842" t="s">
        <v>16328</v>
      </c>
      <c r="BF842" t="str">
        <f>HYPERLINK("http://dx.doi.org/10.5194/acp-19-6969-2019","http://dx.doi.org/10.5194/acp-19-6969-2019")</f>
        <v>http://dx.doi.org/10.5194/acp-19-6969-2019</v>
      </c>
      <c r="BG842" t="s">
        <v>74</v>
      </c>
      <c r="BH842" t="s">
        <v>74</v>
      </c>
      <c r="BI842">
        <v>16</v>
      </c>
      <c r="BJ842" t="s">
        <v>2267</v>
      </c>
      <c r="BK842" t="s">
        <v>101</v>
      </c>
      <c r="BL842" t="s">
        <v>2268</v>
      </c>
      <c r="BM842" t="s">
        <v>16329</v>
      </c>
      <c r="BN842" t="s">
        <v>74</v>
      </c>
      <c r="BO842" t="s">
        <v>850</v>
      </c>
      <c r="BP842" t="s">
        <v>74</v>
      </c>
      <c r="BQ842" t="s">
        <v>74</v>
      </c>
      <c r="BR842" t="s">
        <v>103</v>
      </c>
      <c r="BS842" t="s">
        <v>16330</v>
      </c>
      <c r="BT842" t="str">
        <f>HYPERLINK("https%3A%2F%2Fwww.webofscience.com%2Fwos%2Fwoscc%2Ffull-record%2FWOS:000468917200001","View Full Record in Web of Science")</f>
        <v>View Full Record in Web of Science</v>
      </c>
    </row>
    <row r="843" spans="1:72" x14ac:dyDescent="0.15">
      <c r="A843" t="s">
        <v>72</v>
      </c>
      <c r="B843" t="s">
        <v>16331</v>
      </c>
      <c r="C843" t="s">
        <v>74</v>
      </c>
      <c r="D843" t="s">
        <v>74</v>
      </c>
      <c r="E843" t="s">
        <v>74</v>
      </c>
      <c r="F843" t="s">
        <v>16332</v>
      </c>
      <c r="G843" t="s">
        <v>74</v>
      </c>
      <c r="H843" t="s">
        <v>74</v>
      </c>
      <c r="I843" t="s">
        <v>16333</v>
      </c>
      <c r="J843" t="s">
        <v>1496</v>
      </c>
      <c r="K843" t="s">
        <v>74</v>
      </c>
      <c r="L843" t="s">
        <v>74</v>
      </c>
      <c r="M843" t="s">
        <v>78</v>
      </c>
      <c r="N843" t="s">
        <v>108</v>
      </c>
      <c r="O843" t="s">
        <v>74</v>
      </c>
      <c r="P843" t="s">
        <v>74</v>
      </c>
      <c r="Q843" t="s">
        <v>74</v>
      </c>
      <c r="R843" t="s">
        <v>74</v>
      </c>
      <c r="S843" t="s">
        <v>74</v>
      </c>
      <c r="T843" t="s">
        <v>16334</v>
      </c>
      <c r="U843" t="s">
        <v>16335</v>
      </c>
      <c r="V843" t="s">
        <v>16336</v>
      </c>
      <c r="W843" t="s">
        <v>16337</v>
      </c>
      <c r="X843" t="s">
        <v>16338</v>
      </c>
      <c r="Y843" t="s">
        <v>16339</v>
      </c>
      <c r="Z843" t="s">
        <v>16340</v>
      </c>
      <c r="AA843" t="s">
        <v>16341</v>
      </c>
      <c r="AB843" t="s">
        <v>16342</v>
      </c>
      <c r="AC843" t="s">
        <v>16343</v>
      </c>
      <c r="AD843" t="s">
        <v>16344</v>
      </c>
      <c r="AE843" t="s">
        <v>16345</v>
      </c>
      <c r="AF843" t="s">
        <v>74</v>
      </c>
      <c r="AG843">
        <v>116</v>
      </c>
      <c r="AH843">
        <v>35</v>
      </c>
      <c r="AI843">
        <v>35</v>
      </c>
      <c r="AJ843">
        <v>1</v>
      </c>
      <c r="AK843">
        <v>23</v>
      </c>
      <c r="AL843" t="s">
        <v>868</v>
      </c>
      <c r="AM843" t="s">
        <v>869</v>
      </c>
      <c r="AN843" t="s">
        <v>870</v>
      </c>
      <c r="AO843" t="s">
        <v>1509</v>
      </c>
      <c r="AP843" t="s">
        <v>74</v>
      </c>
      <c r="AQ843" t="s">
        <v>74</v>
      </c>
      <c r="AR843" t="s">
        <v>1510</v>
      </c>
      <c r="AS843" t="s">
        <v>1511</v>
      </c>
      <c r="AT843" t="s">
        <v>16309</v>
      </c>
      <c r="AU843">
        <v>2019</v>
      </c>
      <c r="AV843">
        <v>10</v>
      </c>
      <c r="AW843" t="s">
        <v>74</v>
      </c>
      <c r="AX843" t="s">
        <v>74</v>
      </c>
      <c r="AY843" t="s">
        <v>74</v>
      </c>
      <c r="AZ843" t="s">
        <v>74</v>
      </c>
      <c r="BA843" t="s">
        <v>74</v>
      </c>
      <c r="BB843" t="s">
        <v>74</v>
      </c>
      <c r="BC843" t="s">
        <v>74</v>
      </c>
      <c r="BD843">
        <v>1154</v>
      </c>
      <c r="BE843" t="s">
        <v>16346</v>
      </c>
      <c r="BF843" t="str">
        <f>HYPERLINK("http://dx.doi.org/10.3389/fmicb.2019.01154","http://dx.doi.org/10.3389/fmicb.2019.01154")</f>
        <v>http://dx.doi.org/10.3389/fmicb.2019.01154</v>
      </c>
      <c r="BG843" t="s">
        <v>74</v>
      </c>
      <c r="BH843" t="s">
        <v>74</v>
      </c>
      <c r="BI843">
        <v>20</v>
      </c>
      <c r="BJ843" t="s">
        <v>1514</v>
      </c>
      <c r="BK843" t="s">
        <v>101</v>
      </c>
      <c r="BL843" t="s">
        <v>1514</v>
      </c>
      <c r="BM843" t="s">
        <v>16347</v>
      </c>
      <c r="BN843">
        <v>31178851</v>
      </c>
      <c r="BO843" t="s">
        <v>313</v>
      </c>
      <c r="BP843" t="s">
        <v>74</v>
      </c>
      <c r="BQ843" t="s">
        <v>74</v>
      </c>
      <c r="BR843" t="s">
        <v>103</v>
      </c>
      <c r="BS843" t="s">
        <v>16348</v>
      </c>
      <c r="BT843" t="str">
        <f>HYPERLINK("https%3A%2F%2Fwww.webofscience.com%2Fwos%2Fwoscc%2Ffull-record%2FWOS:000468914900001","View Full Record in Web of Science")</f>
        <v>View Full Record in Web of Science</v>
      </c>
    </row>
    <row r="844" spans="1:72" x14ac:dyDescent="0.15">
      <c r="A844" t="s">
        <v>72</v>
      </c>
      <c r="B844" t="s">
        <v>16349</v>
      </c>
      <c r="C844" t="s">
        <v>74</v>
      </c>
      <c r="D844" t="s">
        <v>74</v>
      </c>
      <c r="E844" t="s">
        <v>74</v>
      </c>
      <c r="F844" t="s">
        <v>16350</v>
      </c>
      <c r="G844" t="s">
        <v>74</v>
      </c>
      <c r="H844" t="s">
        <v>74</v>
      </c>
      <c r="I844" t="s">
        <v>16351</v>
      </c>
      <c r="J844" t="s">
        <v>1179</v>
      </c>
      <c r="K844" t="s">
        <v>74</v>
      </c>
      <c r="L844" t="s">
        <v>74</v>
      </c>
      <c r="M844" t="s">
        <v>78</v>
      </c>
      <c r="N844" t="s">
        <v>108</v>
      </c>
      <c r="O844" t="s">
        <v>74</v>
      </c>
      <c r="P844" t="s">
        <v>74</v>
      </c>
      <c r="Q844" t="s">
        <v>74</v>
      </c>
      <c r="R844" t="s">
        <v>74</v>
      </c>
      <c r="S844" t="s">
        <v>74</v>
      </c>
      <c r="T844" t="s">
        <v>74</v>
      </c>
      <c r="U844" t="s">
        <v>16352</v>
      </c>
      <c r="V844" t="s">
        <v>16353</v>
      </c>
      <c r="W844" t="s">
        <v>16354</v>
      </c>
      <c r="X844" t="s">
        <v>16355</v>
      </c>
      <c r="Y844" t="s">
        <v>16356</v>
      </c>
      <c r="Z844" t="s">
        <v>16357</v>
      </c>
      <c r="AA844" t="s">
        <v>16358</v>
      </c>
      <c r="AB844" t="s">
        <v>16359</v>
      </c>
      <c r="AC844" t="s">
        <v>16360</v>
      </c>
      <c r="AD844" t="s">
        <v>16361</v>
      </c>
      <c r="AE844" t="s">
        <v>16362</v>
      </c>
      <c r="AF844" t="s">
        <v>74</v>
      </c>
      <c r="AG844">
        <v>99</v>
      </c>
      <c r="AH844">
        <v>78</v>
      </c>
      <c r="AI844">
        <v>80</v>
      </c>
      <c r="AJ844">
        <v>1</v>
      </c>
      <c r="AK844">
        <v>9</v>
      </c>
      <c r="AL844" t="s">
        <v>839</v>
      </c>
      <c r="AM844" t="s">
        <v>840</v>
      </c>
      <c r="AN844" t="s">
        <v>841</v>
      </c>
      <c r="AO844" t="s">
        <v>1191</v>
      </c>
      <c r="AP844" t="s">
        <v>1192</v>
      </c>
      <c r="AQ844" t="s">
        <v>74</v>
      </c>
      <c r="AR844" t="s">
        <v>1193</v>
      </c>
      <c r="AS844" t="s">
        <v>1194</v>
      </c>
      <c r="AT844" t="s">
        <v>16309</v>
      </c>
      <c r="AU844">
        <v>2019</v>
      </c>
      <c r="AV844">
        <v>12</v>
      </c>
      <c r="AW844">
        <v>5</v>
      </c>
      <c r="AX844" t="s">
        <v>74</v>
      </c>
      <c r="AY844" t="s">
        <v>74</v>
      </c>
      <c r="AZ844" t="s">
        <v>74</v>
      </c>
      <c r="BA844" t="s">
        <v>74</v>
      </c>
      <c r="BB844">
        <v>2049</v>
      </c>
      <c r="BC844">
        <v>2068</v>
      </c>
      <c r="BD844" t="s">
        <v>74</v>
      </c>
      <c r="BE844" t="s">
        <v>16363</v>
      </c>
      <c r="BF844" t="str">
        <f>HYPERLINK("http://dx.doi.org/10.5194/gmd-12-2049-2019","http://dx.doi.org/10.5194/gmd-12-2049-2019")</f>
        <v>http://dx.doi.org/10.5194/gmd-12-2049-2019</v>
      </c>
      <c r="BG844" t="s">
        <v>74</v>
      </c>
      <c r="BH844" t="s">
        <v>74</v>
      </c>
      <c r="BI844">
        <v>20</v>
      </c>
      <c r="BJ844" t="s">
        <v>471</v>
      </c>
      <c r="BK844" t="s">
        <v>101</v>
      </c>
      <c r="BL844" t="s">
        <v>472</v>
      </c>
      <c r="BM844" t="s">
        <v>16364</v>
      </c>
      <c r="BN844" t="s">
        <v>74</v>
      </c>
      <c r="BO844" t="s">
        <v>11975</v>
      </c>
      <c r="BP844" t="s">
        <v>74</v>
      </c>
      <c r="BQ844" t="s">
        <v>74</v>
      </c>
      <c r="BR844" t="s">
        <v>103</v>
      </c>
      <c r="BS844" t="s">
        <v>16365</v>
      </c>
      <c r="BT844" t="str">
        <f>HYPERLINK("https%3A%2F%2Fwww.webofscience.com%2Fwos%2Fwoscc%2Ffull-record%2FWOS:000468919400002","View Full Record in Web of Science")</f>
        <v>View Full Record in Web of Science</v>
      </c>
    </row>
    <row r="845" spans="1:72" x14ac:dyDescent="0.15">
      <c r="A845" t="s">
        <v>72</v>
      </c>
      <c r="B845" t="s">
        <v>16366</v>
      </c>
      <c r="C845" t="s">
        <v>74</v>
      </c>
      <c r="D845" t="s">
        <v>74</v>
      </c>
      <c r="E845" t="s">
        <v>74</v>
      </c>
      <c r="F845" t="s">
        <v>16367</v>
      </c>
      <c r="G845" t="s">
        <v>74</v>
      </c>
      <c r="H845" t="s">
        <v>74</v>
      </c>
      <c r="I845" t="s">
        <v>16368</v>
      </c>
      <c r="J845" t="s">
        <v>989</v>
      </c>
      <c r="K845" t="s">
        <v>74</v>
      </c>
      <c r="L845" t="s">
        <v>74</v>
      </c>
      <c r="M845" t="s">
        <v>78</v>
      </c>
      <c r="N845" t="s">
        <v>108</v>
      </c>
      <c r="O845" t="s">
        <v>74</v>
      </c>
      <c r="P845" t="s">
        <v>74</v>
      </c>
      <c r="Q845" t="s">
        <v>74</v>
      </c>
      <c r="R845" t="s">
        <v>74</v>
      </c>
      <c r="S845" t="s">
        <v>74</v>
      </c>
      <c r="T845" t="s">
        <v>74</v>
      </c>
      <c r="U845" t="s">
        <v>16369</v>
      </c>
      <c r="V845" t="s">
        <v>16370</v>
      </c>
      <c r="W845" t="s">
        <v>16371</v>
      </c>
      <c r="X845" t="s">
        <v>5506</v>
      </c>
      <c r="Y845" t="s">
        <v>16372</v>
      </c>
      <c r="Z845" t="s">
        <v>16373</v>
      </c>
      <c r="AA845" t="s">
        <v>16374</v>
      </c>
      <c r="AB845" t="s">
        <v>16375</v>
      </c>
      <c r="AC845" t="s">
        <v>16376</v>
      </c>
      <c r="AD845" t="s">
        <v>16377</v>
      </c>
      <c r="AE845" t="s">
        <v>16378</v>
      </c>
      <c r="AF845" t="s">
        <v>74</v>
      </c>
      <c r="AG845">
        <v>54</v>
      </c>
      <c r="AH845">
        <v>22</v>
      </c>
      <c r="AI845">
        <v>23</v>
      </c>
      <c r="AJ845">
        <v>4</v>
      </c>
      <c r="AK845">
        <v>21</v>
      </c>
      <c r="AL845" t="s">
        <v>7841</v>
      </c>
      <c r="AM845" t="s">
        <v>1020</v>
      </c>
      <c r="AN845" t="s">
        <v>1021</v>
      </c>
      <c r="AO845" t="s">
        <v>1000</v>
      </c>
      <c r="AP845" t="s">
        <v>74</v>
      </c>
      <c r="AQ845" t="s">
        <v>74</v>
      </c>
      <c r="AR845" t="s">
        <v>1001</v>
      </c>
      <c r="AS845" t="s">
        <v>1002</v>
      </c>
      <c r="AT845" t="s">
        <v>16379</v>
      </c>
      <c r="AU845">
        <v>2019</v>
      </c>
      <c r="AV845">
        <v>9</v>
      </c>
      <c r="AW845" t="s">
        <v>74</v>
      </c>
      <c r="AX845" t="s">
        <v>74</v>
      </c>
      <c r="AY845" t="s">
        <v>74</v>
      </c>
      <c r="AZ845" t="s">
        <v>74</v>
      </c>
      <c r="BA845" t="s">
        <v>74</v>
      </c>
      <c r="BB845" t="s">
        <v>74</v>
      </c>
      <c r="BC845" t="s">
        <v>74</v>
      </c>
      <c r="BD845">
        <v>7768</v>
      </c>
      <c r="BE845" t="s">
        <v>16380</v>
      </c>
      <c r="BF845" t="str">
        <f>HYPERLINK("http://dx.doi.org/10.1038/s41598-019-44283-3","http://dx.doi.org/10.1038/s41598-019-44283-3")</f>
        <v>http://dx.doi.org/10.1038/s41598-019-44283-3</v>
      </c>
      <c r="BG845" t="s">
        <v>74</v>
      </c>
      <c r="BH845" t="s">
        <v>74</v>
      </c>
      <c r="BI845">
        <v>11</v>
      </c>
      <c r="BJ845" t="s">
        <v>1004</v>
      </c>
      <c r="BK845" t="s">
        <v>101</v>
      </c>
      <c r="BL845" t="s">
        <v>1005</v>
      </c>
      <c r="BM845" t="s">
        <v>16381</v>
      </c>
      <c r="BN845">
        <v>31123327</v>
      </c>
      <c r="BO845" t="s">
        <v>384</v>
      </c>
      <c r="BP845" t="s">
        <v>74</v>
      </c>
      <c r="BQ845" t="s">
        <v>74</v>
      </c>
      <c r="BR845" t="s">
        <v>103</v>
      </c>
      <c r="BS845" t="s">
        <v>16382</v>
      </c>
      <c r="BT845" t="str">
        <f>HYPERLINK("https%3A%2F%2Fwww.webofscience.com%2Fwos%2Fwoscc%2Ffull-record%2FWOS:000468770600033","View Full Record in Web of Science")</f>
        <v>View Full Record in Web of Science</v>
      </c>
    </row>
    <row r="846" spans="1:72" x14ac:dyDescent="0.15">
      <c r="A846" t="s">
        <v>72</v>
      </c>
      <c r="B846" t="s">
        <v>16383</v>
      </c>
      <c r="C846" t="s">
        <v>74</v>
      </c>
      <c r="D846" t="s">
        <v>74</v>
      </c>
      <c r="E846" t="s">
        <v>74</v>
      </c>
      <c r="F846" t="s">
        <v>16384</v>
      </c>
      <c r="G846" t="s">
        <v>74</v>
      </c>
      <c r="H846" t="s">
        <v>74</v>
      </c>
      <c r="I846" t="s">
        <v>16385</v>
      </c>
      <c r="J846" t="s">
        <v>6506</v>
      </c>
      <c r="K846" t="s">
        <v>74</v>
      </c>
      <c r="L846" t="s">
        <v>74</v>
      </c>
      <c r="M846" t="s">
        <v>78</v>
      </c>
      <c r="N846" t="s">
        <v>108</v>
      </c>
      <c r="O846" t="s">
        <v>74</v>
      </c>
      <c r="P846" t="s">
        <v>74</v>
      </c>
      <c r="Q846" t="s">
        <v>74</v>
      </c>
      <c r="R846" t="s">
        <v>74</v>
      </c>
      <c r="S846" t="s">
        <v>74</v>
      </c>
      <c r="T846" t="s">
        <v>16386</v>
      </c>
      <c r="U846" t="s">
        <v>16387</v>
      </c>
      <c r="V846" t="s">
        <v>16388</v>
      </c>
      <c r="W846" t="s">
        <v>16389</v>
      </c>
      <c r="X846" t="s">
        <v>16390</v>
      </c>
      <c r="Y846" t="s">
        <v>16391</v>
      </c>
      <c r="Z846" t="s">
        <v>16392</v>
      </c>
      <c r="AA846" t="s">
        <v>16393</v>
      </c>
      <c r="AB846" t="s">
        <v>16394</v>
      </c>
      <c r="AC846" t="s">
        <v>16395</v>
      </c>
      <c r="AD846" t="s">
        <v>16396</v>
      </c>
      <c r="AE846" t="s">
        <v>16397</v>
      </c>
      <c r="AF846" t="s">
        <v>74</v>
      </c>
      <c r="AG846">
        <v>52</v>
      </c>
      <c r="AH846">
        <v>39</v>
      </c>
      <c r="AI846">
        <v>40</v>
      </c>
      <c r="AJ846">
        <v>1</v>
      </c>
      <c r="AK846">
        <v>29</v>
      </c>
      <c r="AL846" t="s">
        <v>2723</v>
      </c>
      <c r="AM846" t="s">
        <v>657</v>
      </c>
      <c r="AN846" t="s">
        <v>2724</v>
      </c>
      <c r="AO846" t="s">
        <v>6519</v>
      </c>
      <c r="AP846" t="s">
        <v>6520</v>
      </c>
      <c r="AQ846" t="s">
        <v>74</v>
      </c>
      <c r="AR846" t="s">
        <v>6521</v>
      </c>
      <c r="AS846" t="s">
        <v>6522</v>
      </c>
      <c r="AT846" t="s">
        <v>16398</v>
      </c>
      <c r="AU846">
        <v>2019</v>
      </c>
      <c r="AV846">
        <v>286</v>
      </c>
      <c r="AW846">
        <v>1903</v>
      </c>
      <c r="AX846" t="s">
        <v>74</v>
      </c>
      <c r="AY846" t="s">
        <v>74</v>
      </c>
      <c r="AZ846" t="s">
        <v>74</v>
      </c>
      <c r="BA846" t="s">
        <v>74</v>
      </c>
      <c r="BB846" t="s">
        <v>74</v>
      </c>
      <c r="BC846" t="s">
        <v>74</v>
      </c>
      <c r="BD846">
        <v>20190353</v>
      </c>
      <c r="BE846" t="s">
        <v>16399</v>
      </c>
      <c r="BF846" t="str">
        <f>HYPERLINK("http://dx.doi.org/10.1098/rspb.2019.0353","http://dx.doi.org/10.1098/rspb.2019.0353")</f>
        <v>http://dx.doi.org/10.1098/rspb.2019.0353</v>
      </c>
      <c r="BG846" t="s">
        <v>74</v>
      </c>
      <c r="BH846" t="s">
        <v>74</v>
      </c>
      <c r="BI846">
        <v>8</v>
      </c>
      <c r="BJ846" t="s">
        <v>6524</v>
      </c>
      <c r="BK846" t="s">
        <v>101</v>
      </c>
      <c r="BL846" t="s">
        <v>6525</v>
      </c>
      <c r="BM846" t="s">
        <v>16400</v>
      </c>
      <c r="BN846">
        <v>31138069</v>
      </c>
      <c r="BO846" t="s">
        <v>6648</v>
      </c>
      <c r="BP846" t="s">
        <v>74</v>
      </c>
      <c r="BQ846" t="s">
        <v>74</v>
      </c>
      <c r="BR846" t="s">
        <v>103</v>
      </c>
      <c r="BS846" t="s">
        <v>16401</v>
      </c>
      <c r="BT846" t="str">
        <f>HYPERLINK("https%3A%2F%2Fwww.webofscience.com%2Fwos%2Fwoscc%2Ffull-record%2FWOS:000470114900006","View Full Record in Web of Science")</f>
        <v>View Full Record in Web of Science</v>
      </c>
    </row>
    <row r="847" spans="1:72" x14ac:dyDescent="0.15">
      <c r="A847" t="s">
        <v>72</v>
      </c>
      <c r="B847" t="s">
        <v>16402</v>
      </c>
      <c r="C847" t="s">
        <v>74</v>
      </c>
      <c r="D847" t="s">
        <v>74</v>
      </c>
      <c r="E847" t="s">
        <v>74</v>
      </c>
      <c r="F847" t="s">
        <v>16403</v>
      </c>
      <c r="G847" t="s">
        <v>74</v>
      </c>
      <c r="H847" t="s">
        <v>74</v>
      </c>
      <c r="I847" t="s">
        <v>16404</v>
      </c>
      <c r="J847" t="s">
        <v>2455</v>
      </c>
      <c r="K847" t="s">
        <v>74</v>
      </c>
      <c r="L847" t="s">
        <v>74</v>
      </c>
      <c r="M847" t="s">
        <v>78</v>
      </c>
      <c r="N847" t="s">
        <v>108</v>
      </c>
      <c r="O847" t="s">
        <v>74</v>
      </c>
      <c r="P847" t="s">
        <v>74</v>
      </c>
      <c r="Q847" t="s">
        <v>74</v>
      </c>
      <c r="R847" t="s">
        <v>74</v>
      </c>
      <c r="S847" t="s">
        <v>74</v>
      </c>
      <c r="T847" t="s">
        <v>74</v>
      </c>
      <c r="U847" t="s">
        <v>16405</v>
      </c>
      <c r="V847" t="s">
        <v>16406</v>
      </c>
      <c r="W847" t="s">
        <v>16407</v>
      </c>
      <c r="X847" t="s">
        <v>16408</v>
      </c>
      <c r="Y847" t="s">
        <v>16409</v>
      </c>
      <c r="Z847" t="s">
        <v>16410</v>
      </c>
      <c r="AA847" t="s">
        <v>16411</v>
      </c>
      <c r="AB847" t="s">
        <v>16412</v>
      </c>
      <c r="AC847" t="s">
        <v>16413</v>
      </c>
      <c r="AD847" t="s">
        <v>16413</v>
      </c>
      <c r="AE847" t="s">
        <v>16414</v>
      </c>
      <c r="AF847" t="s">
        <v>74</v>
      </c>
      <c r="AG847">
        <v>56</v>
      </c>
      <c r="AH847">
        <v>10</v>
      </c>
      <c r="AI847">
        <v>10</v>
      </c>
      <c r="AJ847">
        <v>1</v>
      </c>
      <c r="AK847">
        <v>26</v>
      </c>
      <c r="AL847" t="s">
        <v>839</v>
      </c>
      <c r="AM847" t="s">
        <v>840</v>
      </c>
      <c r="AN847" t="s">
        <v>841</v>
      </c>
      <c r="AO847" t="s">
        <v>2467</v>
      </c>
      <c r="AP847" t="s">
        <v>2468</v>
      </c>
      <c r="AQ847" t="s">
        <v>74</v>
      </c>
      <c r="AR847" t="s">
        <v>2469</v>
      </c>
      <c r="AS847" t="s">
        <v>2470</v>
      </c>
      <c r="AT847" t="s">
        <v>16398</v>
      </c>
      <c r="AU847">
        <v>2019</v>
      </c>
      <c r="AV847">
        <v>15</v>
      </c>
      <c r="AW847">
        <v>3</v>
      </c>
      <c r="AX847" t="s">
        <v>74</v>
      </c>
      <c r="AY847" t="s">
        <v>74</v>
      </c>
      <c r="AZ847" t="s">
        <v>74</v>
      </c>
      <c r="BA847" t="s">
        <v>74</v>
      </c>
      <c r="BB847">
        <v>913</v>
      </c>
      <c r="BC847">
        <v>926</v>
      </c>
      <c r="BD847" t="s">
        <v>74</v>
      </c>
      <c r="BE847" t="s">
        <v>16415</v>
      </c>
      <c r="BF847" t="str">
        <f>HYPERLINK("http://dx.doi.org/10.5194/cp-15-913-2019","http://dx.doi.org/10.5194/cp-15-913-2019")</f>
        <v>http://dx.doi.org/10.5194/cp-15-913-2019</v>
      </c>
      <c r="BG847" t="s">
        <v>74</v>
      </c>
      <c r="BH847" t="s">
        <v>74</v>
      </c>
      <c r="BI847">
        <v>14</v>
      </c>
      <c r="BJ847" t="s">
        <v>2473</v>
      </c>
      <c r="BK847" t="s">
        <v>101</v>
      </c>
      <c r="BL847" t="s">
        <v>2474</v>
      </c>
      <c r="BM847" t="s">
        <v>16416</v>
      </c>
      <c r="BN847" t="s">
        <v>74</v>
      </c>
      <c r="BO847" t="s">
        <v>2270</v>
      </c>
      <c r="BP847" t="s">
        <v>74</v>
      </c>
      <c r="BQ847" t="s">
        <v>74</v>
      </c>
      <c r="BR847" t="s">
        <v>103</v>
      </c>
      <c r="BS847" t="s">
        <v>16417</v>
      </c>
      <c r="BT847" t="str">
        <f>HYPERLINK("https%3A%2F%2Fwww.webofscience.com%2Fwos%2Fwoscc%2Ffull-record%2FWOS:000468762100001","View Full Record in Web of Science")</f>
        <v>View Full Record in Web of Science</v>
      </c>
    </row>
    <row r="848" spans="1:72" x14ac:dyDescent="0.15">
      <c r="A848" t="s">
        <v>72</v>
      </c>
      <c r="B848" t="s">
        <v>16418</v>
      </c>
      <c r="C848" t="s">
        <v>74</v>
      </c>
      <c r="D848" t="s">
        <v>74</v>
      </c>
      <c r="E848" t="s">
        <v>74</v>
      </c>
      <c r="F848" t="s">
        <v>16419</v>
      </c>
      <c r="G848" t="s">
        <v>74</v>
      </c>
      <c r="H848" t="s">
        <v>74</v>
      </c>
      <c r="I848" t="s">
        <v>16420</v>
      </c>
      <c r="J848" t="s">
        <v>16421</v>
      </c>
      <c r="K848" t="s">
        <v>74</v>
      </c>
      <c r="L848" t="s">
        <v>74</v>
      </c>
      <c r="M848" t="s">
        <v>78</v>
      </c>
      <c r="N848" t="s">
        <v>108</v>
      </c>
      <c r="O848" t="s">
        <v>74</v>
      </c>
      <c r="P848" t="s">
        <v>74</v>
      </c>
      <c r="Q848" t="s">
        <v>74</v>
      </c>
      <c r="R848" t="s">
        <v>74</v>
      </c>
      <c r="S848" t="s">
        <v>74</v>
      </c>
      <c r="T848" t="s">
        <v>16422</v>
      </c>
      <c r="U848" t="s">
        <v>16423</v>
      </c>
      <c r="V848" t="s">
        <v>16424</v>
      </c>
      <c r="W848" t="s">
        <v>16425</v>
      </c>
      <c r="X848" t="s">
        <v>16426</v>
      </c>
      <c r="Y848" t="s">
        <v>16427</v>
      </c>
      <c r="Z848" t="s">
        <v>16428</v>
      </c>
      <c r="AA848" t="s">
        <v>16429</v>
      </c>
      <c r="AB848" t="s">
        <v>16430</v>
      </c>
      <c r="AC848" t="s">
        <v>16431</v>
      </c>
      <c r="AD848" t="s">
        <v>16432</v>
      </c>
      <c r="AE848" t="s">
        <v>16433</v>
      </c>
      <c r="AF848" t="s">
        <v>74</v>
      </c>
      <c r="AG848">
        <v>61</v>
      </c>
      <c r="AH848">
        <v>25</v>
      </c>
      <c r="AI848">
        <v>26</v>
      </c>
      <c r="AJ848">
        <v>3</v>
      </c>
      <c r="AK848">
        <v>53</v>
      </c>
      <c r="AL848" t="s">
        <v>1819</v>
      </c>
      <c r="AM848" t="s">
        <v>657</v>
      </c>
      <c r="AN848" t="s">
        <v>1820</v>
      </c>
      <c r="AO848" t="s">
        <v>16434</v>
      </c>
      <c r="AP848" t="s">
        <v>74</v>
      </c>
      <c r="AQ848" t="s">
        <v>74</v>
      </c>
      <c r="AR848" t="s">
        <v>16421</v>
      </c>
      <c r="AS848" t="s">
        <v>16435</v>
      </c>
      <c r="AT848" t="s">
        <v>16398</v>
      </c>
      <c r="AU848">
        <v>2019</v>
      </c>
      <c r="AV848">
        <v>7</v>
      </c>
      <c r="AW848" t="s">
        <v>74</v>
      </c>
      <c r="AX848" t="s">
        <v>74</v>
      </c>
      <c r="AY848" t="s">
        <v>74</v>
      </c>
      <c r="AZ848" t="s">
        <v>74</v>
      </c>
      <c r="BA848" t="s">
        <v>74</v>
      </c>
      <c r="BB848" t="s">
        <v>74</v>
      </c>
      <c r="BC848" t="s">
        <v>74</v>
      </c>
      <c r="BD848">
        <v>78</v>
      </c>
      <c r="BE848" t="s">
        <v>16436</v>
      </c>
      <c r="BF848" t="str">
        <f>HYPERLINK("http://dx.doi.org/10.1186/s40168-019-0692-8","http://dx.doi.org/10.1186/s40168-019-0692-8")</f>
        <v>http://dx.doi.org/10.1186/s40168-019-0692-8</v>
      </c>
      <c r="BG848" t="s">
        <v>74</v>
      </c>
      <c r="BH848" t="s">
        <v>74</v>
      </c>
      <c r="BI848">
        <v>11</v>
      </c>
      <c r="BJ848" t="s">
        <v>1514</v>
      </c>
      <c r="BK848" t="s">
        <v>101</v>
      </c>
      <c r="BL848" t="s">
        <v>1514</v>
      </c>
      <c r="BM848" t="s">
        <v>16437</v>
      </c>
      <c r="BN848">
        <v>31118083</v>
      </c>
      <c r="BO848" t="s">
        <v>4818</v>
      </c>
      <c r="BP848" t="s">
        <v>74</v>
      </c>
      <c r="BQ848" t="s">
        <v>74</v>
      </c>
      <c r="BR848" t="s">
        <v>103</v>
      </c>
      <c r="BS848" t="s">
        <v>16438</v>
      </c>
      <c r="BT848" t="str">
        <f>HYPERLINK("https%3A%2F%2Fwww.webofscience.com%2Fwos%2Fwoscc%2Ffull-record%2FWOS:000468865900001","View Full Record in Web of Science")</f>
        <v>View Full Record in Web of Science</v>
      </c>
    </row>
    <row r="849" spans="1:72" x14ac:dyDescent="0.15">
      <c r="A849" t="s">
        <v>72</v>
      </c>
      <c r="B849" t="s">
        <v>16439</v>
      </c>
      <c r="C849" t="s">
        <v>74</v>
      </c>
      <c r="D849" t="s">
        <v>74</v>
      </c>
      <c r="E849" t="s">
        <v>74</v>
      </c>
      <c r="F849" t="s">
        <v>16440</v>
      </c>
      <c r="G849" t="s">
        <v>74</v>
      </c>
      <c r="H849" t="s">
        <v>74</v>
      </c>
      <c r="I849" t="s">
        <v>16441</v>
      </c>
      <c r="J849" t="s">
        <v>2249</v>
      </c>
      <c r="K849" t="s">
        <v>74</v>
      </c>
      <c r="L849" t="s">
        <v>74</v>
      </c>
      <c r="M849" t="s">
        <v>78</v>
      </c>
      <c r="N849" t="s">
        <v>108</v>
      </c>
      <c r="O849" t="s">
        <v>74</v>
      </c>
      <c r="P849" t="s">
        <v>74</v>
      </c>
      <c r="Q849" t="s">
        <v>74</v>
      </c>
      <c r="R849" t="s">
        <v>74</v>
      </c>
      <c r="S849" t="s">
        <v>74</v>
      </c>
      <c r="T849" t="s">
        <v>74</v>
      </c>
      <c r="U849" t="s">
        <v>16442</v>
      </c>
      <c r="V849" t="s">
        <v>16443</v>
      </c>
      <c r="W849" t="s">
        <v>16444</v>
      </c>
      <c r="X849" t="s">
        <v>16445</v>
      </c>
      <c r="Y849" t="s">
        <v>16446</v>
      </c>
      <c r="Z849" t="s">
        <v>16447</v>
      </c>
      <c r="AA849" t="s">
        <v>16448</v>
      </c>
      <c r="AB849" t="s">
        <v>16449</v>
      </c>
      <c r="AC849" t="s">
        <v>16450</v>
      </c>
      <c r="AD849" t="s">
        <v>16451</v>
      </c>
      <c r="AE849" t="s">
        <v>16452</v>
      </c>
      <c r="AF849" t="s">
        <v>74</v>
      </c>
      <c r="AG849">
        <v>90</v>
      </c>
      <c r="AH849">
        <v>44</v>
      </c>
      <c r="AI849">
        <v>47</v>
      </c>
      <c r="AJ849">
        <v>1</v>
      </c>
      <c r="AK849">
        <v>35</v>
      </c>
      <c r="AL849" t="s">
        <v>839</v>
      </c>
      <c r="AM849" t="s">
        <v>840</v>
      </c>
      <c r="AN849" t="s">
        <v>841</v>
      </c>
      <c r="AO849" t="s">
        <v>2261</v>
      </c>
      <c r="AP849" t="s">
        <v>2262</v>
      </c>
      <c r="AQ849" t="s">
        <v>74</v>
      </c>
      <c r="AR849" t="s">
        <v>2263</v>
      </c>
      <c r="AS849" t="s">
        <v>2264</v>
      </c>
      <c r="AT849" t="s">
        <v>16453</v>
      </c>
      <c r="AU849">
        <v>2019</v>
      </c>
      <c r="AV849">
        <v>19</v>
      </c>
      <c r="AW849">
        <v>10</v>
      </c>
      <c r="AX849" t="s">
        <v>74</v>
      </c>
      <c r="AY849" t="s">
        <v>74</v>
      </c>
      <c r="AZ849" t="s">
        <v>74</v>
      </c>
      <c r="BA849" t="s">
        <v>74</v>
      </c>
      <c r="BB849">
        <v>6771</v>
      </c>
      <c r="BC849">
        <v>6808</v>
      </c>
      <c r="BD849" t="s">
        <v>74</v>
      </c>
      <c r="BE849" t="s">
        <v>16454</v>
      </c>
      <c r="BF849" t="str">
        <f>HYPERLINK("http://dx.doi.org/10.5194/acp-19-6771-2019","http://dx.doi.org/10.5194/acp-19-6771-2019")</f>
        <v>http://dx.doi.org/10.5194/acp-19-6771-2019</v>
      </c>
      <c r="BG849" t="s">
        <v>74</v>
      </c>
      <c r="BH849" t="s">
        <v>74</v>
      </c>
      <c r="BI849">
        <v>38</v>
      </c>
      <c r="BJ849" t="s">
        <v>2267</v>
      </c>
      <c r="BK849" t="s">
        <v>101</v>
      </c>
      <c r="BL849" t="s">
        <v>2268</v>
      </c>
      <c r="BM849" t="s">
        <v>16455</v>
      </c>
      <c r="BN849" t="s">
        <v>74</v>
      </c>
      <c r="BO849" t="s">
        <v>2476</v>
      </c>
      <c r="BP849" t="s">
        <v>74</v>
      </c>
      <c r="BQ849" t="s">
        <v>74</v>
      </c>
      <c r="BR849" t="s">
        <v>103</v>
      </c>
      <c r="BS849" t="s">
        <v>16456</v>
      </c>
      <c r="BT849" t="str">
        <f>HYPERLINK("https%3A%2F%2Fwww.webofscience.com%2Fwos%2Fwoscc%2Ffull-record%2FWOS:000468590900003","View Full Record in Web of Science")</f>
        <v>View Full Record in Web of Science</v>
      </c>
    </row>
    <row r="850" spans="1:72" x14ac:dyDescent="0.15">
      <c r="A850" t="s">
        <v>72</v>
      </c>
      <c r="B850" t="s">
        <v>16457</v>
      </c>
      <c r="C850" t="s">
        <v>74</v>
      </c>
      <c r="D850" t="s">
        <v>74</v>
      </c>
      <c r="E850" t="s">
        <v>74</v>
      </c>
      <c r="F850" t="s">
        <v>16458</v>
      </c>
      <c r="G850" t="s">
        <v>74</v>
      </c>
      <c r="H850" t="s">
        <v>74</v>
      </c>
      <c r="I850" t="s">
        <v>16459</v>
      </c>
      <c r="J850" t="s">
        <v>6729</v>
      </c>
      <c r="K850" t="s">
        <v>74</v>
      </c>
      <c r="L850" t="s">
        <v>74</v>
      </c>
      <c r="M850" t="s">
        <v>78</v>
      </c>
      <c r="N850" t="s">
        <v>108</v>
      </c>
      <c r="O850" t="s">
        <v>74</v>
      </c>
      <c r="P850" t="s">
        <v>74</v>
      </c>
      <c r="Q850" t="s">
        <v>74</v>
      </c>
      <c r="R850" t="s">
        <v>74</v>
      </c>
      <c r="S850" t="s">
        <v>74</v>
      </c>
      <c r="T850" t="s">
        <v>16460</v>
      </c>
      <c r="U850" t="s">
        <v>16461</v>
      </c>
      <c r="V850" t="s">
        <v>16462</v>
      </c>
      <c r="W850" t="s">
        <v>16463</v>
      </c>
      <c r="X850" t="s">
        <v>16464</v>
      </c>
      <c r="Y850" t="s">
        <v>16465</v>
      </c>
      <c r="Z850" t="s">
        <v>16466</v>
      </c>
      <c r="AA850" t="s">
        <v>16467</v>
      </c>
      <c r="AB850" t="s">
        <v>16468</v>
      </c>
      <c r="AC850" t="s">
        <v>16469</v>
      </c>
      <c r="AD850" t="s">
        <v>16470</v>
      </c>
      <c r="AE850" t="s">
        <v>16471</v>
      </c>
      <c r="AF850" t="s">
        <v>74</v>
      </c>
      <c r="AG850">
        <v>95</v>
      </c>
      <c r="AH850">
        <v>45</v>
      </c>
      <c r="AI850">
        <v>45</v>
      </c>
      <c r="AJ850">
        <v>2</v>
      </c>
      <c r="AK850">
        <v>58</v>
      </c>
      <c r="AL850" t="s">
        <v>638</v>
      </c>
      <c r="AM850" t="s">
        <v>439</v>
      </c>
      <c r="AN850" t="s">
        <v>639</v>
      </c>
      <c r="AO850" t="s">
        <v>6741</v>
      </c>
      <c r="AP850" t="s">
        <v>6742</v>
      </c>
      <c r="AQ850" t="s">
        <v>74</v>
      </c>
      <c r="AR850" t="s">
        <v>6743</v>
      </c>
      <c r="AS850" t="s">
        <v>6744</v>
      </c>
      <c r="AT850" t="s">
        <v>16472</v>
      </c>
      <c r="AU850">
        <v>2019</v>
      </c>
      <c r="AV850">
        <v>212</v>
      </c>
      <c r="AW850" t="s">
        <v>74</v>
      </c>
      <c r="AX850" t="s">
        <v>74</v>
      </c>
      <c r="AY850" t="s">
        <v>74</v>
      </c>
      <c r="AZ850" t="s">
        <v>74</v>
      </c>
      <c r="BA850" t="s">
        <v>74</v>
      </c>
      <c r="BB850">
        <v>47</v>
      </c>
      <c r="BC850">
        <v>63</v>
      </c>
      <c r="BD850" t="s">
        <v>74</v>
      </c>
      <c r="BE850" t="s">
        <v>16473</v>
      </c>
      <c r="BF850" t="str">
        <f>HYPERLINK("http://dx.doi.org/10.1016/j.marchem.2019.04.001","http://dx.doi.org/10.1016/j.marchem.2019.04.001")</f>
        <v>http://dx.doi.org/10.1016/j.marchem.2019.04.001</v>
      </c>
      <c r="BG850" t="s">
        <v>74</v>
      </c>
      <c r="BH850" t="s">
        <v>74</v>
      </c>
      <c r="BI850">
        <v>17</v>
      </c>
      <c r="BJ850" t="s">
        <v>6747</v>
      </c>
      <c r="BK850" t="s">
        <v>101</v>
      </c>
      <c r="BL850" t="s">
        <v>6748</v>
      </c>
      <c r="BM850" t="s">
        <v>16474</v>
      </c>
      <c r="BN850" t="s">
        <v>74</v>
      </c>
      <c r="BO850" t="s">
        <v>919</v>
      </c>
      <c r="BP850" t="s">
        <v>74</v>
      </c>
      <c r="BQ850" t="s">
        <v>74</v>
      </c>
      <c r="BR850" t="s">
        <v>103</v>
      </c>
      <c r="BS850" t="s">
        <v>16475</v>
      </c>
      <c r="BT850" t="str">
        <f>HYPERLINK("https%3A%2F%2Fwww.webofscience.com%2Fwos%2Fwoscc%2Ffull-record%2FWOS:000469155900003","View Full Record in Web of Science")</f>
        <v>View Full Record in Web of Science</v>
      </c>
    </row>
    <row r="851" spans="1:72" x14ac:dyDescent="0.15">
      <c r="A851" t="s">
        <v>72</v>
      </c>
      <c r="B851" t="s">
        <v>16476</v>
      </c>
      <c r="C851" t="s">
        <v>74</v>
      </c>
      <c r="D851" t="s">
        <v>74</v>
      </c>
      <c r="E851" t="s">
        <v>74</v>
      </c>
      <c r="F851" t="s">
        <v>16477</v>
      </c>
      <c r="G851" t="s">
        <v>74</v>
      </c>
      <c r="H851" t="s">
        <v>74</v>
      </c>
      <c r="I851" t="s">
        <v>16478</v>
      </c>
      <c r="J851" t="s">
        <v>989</v>
      </c>
      <c r="K851" t="s">
        <v>74</v>
      </c>
      <c r="L851" t="s">
        <v>74</v>
      </c>
      <c r="M851" t="s">
        <v>78</v>
      </c>
      <c r="N851" t="s">
        <v>108</v>
      </c>
      <c r="O851" t="s">
        <v>74</v>
      </c>
      <c r="P851" t="s">
        <v>74</v>
      </c>
      <c r="Q851" t="s">
        <v>74</v>
      </c>
      <c r="R851" t="s">
        <v>74</v>
      </c>
      <c r="S851" t="s">
        <v>74</v>
      </c>
      <c r="T851" t="s">
        <v>74</v>
      </c>
      <c r="U851" t="s">
        <v>16479</v>
      </c>
      <c r="V851" t="s">
        <v>16480</v>
      </c>
      <c r="W851" t="s">
        <v>16481</v>
      </c>
      <c r="X851" t="s">
        <v>16482</v>
      </c>
      <c r="Y851" t="s">
        <v>16483</v>
      </c>
      <c r="Z851" t="s">
        <v>16484</v>
      </c>
      <c r="AA851" t="s">
        <v>16485</v>
      </c>
      <c r="AB851" t="s">
        <v>16486</v>
      </c>
      <c r="AC851" t="s">
        <v>16487</v>
      </c>
      <c r="AD851" t="s">
        <v>16488</v>
      </c>
      <c r="AE851" t="s">
        <v>16489</v>
      </c>
      <c r="AF851" t="s">
        <v>74</v>
      </c>
      <c r="AG851">
        <v>67</v>
      </c>
      <c r="AH851">
        <v>10</v>
      </c>
      <c r="AI851">
        <v>10</v>
      </c>
      <c r="AJ851">
        <v>0</v>
      </c>
      <c r="AK851">
        <v>3</v>
      </c>
      <c r="AL851" t="s">
        <v>998</v>
      </c>
      <c r="AM851" t="s">
        <v>657</v>
      </c>
      <c r="AN851" t="s">
        <v>999</v>
      </c>
      <c r="AO851" t="s">
        <v>1000</v>
      </c>
      <c r="AP851" t="s">
        <v>74</v>
      </c>
      <c r="AQ851" t="s">
        <v>74</v>
      </c>
      <c r="AR851" t="s">
        <v>1001</v>
      </c>
      <c r="AS851" t="s">
        <v>1002</v>
      </c>
      <c r="AT851" t="s">
        <v>16472</v>
      </c>
      <c r="AU851">
        <v>2019</v>
      </c>
      <c r="AV851">
        <v>9</v>
      </c>
      <c r="AW851" t="s">
        <v>74</v>
      </c>
      <c r="AX851" t="s">
        <v>74</v>
      </c>
      <c r="AY851" t="s">
        <v>74</v>
      </c>
      <c r="AZ851" t="s">
        <v>74</v>
      </c>
      <c r="BA851" t="s">
        <v>74</v>
      </c>
      <c r="BB851" t="s">
        <v>74</v>
      </c>
      <c r="BC851" t="s">
        <v>74</v>
      </c>
      <c r="BD851">
        <v>7592</v>
      </c>
      <c r="BE851" t="s">
        <v>16490</v>
      </c>
      <c r="BF851" t="str">
        <f>HYPERLINK("http://dx.doi.org/10.1038/s41598-019-44109-2","http://dx.doi.org/10.1038/s41598-019-44109-2")</f>
        <v>http://dx.doi.org/10.1038/s41598-019-44109-2</v>
      </c>
      <c r="BG851" t="s">
        <v>74</v>
      </c>
      <c r="BH851" t="s">
        <v>74</v>
      </c>
      <c r="BI851">
        <v>12</v>
      </c>
      <c r="BJ851" t="s">
        <v>1004</v>
      </c>
      <c r="BK851" t="s">
        <v>101</v>
      </c>
      <c r="BL851" t="s">
        <v>1005</v>
      </c>
      <c r="BM851" t="s">
        <v>16491</v>
      </c>
      <c r="BN851">
        <v>31110210</v>
      </c>
      <c r="BO851" t="s">
        <v>331</v>
      </c>
      <c r="BP851" t="s">
        <v>74</v>
      </c>
      <c r="BQ851" t="s">
        <v>74</v>
      </c>
      <c r="BR851" t="s">
        <v>103</v>
      </c>
      <c r="BS851" t="s">
        <v>16492</v>
      </c>
      <c r="BT851" t="str">
        <f>HYPERLINK("https%3A%2F%2Fwww.webofscience.com%2Fwos%2Fwoscc%2Ffull-record%2FWOS:000468281500022","View Full Record in Web of Science")</f>
        <v>View Full Record in Web of Science</v>
      </c>
    </row>
    <row r="852" spans="1:72" x14ac:dyDescent="0.15">
      <c r="A852" t="s">
        <v>72</v>
      </c>
      <c r="B852" t="s">
        <v>16493</v>
      </c>
      <c r="C852" t="s">
        <v>74</v>
      </c>
      <c r="D852" t="s">
        <v>74</v>
      </c>
      <c r="E852" t="s">
        <v>74</v>
      </c>
      <c r="F852" t="s">
        <v>16494</v>
      </c>
      <c r="G852" t="s">
        <v>74</v>
      </c>
      <c r="H852" t="s">
        <v>74</v>
      </c>
      <c r="I852" t="s">
        <v>16495</v>
      </c>
      <c r="J852" t="s">
        <v>16496</v>
      </c>
      <c r="K852" t="s">
        <v>74</v>
      </c>
      <c r="L852" t="s">
        <v>74</v>
      </c>
      <c r="M852" t="s">
        <v>78</v>
      </c>
      <c r="N852" t="s">
        <v>108</v>
      </c>
      <c r="O852" t="s">
        <v>74</v>
      </c>
      <c r="P852" t="s">
        <v>74</v>
      </c>
      <c r="Q852" t="s">
        <v>74</v>
      </c>
      <c r="R852" t="s">
        <v>74</v>
      </c>
      <c r="S852" t="s">
        <v>74</v>
      </c>
      <c r="T852" t="s">
        <v>74</v>
      </c>
      <c r="U852" t="s">
        <v>16497</v>
      </c>
      <c r="V852" t="s">
        <v>16498</v>
      </c>
      <c r="W852" t="s">
        <v>16499</v>
      </c>
      <c r="X852" t="s">
        <v>16500</v>
      </c>
      <c r="Y852" t="s">
        <v>16501</v>
      </c>
      <c r="Z852" t="s">
        <v>16502</v>
      </c>
      <c r="AA852" t="s">
        <v>16503</v>
      </c>
      <c r="AB852" t="s">
        <v>16504</v>
      </c>
      <c r="AC852" t="s">
        <v>16505</v>
      </c>
      <c r="AD852" t="s">
        <v>16506</v>
      </c>
      <c r="AE852" t="s">
        <v>16507</v>
      </c>
      <c r="AF852" t="s">
        <v>74</v>
      </c>
      <c r="AG852">
        <v>47</v>
      </c>
      <c r="AH852">
        <v>68</v>
      </c>
      <c r="AI852">
        <v>73</v>
      </c>
      <c r="AJ852">
        <v>2</v>
      </c>
      <c r="AK852">
        <v>61</v>
      </c>
      <c r="AL852" t="s">
        <v>16508</v>
      </c>
      <c r="AM852" t="s">
        <v>303</v>
      </c>
      <c r="AN852" t="s">
        <v>16509</v>
      </c>
      <c r="AO852" t="s">
        <v>16510</v>
      </c>
      <c r="AP852" t="s">
        <v>16511</v>
      </c>
      <c r="AQ852" t="s">
        <v>74</v>
      </c>
      <c r="AR852" t="s">
        <v>16512</v>
      </c>
      <c r="AS852" t="s">
        <v>16513</v>
      </c>
      <c r="AT852" t="s">
        <v>16472</v>
      </c>
      <c r="AU852">
        <v>2019</v>
      </c>
      <c r="AV852">
        <v>29</v>
      </c>
      <c r="AW852">
        <v>10</v>
      </c>
      <c r="AX852" t="s">
        <v>74</v>
      </c>
      <c r="AY852" t="s">
        <v>74</v>
      </c>
      <c r="AZ852" t="s">
        <v>74</v>
      </c>
      <c r="BA852" t="s">
        <v>74</v>
      </c>
      <c r="BB852">
        <v>1721</v>
      </c>
      <c r="BC852" t="s">
        <v>3569</v>
      </c>
      <c r="BD852" t="s">
        <v>74</v>
      </c>
      <c r="BE852" t="s">
        <v>16514</v>
      </c>
      <c r="BF852" t="str">
        <f>HYPERLINK("http://dx.doi.org/10.1016/j.cub.2019.04.038","http://dx.doi.org/10.1016/j.cub.2019.04.038")</f>
        <v>http://dx.doi.org/10.1016/j.cub.2019.04.038</v>
      </c>
      <c r="BG852" t="s">
        <v>74</v>
      </c>
      <c r="BH852" t="s">
        <v>74</v>
      </c>
      <c r="BI852">
        <v>10</v>
      </c>
      <c r="BJ852" t="s">
        <v>16515</v>
      </c>
      <c r="BK852" t="s">
        <v>101</v>
      </c>
      <c r="BL852" t="s">
        <v>16516</v>
      </c>
      <c r="BM852" t="s">
        <v>16517</v>
      </c>
      <c r="BN852">
        <v>31080085</v>
      </c>
      <c r="BO852" t="s">
        <v>6249</v>
      </c>
      <c r="BP852" t="s">
        <v>74</v>
      </c>
      <c r="BQ852" t="s">
        <v>74</v>
      </c>
      <c r="BR852" t="s">
        <v>103</v>
      </c>
      <c r="BS852" t="s">
        <v>16518</v>
      </c>
      <c r="BT852" t="str">
        <f>HYPERLINK("https%3A%2F%2Fwww.webofscience.com%2Fwos%2Fwoscc%2Ffull-record%2FWOS:000468409100033","View Full Record in Web of Science")</f>
        <v>View Full Record in Web of Science</v>
      </c>
    </row>
    <row r="853" spans="1:72" x14ac:dyDescent="0.15">
      <c r="A853" t="s">
        <v>72</v>
      </c>
      <c r="B853" t="s">
        <v>16519</v>
      </c>
      <c r="C853" t="s">
        <v>74</v>
      </c>
      <c r="D853" t="s">
        <v>74</v>
      </c>
      <c r="E853" t="s">
        <v>74</v>
      </c>
      <c r="F853" t="s">
        <v>16520</v>
      </c>
      <c r="G853" t="s">
        <v>74</v>
      </c>
      <c r="H853" t="s">
        <v>74</v>
      </c>
      <c r="I853" t="s">
        <v>16521</v>
      </c>
      <c r="J853" t="s">
        <v>6771</v>
      </c>
      <c r="K853" t="s">
        <v>74</v>
      </c>
      <c r="L853" t="s">
        <v>74</v>
      </c>
      <c r="M853" t="s">
        <v>78</v>
      </c>
      <c r="N853" t="s">
        <v>108</v>
      </c>
      <c r="O853" t="s">
        <v>74</v>
      </c>
      <c r="P853" t="s">
        <v>74</v>
      </c>
      <c r="Q853" t="s">
        <v>74</v>
      </c>
      <c r="R853" t="s">
        <v>74</v>
      </c>
      <c r="S853" t="s">
        <v>74</v>
      </c>
      <c r="T853" t="s">
        <v>16522</v>
      </c>
      <c r="U853" t="s">
        <v>16523</v>
      </c>
      <c r="V853" t="s">
        <v>16524</v>
      </c>
      <c r="W853" t="s">
        <v>16525</v>
      </c>
      <c r="X853" t="s">
        <v>16526</v>
      </c>
      <c r="Y853" t="s">
        <v>16527</v>
      </c>
      <c r="Z853" t="s">
        <v>16528</v>
      </c>
      <c r="AA853" t="s">
        <v>16529</v>
      </c>
      <c r="AB853" t="s">
        <v>16530</v>
      </c>
      <c r="AC853" t="s">
        <v>16531</v>
      </c>
      <c r="AD853" t="s">
        <v>16532</v>
      </c>
      <c r="AE853" t="s">
        <v>16533</v>
      </c>
      <c r="AF853" t="s">
        <v>74</v>
      </c>
      <c r="AG853">
        <v>70</v>
      </c>
      <c r="AH853">
        <v>29</v>
      </c>
      <c r="AI853">
        <v>39</v>
      </c>
      <c r="AJ853">
        <v>2</v>
      </c>
      <c r="AK853">
        <v>19</v>
      </c>
      <c r="AL853" t="s">
        <v>638</v>
      </c>
      <c r="AM853" t="s">
        <v>439</v>
      </c>
      <c r="AN853" t="s">
        <v>639</v>
      </c>
      <c r="AO853" t="s">
        <v>6783</v>
      </c>
      <c r="AP853" t="s">
        <v>6784</v>
      </c>
      <c r="AQ853" t="s">
        <v>74</v>
      </c>
      <c r="AR853" t="s">
        <v>6785</v>
      </c>
      <c r="AS853" t="s">
        <v>6786</v>
      </c>
      <c r="AT853" t="s">
        <v>16472</v>
      </c>
      <c r="AU853">
        <v>2019</v>
      </c>
      <c r="AV853">
        <v>513</v>
      </c>
      <c r="AW853" t="s">
        <v>74</v>
      </c>
      <c r="AX853" t="s">
        <v>74</v>
      </c>
      <c r="AY853" t="s">
        <v>74</v>
      </c>
      <c r="AZ853" t="s">
        <v>74</v>
      </c>
      <c r="BA853" t="s">
        <v>74</v>
      </c>
      <c r="BB853">
        <v>108</v>
      </c>
      <c r="BC853">
        <v>119</v>
      </c>
      <c r="BD853" t="s">
        <v>74</v>
      </c>
      <c r="BE853" t="s">
        <v>16534</v>
      </c>
      <c r="BF853" t="str">
        <f>HYPERLINK("http://dx.doi.org/10.1016/j.chemgeo.2019.03.003","http://dx.doi.org/10.1016/j.chemgeo.2019.03.003")</f>
        <v>http://dx.doi.org/10.1016/j.chemgeo.2019.03.003</v>
      </c>
      <c r="BG853" t="s">
        <v>74</v>
      </c>
      <c r="BH853" t="s">
        <v>74</v>
      </c>
      <c r="BI853">
        <v>12</v>
      </c>
      <c r="BJ853" t="s">
        <v>190</v>
      </c>
      <c r="BK853" t="s">
        <v>101</v>
      </c>
      <c r="BL853" t="s">
        <v>190</v>
      </c>
      <c r="BM853" t="s">
        <v>16535</v>
      </c>
      <c r="BN853" t="s">
        <v>74</v>
      </c>
      <c r="BO853" t="s">
        <v>3482</v>
      </c>
      <c r="BP853" t="s">
        <v>74</v>
      </c>
      <c r="BQ853" t="s">
        <v>74</v>
      </c>
      <c r="BR853" t="s">
        <v>103</v>
      </c>
      <c r="BS853" t="s">
        <v>16536</v>
      </c>
      <c r="BT853" t="str">
        <f>HYPERLINK("https%3A%2F%2Fwww.webofscience.com%2Fwos%2Fwoscc%2Ffull-record%2FWOS:000464007200009","View Full Record in Web of Science")</f>
        <v>View Full Record in Web of Science</v>
      </c>
    </row>
    <row r="854" spans="1:72" x14ac:dyDescent="0.15">
      <c r="A854" t="s">
        <v>72</v>
      </c>
      <c r="B854" t="s">
        <v>16537</v>
      </c>
      <c r="C854" t="s">
        <v>74</v>
      </c>
      <c r="D854" t="s">
        <v>74</v>
      </c>
      <c r="E854" t="s">
        <v>74</v>
      </c>
      <c r="F854" t="s">
        <v>16538</v>
      </c>
      <c r="G854" t="s">
        <v>74</v>
      </c>
      <c r="H854" t="s">
        <v>74</v>
      </c>
      <c r="I854" t="s">
        <v>16539</v>
      </c>
      <c r="J854" t="s">
        <v>805</v>
      </c>
      <c r="K854" t="s">
        <v>74</v>
      </c>
      <c r="L854" t="s">
        <v>74</v>
      </c>
      <c r="M854" t="s">
        <v>78</v>
      </c>
      <c r="N854" t="s">
        <v>108</v>
      </c>
      <c r="O854" t="s">
        <v>74</v>
      </c>
      <c r="P854" t="s">
        <v>74</v>
      </c>
      <c r="Q854" t="s">
        <v>74</v>
      </c>
      <c r="R854" t="s">
        <v>74</v>
      </c>
      <c r="S854" t="s">
        <v>74</v>
      </c>
      <c r="T854" t="s">
        <v>16540</v>
      </c>
      <c r="U854" t="s">
        <v>16541</v>
      </c>
      <c r="V854" t="s">
        <v>16542</v>
      </c>
      <c r="W854" t="s">
        <v>16543</v>
      </c>
      <c r="X854" t="s">
        <v>7890</v>
      </c>
      <c r="Y854" t="s">
        <v>16544</v>
      </c>
      <c r="Z854" t="s">
        <v>16545</v>
      </c>
      <c r="AA854" t="s">
        <v>16546</v>
      </c>
      <c r="AB854" t="s">
        <v>74</v>
      </c>
      <c r="AC854" t="s">
        <v>16547</v>
      </c>
      <c r="AD854" t="s">
        <v>16548</v>
      </c>
      <c r="AE854" t="s">
        <v>16549</v>
      </c>
      <c r="AF854" t="s">
        <v>74</v>
      </c>
      <c r="AG854">
        <v>87</v>
      </c>
      <c r="AH854">
        <v>5</v>
      </c>
      <c r="AI854">
        <v>7</v>
      </c>
      <c r="AJ854">
        <v>6</v>
      </c>
      <c r="AK854">
        <v>90</v>
      </c>
      <c r="AL854" t="s">
        <v>438</v>
      </c>
      <c r="AM854" t="s">
        <v>439</v>
      </c>
      <c r="AN854" t="s">
        <v>440</v>
      </c>
      <c r="AO854" t="s">
        <v>818</v>
      </c>
      <c r="AP854" t="s">
        <v>819</v>
      </c>
      <c r="AQ854" t="s">
        <v>74</v>
      </c>
      <c r="AR854" t="s">
        <v>820</v>
      </c>
      <c r="AS854" t="s">
        <v>821</v>
      </c>
      <c r="AT854" t="s">
        <v>16472</v>
      </c>
      <c r="AU854">
        <v>2019</v>
      </c>
      <c r="AV854">
        <v>666</v>
      </c>
      <c r="AW854" t="s">
        <v>74</v>
      </c>
      <c r="AX854" t="s">
        <v>74</v>
      </c>
      <c r="AY854" t="s">
        <v>74</v>
      </c>
      <c r="AZ854" t="s">
        <v>74</v>
      </c>
      <c r="BA854" t="s">
        <v>74</v>
      </c>
      <c r="BB854">
        <v>1134</v>
      </c>
      <c r="BC854">
        <v>1150</v>
      </c>
      <c r="BD854" t="s">
        <v>74</v>
      </c>
      <c r="BE854" t="s">
        <v>16550</v>
      </c>
      <c r="BF854" t="str">
        <f>HYPERLINK("http://dx.doi.org/10.1016/j.scitotenv.2019.02.264","http://dx.doi.org/10.1016/j.scitotenv.2019.02.264")</f>
        <v>http://dx.doi.org/10.1016/j.scitotenv.2019.02.264</v>
      </c>
      <c r="BG854" t="s">
        <v>74</v>
      </c>
      <c r="BH854" t="s">
        <v>74</v>
      </c>
      <c r="BI854">
        <v>17</v>
      </c>
      <c r="BJ854" t="s">
        <v>797</v>
      </c>
      <c r="BK854" t="s">
        <v>101</v>
      </c>
      <c r="BL854" t="s">
        <v>799</v>
      </c>
      <c r="BM854" t="s">
        <v>16551</v>
      </c>
      <c r="BN854">
        <v>30970479</v>
      </c>
      <c r="BO854" t="s">
        <v>74</v>
      </c>
      <c r="BP854" t="s">
        <v>74</v>
      </c>
      <c r="BQ854" t="s">
        <v>74</v>
      </c>
      <c r="BR854" t="s">
        <v>103</v>
      </c>
      <c r="BS854" t="s">
        <v>16552</v>
      </c>
      <c r="BT854" t="str">
        <f>HYPERLINK("https%3A%2F%2Fwww.webofscience.com%2Fwos%2Fwoscc%2Ffull-record%2FWOS:000463180700108","View Full Record in Web of Science")</f>
        <v>View Full Record in Web of Science</v>
      </c>
    </row>
    <row r="855" spans="1:72" x14ac:dyDescent="0.15">
      <c r="A855" t="s">
        <v>72</v>
      </c>
      <c r="B855" t="s">
        <v>16553</v>
      </c>
      <c r="C855" t="s">
        <v>74</v>
      </c>
      <c r="D855" t="s">
        <v>74</v>
      </c>
      <c r="E855" t="s">
        <v>74</v>
      </c>
      <c r="F855" t="s">
        <v>16554</v>
      </c>
      <c r="G855" t="s">
        <v>74</v>
      </c>
      <c r="H855" t="s">
        <v>74</v>
      </c>
      <c r="I855" t="s">
        <v>16555</v>
      </c>
      <c r="J855" t="s">
        <v>16556</v>
      </c>
      <c r="K855" t="s">
        <v>74</v>
      </c>
      <c r="L855" t="s">
        <v>74</v>
      </c>
      <c r="M855" t="s">
        <v>78</v>
      </c>
      <c r="N855" t="s">
        <v>108</v>
      </c>
      <c r="O855" t="s">
        <v>74</v>
      </c>
      <c r="P855" t="s">
        <v>74</v>
      </c>
      <c r="Q855" t="s">
        <v>74</v>
      </c>
      <c r="R855" t="s">
        <v>74</v>
      </c>
      <c r="S855" t="s">
        <v>74</v>
      </c>
      <c r="T855" t="s">
        <v>16557</v>
      </c>
      <c r="U855" t="s">
        <v>16558</v>
      </c>
      <c r="V855" t="s">
        <v>16559</v>
      </c>
      <c r="W855" t="s">
        <v>16560</v>
      </c>
      <c r="X855" t="s">
        <v>16561</v>
      </c>
      <c r="Y855" t="s">
        <v>13629</v>
      </c>
      <c r="Z855" t="s">
        <v>16562</v>
      </c>
      <c r="AA855" t="s">
        <v>16563</v>
      </c>
      <c r="AB855" t="s">
        <v>16564</v>
      </c>
      <c r="AC855" t="s">
        <v>16565</v>
      </c>
      <c r="AD855" t="s">
        <v>16566</v>
      </c>
      <c r="AE855" t="s">
        <v>16567</v>
      </c>
      <c r="AF855" t="s">
        <v>74</v>
      </c>
      <c r="AG855">
        <v>49</v>
      </c>
      <c r="AH855">
        <v>17</v>
      </c>
      <c r="AI855">
        <v>17</v>
      </c>
      <c r="AJ855">
        <v>1</v>
      </c>
      <c r="AK855">
        <v>25</v>
      </c>
      <c r="AL855" t="s">
        <v>3084</v>
      </c>
      <c r="AM855" t="s">
        <v>93</v>
      </c>
      <c r="AN855" t="s">
        <v>3085</v>
      </c>
      <c r="AO855" t="s">
        <v>16568</v>
      </c>
      <c r="AP855" t="s">
        <v>74</v>
      </c>
      <c r="AQ855" t="s">
        <v>74</v>
      </c>
      <c r="AR855" t="s">
        <v>16569</v>
      </c>
      <c r="AS855" t="s">
        <v>16570</v>
      </c>
      <c r="AT855" t="s">
        <v>16571</v>
      </c>
      <c r="AU855">
        <v>2019</v>
      </c>
      <c r="AV855">
        <v>7</v>
      </c>
      <c r="AW855" t="s">
        <v>74</v>
      </c>
      <c r="AX855" t="s">
        <v>74</v>
      </c>
      <c r="AY855" t="s">
        <v>74</v>
      </c>
      <c r="AZ855" t="s">
        <v>74</v>
      </c>
      <c r="BA855" t="s">
        <v>74</v>
      </c>
      <c r="BB855" t="s">
        <v>74</v>
      </c>
      <c r="BC855" t="s">
        <v>74</v>
      </c>
      <c r="BD855" t="s">
        <v>16572</v>
      </c>
      <c r="BE855" t="s">
        <v>16573</v>
      </c>
      <c r="BF855" t="str">
        <f>HYPERLINK("http://dx.doi.org/10.1093/conphys/coz017","http://dx.doi.org/10.1093/conphys/coz017")</f>
        <v>http://dx.doi.org/10.1093/conphys/coz017</v>
      </c>
      <c r="BG855" t="s">
        <v>74</v>
      </c>
      <c r="BH855" t="s">
        <v>74</v>
      </c>
      <c r="BI855">
        <v>9</v>
      </c>
      <c r="BJ855" t="s">
        <v>16574</v>
      </c>
      <c r="BK855" t="s">
        <v>101</v>
      </c>
      <c r="BL855" t="s">
        <v>16575</v>
      </c>
      <c r="BM855" t="s">
        <v>16576</v>
      </c>
      <c r="BN855">
        <v>31110767</v>
      </c>
      <c r="BO855" t="s">
        <v>9492</v>
      </c>
      <c r="BP855" t="s">
        <v>74</v>
      </c>
      <c r="BQ855" t="s">
        <v>74</v>
      </c>
      <c r="BR855" t="s">
        <v>103</v>
      </c>
      <c r="BS855" t="s">
        <v>16577</v>
      </c>
      <c r="BT855" t="str">
        <f>HYPERLINK("https%3A%2F%2Fwww.webofscience.com%2Fwos%2Fwoscc%2Ffull-record%2FWOS:000484493000002","View Full Record in Web of Science")</f>
        <v>View Full Record in Web of Science</v>
      </c>
    </row>
    <row r="856" spans="1:72" x14ac:dyDescent="0.15">
      <c r="A856" t="s">
        <v>72</v>
      </c>
      <c r="B856" t="s">
        <v>16578</v>
      </c>
      <c r="C856" t="s">
        <v>74</v>
      </c>
      <c r="D856" t="s">
        <v>74</v>
      </c>
      <c r="E856" t="s">
        <v>74</v>
      </c>
      <c r="F856" t="s">
        <v>16579</v>
      </c>
      <c r="G856" t="s">
        <v>74</v>
      </c>
      <c r="H856" t="s">
        <v>74</v>
      </c>
      <c r="I856" t="s">
        <v>16580</v>
      </c>
      <c r="J856" t="s">
        <v>884</v>
      </c>
      <c r="K856" t="s">
        <v>74</v>
      </c>
      <c r="L856" t="s">
        <v>74</v>
      </c>
      <c r="M856" t="s">
        <v>78</v>
      </c>
      <c r="N856" t="s">
        <v>108</v>
      </c>
      <c r="O856" t="s">
        <v>74</v>
      </c>
      <c r="P856" t="s">
        <v>74</v>
      </c>
      <c r="Q856" t="s">
        <v>74</v>
      </c>
      <c r="R856" t="s">
        <v>74</v>
      </c>
      <c r="S856" t="s">
        <v>74</v>
      </c>
      <c r="T856" t="s">
        <v>74</v>
      </c>
      <c r="U856" t="s">
        <v>16581</v>
      </c>
      <c r="V856" t="s">
        <v>16582</v>
      </c>
      <c r="W856" t="s">
        <v>16583</v>
      </c>
      <c r="X856" t="s">
        <v>16584</v>
      </c>
      <c r="Y856" t="s">
        <v>16585</v>
      </c>
      <c r="Z856" t="s">
        <v>16586</v>
      </c>
      <c r="AA856" t="s">
        <v>16587</v>
      </c>
      <c r="AB856" t="s">
        <v>16588</v>
      </c>
      <c r="AC856" t="s">
        <v>16589</v>
      </c>
      <c r="AD856" t="s">
        <v>16590</v>
      </c>
      <c r="AE856" t="s">
        <v>16591</v>
      </c>
      <c r="AF856" t="s">
        <v>74</v>
      </c>
      <c r="AG856">
        <v>36</v>
      </c>
      <c r="AH856">
        <v>90</v>
      </c>
      <c r="AI856">
        <v>100</v>
      </c>
      <c r="AJ856">
        <v>1</v>
      </c>
      <c r="AK856">
        <v>15</v>
      </c>
      <c r="AL856" t="s">
        <v>182</v>
      </c>
      <c r="AM856" t="s">
        <v>183</v>
      </c>
      <c r="AN856" t="s">
        <v>184</v>
      </c>
      <c r="AO856" t="s">
        <v>896</v>
      </c>
      <c r="AP856" t="s">
        <v>897</v>
      </c>
      <c r="AQ856" t="s">
        <v>74</v>
      </c>
      <c r="AR856" t="s">
        <v>898</v>
      </c>
      <c r="AS856" t="s">
        <v>899</v>
      </c>
      <c r="AT856" t="s">
        <v>16571</v>
      </c>
      <c r="AU856">
        <v>2019</v>
      </c>
      <c r="AV856">
        <v>46</v>
      </c>
      <c r="AW856">
        <v>9</v>
      </c>
      <c r="AX856" t="s">
        <v>74</v>
      </c>
      <c r="AY856" t="s">
        <v>74</v>
      </c>
      <c r="AZ856" t="s">
        <v>74</v>
      </c>
      <c r="BA856" t="s">
        <v>74</v>
      </c>
      <c r="BB856">
        <v>4764</v>
      </c>
      <c r="BC856">
        <v>4771</v>
      </c>
      <c r="BD856" t="s">
        <v>74</v>
      </c>
      <c r="BE856" t="s">
        <v>16592</v>
      </c>
      <c r="BF856" t="str">
        <f>HYPERLINK("http://dx.doi.org/10.1029/2019GL082526","http://dx.doi.org/10.1029/2019GL082526")</f>
        <v>http://dx.doi.org/10.1029/2019GL082526</v>
      </c>
      <c r="BG856" t="s">
        <v>74</v>
      </c>
      <c r="BH856" t="s">
        <v>74</v>
      </c>
      <c r="BI856">
        <v>8</v>
      </c>
      <c r="BJ856" t="s">
        <v>471</v>
      </c>
      <c r="BK856" t="s">
        <v>101</v>
      </c>
      <c r="BL856" t="s">
        <v>472</v>
      </c>
      <c r="BM856" t="s">
        <v>16593</v>
      </c>
      <c r="BN856">
        <v>31244498</v>
      </c>
      <c r="BO856" t="s">
        <v>595</v>
      </c>
      <c r="BP856" t="s">
        <v>74</v>
      </c>
      <c r="BQ856" t="s">
        <v>74</v>
      </c>
      <c r="BR856" t="s">
        <v>103</v>
      </c>
      <c r="BS856" t="s">
        <v>16594</v>
      </c>
      <c r="BT856" t="str">
        <f>HYPERLINK("https%3A%2F%2Fwww.webofscience.com%2Fwos%2Fwoscc%2Ffull-record%2FWOS:000468869500024","View Full Record in Web of Science")</f>
        <v>View Full Record in Web of Science</v>
      </c>
    </row>
    <row r="857" spans="1:72" x14ac:dyDescent="0.15">
      <c r="A857" t="s">
        <v>72</v>
      </c>
      <c r="B857" t="s">
        <v>16595</v>
      </c>
      <c r="C857" t="s">
        <v>74</v>
      </c>
      <c r="D857" t="s">
        <v>74</v>
      </c>
      <c r="E857" t="s">
        <v>74</v>
      </c>
      <c r="F857" t="s">
        <v>16596</v>
      </c>
      <c r="G857" t="s">
        <v>74</v>
      </c>
      <c r="H857" t="s">
        <v>74</v>
      </c>
      <c r="I857" t="s">
        <v>16597</v>
      </c>
      <c r="J857" t="s">
        <v>884</v>
      </c>
      <c r="K857" t="s">
        <v>74</v>
      </c>
      <c r="L857" t="s">
        <v>74</v>
      </c>
      <c r="M857" t="s">
        <v>78</v>
      </c>
      <c r="N857" t="s">
        <v>108</v>
      </c>
      <c r="O857" t="s">
        <v>74</v>
      </c>
      <c r="P857" t="s">
        <v>74</v>
      </c>
      <c r="Q857" t="s">
        <v>74</v>
      </c>
      <c r="R857" t="s">
        <v>74</v>
      </c>
      <c r="S857" t="s">
        <v>74</v>
      </c>
      <c r="T857" t="s">
        <v>74</v>
      </c>
      <c r="U857" t="s">
        <v>16598</v>
      </c>
      <c r="V857" t="s">
        <v>16599</v>
      </c>
      <c r="W857" t="s">
        <v>16600</v>
      </c>
      <c r="X857" t="s">
        <v>16601</v>
      </c>
      <c r="Y857" t="s">
        <v>16602</v>
      </c>
      <c r="Z857" t="s">
        <v>16603</v>
      </c>
      <c r="AA857" t="s">
        <v>16604</v>
      </c>
      <c r="AB857" t="s">
        <v>16605</v>
      </c>
      <c r="AC857" t="s">
        <v>16606</v>
      </c>
      <c r="AD857" t="s">
        <v>16607</v>
      </c>
      <c r="AE857" t="s">
        <v>16608</v>
      </c>
      <c r="AF857" t="s">
        <v>74</v>
      </c>
      <c r="AG857">
        <v>31</v>
      </c>
      <c r="AH857">
        <v>28</v>
      </c>
      <c r="AI857">
        <v>33</v>
      </c>
      <c r="AJ857">
        <v>5</v>
      </c>
      <c r="AK857">
        <v>30</v>
      </c>
      <c r="AL857" t="s">
        <v>182</v>
      </c>
      <c r="AM857" t="s">
        <v>183</v>
      </c>
      <c r="AN857" t="s">
        <v>184</v>
      </c>
      <c r="AO857" t="s">
        <v>896</v>
      </c>
      <c r="AP857" t="s">
        <v>897</v>
      </c>
      <c r="AQ857" t="s">
        <v>74</v>
      </c>
      <c r="AR857" t="s">
        <v>898</v>
      </c>
      <c r="AS857" t="s">
        <v>899</v>
      </c>
      <c r="AT857" t="s">
        <v>16571</v>
      </c>
      <c r="AU857">
        <v>2019</v>
      </c>
      <c r="AV857">
        <v>46</v>
      </c>
      <c r="AW857">
        <v>9</v>
      </c>
      <c r="AX857" t="s">
        <v>74</v>
      </c>
      <c r="AY857" t="s">
        <v>74</v>
      </c>
      <c r="AZ857" t="s">
        <v>74</v>
      </c>
      <c r="BA857" t="s">
        <v>74</v>
      </c>
      <c r="BB857">
        <v>4782</v>
      </c>
      <c r="BC857">
        <v>4789</v>
      </c>
      <c r="BD857" t="s">
        <v>74</v>
      </c>
      <c r="BE857" t="s">
        <v>16609</v>
      </c>
      <c r="BF857" t="str">
        <f>HYPERLINK("http://dx.doi.org/10.1029/2018GL081463","http://dx.doi.org/10.1029/2018GL081463")</f>
        <v>http://dx.doi.org/10.1029/2018GL081463</v>
      </c>
      <c r="BG857" t="s">
        <v>74</v>
      </c>
      <c r="BH857" t="s">
        <v>74</v>
      </c>
      <c r="BI857">
        <v>8</v>
      </c>
      <c r="BJ857" t="s">
        <v>471</v>
      </c>
      <c r="BK857" t="s">
        <v>101</v>
      </c>
      <c r="BL857" t="s">
        <v>472</v>
      </c>
      <c r="BM857" t="s">
        <v>16593</v>
      </c>
      <c r="BN857" t="s">
        <v>74</v>
      </c>
      <c r="BO857" t="s">
        <v>595</v>
      </c>
      <c r="BP857" t="s">
        <v>74</v>
      </c>
      <c r="BQ857" t="s">
        <v>74</v>
      </c>
      <c r="BR857" t="s">
        <v>103</v>
      </c>
      <c r="BS857" t="s">
        <v>16610</v>
      </c>
      <c r="BT857" t="str">
        <f>HYPERLINK("https%3A%2F%2Fwww.webofscience.com%2Fwos%2Fwoscc%2Ffull-record%2FWOS:000468869500026","View Full Record in Web of Science")</f>
        <v>View Full Record in Web of Science</v>
      </c>
    </row>
    <row r="858" spans="1:72" x14ac:dyDescent="0.15">
      <c r="A858" t="s">
        <v>72</v>
      </c>
      <c r="B858" t="s">
        <v>16611</v>
      </c>
      <c r="C858" t="s">
        <v>74</v>
      </c>
      <c r="D858" t="s">
        <v>74</v>
      </c>
      <c r="E858" t="s">
        <v>74</v>
      </c>
      <c r="F858" t="s">
        <v>16612</v>
      </c>
      <c r="G858" t="s">
        <v>74</v>
      </c>
      <c r="H858" t="s">
        <v>74</v>
      </c>
      <c r="I858" t="s">
        <v>16613</v>
      </c>
      <c r="J858" t="s">
        <v>989</v>
      </c>
      <c r="K858" t="s">
        <v>74</v>
      </c>
      <c r="L858" t="s">
        <v>74</v>
      </c>
      <c r="M858" t="s">
        <v>78</v>
      </c>
      <c r="N858" t="s">
        <v>108</v>
      </c>
      <c r="O858" t="s">
        <v>74</v>
      </c>
      <c r="P858" t="s">
        <v>74</v>
      </c>
      <c r="Q858" t="s">
        <v>74</v>
      </c>
      <c r="R858" t="s">
        <v>74</v>
      </c>
      <c r="S858" t="s">
        <v>74</v>
      </c>
      <c r="T858" t="s">
        <v>74</v>
      </c>
      <c r="U858" t="s">
        <v>16614</v>
      </c>
      <c r="V858" t="s">
        <v>16615</v>
      </c>
      <c r="W858" t="s">
        <v>16616</v>
      </c>
      <c r="X858" t="s">
        <v>16617</v>
      </c>
      <c r="Y858" t="s">
        <v>16618</v>
      </c>
      <c r="Z858" t="s">
        <v>16619</v>
      </c>
      <c r="AA858" t="s">
        <v>16620</v>
      </c>
      <c r="AB858" t="s">
        <v>16621</v>
      </c>
      <c r="AC858" t="s">
        <v>16622</v>
      </c>
      <c r="AD858" t="s">
        <v>16623</v>
      </c>
      <c r="AE858" t="s">
        <v>16624</v>
      </c>
      <c r="AF858" t="s">
        <v>74</v>
      </c>
      <c r="AG858">
        <v>95</v>
      </c>
      <c r="AH858">
        <v>24</v>
      </c>
      <c r="AI858">
        <v>28</v>
      </c>
      <c r="AJ858">
        <v>3</v>
      </c>
      <c r="AK858">
        <v>27</v>
      </c>
      <c r="AL858" t="s">
        <v>7841</v>
      </c>
      <c r="AM858" t="s">
        <v>1020</v>
      </c>
      <c r="AN858" t="s">
        <v>1021</v>
      </c>
      <c r="AO858" t="s">
        <v>1000</v>
      </c>
      <c r="AP858" t="s">
        <v>74</v>
      </c>
      <c r="AQ858" t="s">
        <v>74</v>
      </c>
      <c r="AR858" t="s">
        <v>1001</v>
      </c>
      <c r="AS858" t="s">
        <v>1002</v>
      </c>
      <c r="AT858" t="s">
        <v>16571</v>
      </c>
      <c r="AU858">
        <v>2019</v>
      </c>
      <c r="AV858">
        <v>9</v>
      </c>
      <c r="AW858" t="s">
        <v>74</v>
      </c>
      <c r="AX858" t="s">
        <v>74</v>
      </c>
      <c r="AY858" t="s">
        <v>74</v>
      </c>
      <c r="AZ858" t="s">
        <v>74</v>
      </c>
      <c r="BA858" t="s">
        <v>74</v>
      </c>
      <c r="BB858" t="s">
        <v>74</v>
      </c>
      <c r="BC858" t="s">
        <v>74</v>
      </c>
      <c r="BD858">
        <v>7488</v>
      </c>
      <c r="BE858" t="s">
        <v>16625</v>
      </c>
      <c r="BF858" t="str">
        <f>HYPERLINK("http://dx.doi.org/10.1038/s41598-019-43960-7","http://dx.doi.org/10.1038/s41598-019-43960-7")</f>
        <v>http://dx.doi.org/10.1038/s41598-019-43960-7</v>
      </c>
      <c r="BG858" t="s">
        <v>74</v>
      </c>
      <c r="BH858" t="s">
        <v>74</v>
      </c>
      <c r="BI858">
        <v>13</v>
      </c>
      <c r="BJ858" t="s">
        <v>1004</v>
      </c>
      <c r="BK858" t="s">
        <v>101</v>
      </c>
      <c r="BL858" t="s">
        <v>1005</v>
      </c>
      <c r="BM858" t="s">
        <v>16626</v>
      </c>
      <c r="BN858">
        <v>31097761</v>
      </c>
      <c r="BO858" t="s">
        <v>313</v>
      </c>
      <c r="BP858" t="s">
        <v>74</v>
      </c>
      <c r="BQ858" t="s">
        <v>74</v>
      </c>
      <c r="BR858" t="s">
        <v>103</v>
      </c>
      <c r="BS858" t="s">
        <v>16627</v>
      </c>
      <c r="BT858" t="str">
        <f>HYPERLINK("https%3A%2F%2Fwww.webofscience.com%2Fwos%2Fwoscc%2Ffull-record%2FWOS:000468026100030","View Full Record in Web of Science")</f>
        <v>View Full Record in Web of Science</v>
      </c>
    </row>
    <row r="859" spans="1:72" x14ac:dyDescent="0.15">
      <c r="A859" t="s">
        <v>72</v>
      </c>
      <c r="B859" t="s">
        <v>16628</v>
      </c>
      <c r="C859" t="s">
        <v>74</v>
      </c>
      <c r="D859" t="s">
        <v>74</v>
      </c>
      <c r="E859" t="s">
        <v>74</v>
      </c>
      <c r="F859" t="s">
        <v>16629</v>
      </c>
      <c r="G859" t="s">
        <v>74</v>
      </c>
      <c r="H859" t="s">
        <v>74</v>
      </c>
      <c r="I859" t="s">
        <v>16630</v>
      </c>
      <c r="J859" t="s">
        <v>989</v>
      </c>
      <c r="K859" t="s">
        <v>74</v>
      </c>
      <c r="L859" t="s">
        <v>74</v>
      </c>
      <c r="M859" t="s">
        <v>78</v>
      </c>
      <c r="N859" t="s">
        <v>108</v>
      </c>
      <c r="O859" t="s">
        <v>74</v>
      </c>
      <c r="P859" t="s">
        <v>74</v>
      </c>
      <c r="Q859" t="s">
        <v>74</v>
      </c>
      <c r="R859" t="s">
        <v>74</v>
      </c>
      <c r="S859" t="s">
        <v>74</v>
      </c>
      <c r="T859" t="s">
        <v>74</v>
      </c>
      <c r="U859" t="s">
        <v>16631</v>
      </c>
      <c r="V859" t="s">
        <v>16632</v>
      </c>
      <c r="W859" t="s">
        <v>16633</v>
      </c>
      <c r="X859" t="s">
        <v>16634</v>
      </c>
      <c r="Y859" t="s">
        <v>13629</v>
      </c>
      <c r="Z859" t="s">
        <v>2614</v>
      </c>
      <c r="AA859" t="s">
        <v>16635</v>
      </c>
      <c r="AB859" t="s">
        <v>16636</v>
      </c>
      <c r="AC859" t="s">
        <v>16637</v>
      </c>
      <c r="AD859" t="s">
        <v>16637</v>
      </c>
      <c r="AE859" t="s">
        <v>16638</v>
      </c>
      <c r="AF859" t="s">
        <v>74</v>
      </c>
      <c r="AG859">
        <v>44</v>
      </c>
      <c r="AH859">
        <v>73</v>
      </c>
      <c r="AI859">
        <v>76</v>
      </c>
      <c r="AJ859">
        <v>0</v>
      </c>
      <c r="AK859">
        <v>27</v>
      </c>
      <c r="AL859" t="s">
        <v>7841</v>
      </c>
      <c r="AM859" t="s">
        <v>1020</v>
      </c>
      <c r="AN859" t="s">
        <v>1021</v>
      </c>
      <c r="AO859" t="s">
        <v>1000</v>
      </c>
      <c r="AP859" t="s">
        <v>74</v>
      </c>
      <c r="AQ859" t="s">
        <v>74</v>
      </c>
      <c r="AR859" t="s">
        <v>1001</v>
      </c>
      <c r="AS859" t="s">
        <v>1002</v>
      </c>
      <c r="AT859" t="s">
        <v>16571</v>
      </c>
      <c r="AU859">
        <v>2019</v>
      </c>
      <c r="AV859">
        <v>9</v>
      </c>
      <c r="AW859" t="s">
        <v>74</v>
      </c>
      <c r="AX859" t="s">
        <v>74</v>
      </c>
      <c r="AY859" t="s">
        <v>74</v>
      </c>
      <c r="AZ859" t="s">
        <v>74</v>
      </c>
      <c r="BA859" t="s">
        <v>74</v>
      </c>
      <c r="BB859" t="s">
        <v>74</v>
      </c>
      <c r="BC859" t="s">
        <v>74</v>
      </c>
      <c r="BD859">
        <v>7102</v>
      </c>
      <c r="BE859" t="s">
        <v>16639</v>
      </c>
      <c r="BF859" t="str">
        <f>HYPERLINK("http://dx.doi.org/10.1038/s41598-019-43375-4","http://dx.doi.org/10.1038/s41598-019-43375-4")</f>
        <v>http://dx.doi.org/10.1038/s41598-019-43375-4</v>
      </c>
      <c r="BG859" t="s">
        <v>74</v>
      </c>
      <c r="BH859" t="s">
        <v>74</v>
      </c>
      <c r="BI859">
        <v>9</v>
      </c>
      <c r="BJ859" t="s">
        <v>1004</v>
      </c>
      <c r="BK859" t="s">
        <v>101</v>
      </c>
      <c r="BL859" t="s">
        <v>1005</v>
      </c>
      <c r="BM859" t="s">
        <v>16640</v>
      </c>
      <c r="BN859">
        <v>31097730</v>
      </c>
      <c r="BO859" t="s">
        <v>313</v>
      </c>
      <c r="BP859" t="s">
        <v>74</v>
      </c>
      <c r="BQ859" t="s">
        <v>74</v>
      </c>
      <c r="BR859" t="s">
        <v>103</v>
      </c>
      <c r="BS859" t="s">
        <v>16641</v>
      </c>
      <c r="BT859" t="str">
        <f>HYPERLINK("https%3A%2F%2Fwww.webofscience.com%2Fwos%2Fwoscc%2Ffull-record%2FWOS:000468025800001","View Full Record in Web of Science")</f>
        <v>View Full Record in Web of Science</v>
      </c>
    </row>
    <row r="860" spans="1:72" x14ac:dyDescent="0.15">
      <c r="A860" t="s">
        <v>72</v>
      </c>
      <c r="B860" t="s">
        <v>16642</v>
      </c>
      <c r="C860" t="s">
        <v>74</v>
      </c>
      <c r="D860" t="s">
        <v>74</v>
      </c>
      <c r="E860" t="s">
        <v>74</v>
      </c>
      <c r="F860" t="s">
        <v>16643</v>
      </c>
      <c r="G860" t="s">
        <v>74</v>
      </c>
      <c r="H860" t="s">
        <v>74</v>
      </c>
      <c r="I860" t="s">
        <v>16644</v>
      </c>
      <c r="J860" t="s">
        <v>2117</v>
      </c>
      <c r="K860" t="s">
        <v>74</v>
      </c>
      <c r="L860" t="s">
        <v>74</v>
      </c>
      <c r="M860" t="s">
        <v>78</v>
      </c>
      <c r="N860" t="s">
        <v>108</v>
      </c>
      <c r="O860" t="s">
        <v>74</v>
      </c>
      <c r="P860" t="s">
        <v>74</v>
      </c>
      <c r="Q860" t="s">
        <v>74</v>
      </c>
      <c r="R860" t="s">
        <v>74</v>
      </c>
      <c r="S860" t="s">
        <v>74</v>
      </c>
      <c r="T860" t="s">
        <v>16645</v>
      </c>
      <c r="U860" t="s">
        <v>16646</v>
      </c>
      <c r="V860" t="s">
        <v>16647</v>
      </c>
      <c r="W860" t="s">
        <v>16648</v>
      </c>
      <c r="X860" t="s">
        <v>16649</v>
      </c>
      <c r="Y860" t="s">
        <v>16650</v>
      </c>
      <c r="Z860" t="s">
        <v>16651</v>
      </c>
      <c r="AA860" t="s">
        <v>16652</v>
      </c>
      <c r="AB860" t="s">
        <v>16653</v>
      </c>
      <c r="AC860" t="s">
        <v>16654</v>
      </c>
      <c r="AD860" t="s">
        <v>16655</v>
      </c>
      <c r="AE860" t="s">
        <v>16656</v>
      </c>
      <c r="AF860" t="s">
        <v>74</v>
      </c>
      <c r="AG860">
        <v>50</v>
      </c>
      <c r="AH860">
        <v>9</v>
      </c>
      <c r="AI860">
        <v>12</v>
      </c>
      <c r="AJ860">
        <v>0</v>
      </c>
      <c r="AK860">
        <v>17</v>
      </c>
      <c r="AL860" t="s">
        <v>638</v>
      </c>
      <c r="AM860" t="s">
        <v>439</v>
      </c>
      <c r="AN860" t="s">
        <v>639</v>
      </c>
      <c r="AO860" t="s">
        <v>2129</v>
      </c>
      <c r="AP860" t="s">
        <v>2130</v>
      </c>
      <c r="AQ860" t="s">
        <v>74</v>
      </c>
      <c r="AR860" t="s">
        <v>2117</v>
      </c>
      <c r="AS860" t="s">
        <v>2131</v>
      </c>
      <c r="AT860" t="s">
        <v>16657</v>
      </c>
      <c r="AU860">
        <v>2019</v>
      </c>
      <c r="AV860">
        <v>506</v>
      </c>
      <c r="AW860" t="s">
        <v>74</v>
      </c>
      <c r="AX860" t="s">
        <v>74</v>
      </c>
      <c r="AY860" t="s">
        <v>74</v>
      </c>
      <c r="AZ860" t="s">
        <v>74</v>
      </c>
      <c r="BA860" t="s">
        <v>74</v>
      </c>
      <c r="BB860">
        <v>60</v>
      </c>
      <c r="BC860">
        <v>69</v>
      </c>
      <c r="BD860" t="s">
        <v>74</v>
      </c>
      <c r="BE860" t="s">
        <v>16658</v>
      </c>
      <c r="BF860" t="str">
        <f>HYPERLINK("http://dx.doi.org/10.1016/j.aquaculture.2019.03.025","http://dx.doi.org/10.1016/j.aquaculture.2019.03.025")</f>
        <v>http://dx.doi.org/10.1016/j.aquaculture.2019.03.025</v>
      </c>
      <c r="BG860" t="s">
        <v>74</v>
      </c>
      <c r="BH860" t="s">
        <v>74</v>
      </c>
      <c r="BI860">
        <v>10</v>
      </c>
      <c r="BJ860" t="s">
        <v>162</v>
      </c>
      <c r="BK860" t="s">
        <v>101</v>
      </c>
      <c r="BL860" t="s">
        <v>162</v>
      </c>
      <c r="BM860" t="s">
        <v>16659</v>
      </c>
      <c r="BN860" t="s">
        <v>74</v>
      </c>
      <c r="BO860" t="s">
        <v>537</v>
      </c>
      <c r="BP860" t="s">
        <v>74</v>
      </c>
      <c r="BQ860" t="s">
        <v>74</v>
      </c>
      <c r="BR860" t="s">
        <v>103</v>
      </c>
      <c r="BS860" t="s">
        <v>16660</v>
      </c>
      <c r="BT860" t="str">
        <f>HYPERLINK("https%3A%2F%2Fwww.webofscience.com%2Fwos%2Fwoscc%2Ffull-record%2FWOS:000471111300008","View Full Record in Web of Science")</f>
        <v>View Full Record in Web of Science</v>
      </c>
    </row>
    <row r="861" spans="1:72" x14ac:dyDescent="0.15">
      <c r="A861" t="s">
        <v>72</v>
      </c>
      <c r="B861" t="s">
        <v>16661</v>
      </c>
      <c r="C861" t="s">
        <v>74</v>
      </c>
      <c r="D861" t="s">
        <v>74</v>
      </c>
      <c r="E861" t="s">
        <v>74</v>
      </c>
      <c r="F861" t="s">
        <v>16662</v>
      </c>
      <c r="G861" t="s">
        <v>74</v>
      </c>
      <c r="H861" t="s">
        <v>74</v>
      </c>
      <c r="I861" t="s">
        <v>16663</v>
      </c>
      <c r="J861" t="s">
        <v>855</v>
      </c>
      <c r="K861" t="s">
        <v>74</v>
      </c>
      <c r="L861" t="s">
        <v>74</v>
      </c>
      <c r="M861" t="s">
        <v>78</v>
      </c>
      <c r="N861" t="s">
        <v>108</v>
      </c>
      <c r="O861" t="s">
        <v>74</v>
      </c>
      <c r="P861" t="s">
        <v>74</v>
      </c>
      <c r="Q861" t="s">
        <v>74</v>
      </c>
      <c r="R861" t="s">
        <v>74</v>
      </c>
      <c r="S861" t="s">
        <v>74</v>
      </c>
      <c r="T861" t="s">
        <v>16664</v>
      </c>
      <c r="U861" t="s">
        <v>16665</v>
      </c>
      <c r="V861" t="s">
        <v>16666</v>
      </c>
      <c r="W861" t="s">
        <v>16667</v>
      </c>
      <c r="X861" t="s">
        <v>16668</v>
      </c>
      <c r="Y861" t="s">
        <v>16669</v>
      </c>
      <c r="Z861" t="s">
        <v>16670</v>
      </c>
      <c r="AA861" t="s">
        <v>16671</v>
      </c>
      <c r="AB861" t="s">
        <v>16672</v>
      </c>
      <c r="AC861" t="s">
        <v>16673</v>
      </c>
      <c r="AD861" t="s">
        <v>16674</v>
      </c>
      <c r="AE861" t="s">
        <v>16675</v>
      </c>
      <c r="AF861" t="s">
        <v>74</v>
      </c>
      <c r="AG861">
        <v>49</v>
      </c>
      <c r="AH861">
        <v>17</v>
      </c>
      <c r="AI861">
        <v>17</v>
      </c>
      <c r="AJ861">
        <v>5</v>
      </c>
      <c r="AK861">
        <v>10</v>
      </c>
      <c r="AL861" t="s">
        <v>868</v>
      </c>
      <c r="AM861" t="s">
        <v>869</v>
      </c>
      <c r="AN861" t="s">
        <v>870</v>
      </c>
      <c r="AO861" t="s">
        <v>74</v>
      </c>
      <c r="AP861" t="s">
        <v>871</v>
      </c>
      <c r="AQ861" t="s">
        <v>74</v>
      </c>
      <c r="AR861" t="s">
        <v>872</v>
      </c>
      <c r="AS861" t="s">
        <v>873</v>
      </c>
      <c r="AT861" t="s">
        <v>16657</v>
      </c>
      <c r="AU861">
        <v>2019</v>
      </c>
      <c r="AV861">
        <v>6</v>
      </c>
      <c r="AW861" t="s">
        <v>74</v>
      </c>
      <c r="AX861" t="s">
        <v>74</v>
      </c>
      <c r="AY861" t="s">
        <v>74</v>
      </c>
      <c r="AZ861" t="s">
        <v>74</v>
      </c>
      <c r="BA861" t="s">
        <v>74</v>
      </c>
      <c r="BB861" t="s">
        <v>74</v>
      </c>
      <c r="BC861" t="s">
        <v>74</v>
      </c>
      <c r="BD861">
        <v>221</v>
      </c>
      <c r="BE861" t="s">
        <v>16676</v>
      </c>
      <c r="BF861" t="str">
        <f>HYPERLINK("http://dx.doi.org/10.3389/fmars.2019.00221","http://dx.doi.org/10.3389/fmars.2019.00221")</f>
        <v>http://dx.doi.org/10.3389/fmars.2019.00221</v>
      </c>
      <c r="BG861" t="s">
        <v>74</v>
      </c>
      <c r="BH861" t="s">
        <v>74</v>
      </c>
      <c r="BI861">
        <v>13</v>
      </c>
      <c r="BJ861" t="s">
        <v>876</v>
      </c>
      <c r="BK861" t="s">
        <v>101</v>
      </c>
      <c r="BL861" t="s">
        <v>877</v>
      </c>
      <c r="BM861" t="s">
        <v>16677</v>
      </c>
      <c r="BN861" t="s">
        <v>74</v>
      </c>
      <c r="BO861" t="s">
        <v>6545</v>
      </c>
      <c r="BP861" t="s">
        <v>74</v>
      </c>
      <c r="BQ861" t="s">
        <v>74</v>
      </c>
      <c r="BR861" t="s">
        <v>103</v>
      </c>
      <c r="BS861" t="s">
        <v>16678</v>
      </c>
      <c r="BT861" t="str">
        <f>HYPERLINK("https%3A%2F%2Fwww.webofscience.com%2Fwos%2Fwoscc%2Ffull-record%2FWOS:000467920700001","View Full Record in Web of Science")</f>
        <v>View Full Record in Web of Science</v>
      </c>
    </row>
    <row r="862" spans="1:72" x14ac:dyDescent="0.15">
      <c r="A862" t="s">
        <v>72</v>
      </c>
      <c r="B862" t="s">
        <v>16679</v>
      </c>
      <c r="C862" t="s">
        <v>74</v>
      </c>
      <c r="D862" t="s">
        <v>74</v>
      </c>
      <c r="E862" t="s">
        <v>74</v>
      </c>
      <c r="F862" t="s">
        <v>16680</v>
      </c>
      <c r="G862" t="s">
        <v>74</v>
      </c>
      <c r="H862" t="s">
        <v>74</v>
      </c>
      <c r="I862" t="s">
        <v>16681</v>
      </c>
      <c r="J862" t="s">
        <v>1496</v>
      </c>
      <c r="K862" t="s">
        <v>74</v>
      </c>
      <c r="L862" t="s">
        <v>74</v>
      </c>
      <c r="M862" t="s">
        <v>78</v>
      </c>
      <c r="N862" t="s">
        <v>108</v>
      </c>
      <c r="O862" t="s">
        <v>74</v>
      </c>
      <c r="P862" t="s">
        <v>74</v>
      </c>
      <c r="Q862" t="s">
        <v>74</v>
      </c>
      <c r="R862" t="s">
        <v>74</v>
      </c>
      <c r="S862" t="s">
        <v>74</v>
      </c>
      <c r="T862" t="s">
        <v>16682</v>
      </c>
      <c r="U862" t="s">
        <v>16683</v>
      </c>
      <c r="V862" t="s">
        <v>16684</v>
      </c>
      <c r="W862" t="s">
        <v>16685</v>
      </c>
      <c r="X862" t="s">
        <v>16686</v>
      </c>
      <c r="Y862" t="s">
        <v>16687</v>
      </c>
      <c r="Z862" t="s">
        <v>4678</v>
      </c>
      <c r="AA862" t="s">
        <v>74</v>
      </c>
      <c r="AB862" t="s">
        <v>74</v>
      </c>
      <c r="AC862" t="s">
        <v>16688</v>
      </c>
      <c r="AD862" t="s">
        <v>16689</v>
      </c>
      <c r="AE862" t="s">
        <v>16690</v>
      </c>
      <c r="AF862" t="s">
        <v>74</v>
      </c>
      <c r="AG862">
        <v>100</v>
      </c>
      <c r="AH862">
        <v>17</v>
      </c>
      <c r="AI862">
        <v>20</v>
      </c>
      <c r="AJ862">
        <v>2</v>
      </c>
      <c r="AK862">
        <v>37</v>
      </c>
      <c r="AL862" t="s">
        <v>868</v>
      </c>
      <c r="AM862" t="s">
        <v>869</v>
      </c>
      <c r="AN862" t="s">
        <v>870</v>
      </c>
      <c r="AO862" t="s">
        <v>1509</v>
      </c>
      <c r="AP862" t="s">
        <v>74</v>
      </c>
      <c r="AQ862" t="s">
        <v>74</v>
      </c>
      <c r="AR862" t="s">
        <v>1510</v>
      </c>
      <c r="AS862" t="s">
        <v>1511</v>
      </c>
      <c r="AT862" t="s">
        <v>16657</v>
      </c>
      <c r="AU862">
        <v>2019</v>
      </c>
      <c r="AV862">
        <v>10</v>
      </c>
      <c r="AW862" t="s">
        <v>74</v>
      </c>
      <c r="AX862" t="s">
        <v>74</v>
      </c>
      <c r="AY862" t="s">
        <v>74</v>
      </c>
      <c r="AZ862" t="s">
        <v>74</v>
      </c>
      <c r="BA862" t="s">
        <v>74</v>
      </c>
      <c r="BB862" t="s">
        <v>74</v>
      </c>
      <c r="BC862" t="s">
        <v>74</v>
      </c>
      <c r="BD862">
        <v>1067</v>
      </c>
      <c r="BE862" t="s">
        <v>16691</v>
      </c>
      <c r="BF862" t="str">
        <f>HYPERLINK("http://dx.doi.org/10.3389/fmicb.2019.01067","http://dx.doi.org/10.3389/fmicb.2019.01067")</f>
        <v>http://dx.doi.org/10.3389/fmicb.2019.01067</v>
      </c>
      <c r="BG862" t="s">
        <v>74</v>
      </c>
      <c r="BH862" t="s">
        <v>74</v>
      </c>
      <c r="BI862">
        <v>16</v>
      </c>
      <c r="BJ862" t="s">
        <v>1514</v>
      </c>
      <c r="BK862" t="s">
        <v>101</v>
      </c>
      <c r="BL862" t="s">
        <v>1514</v>
      </c>
      <c r="BM862" t="s">
        <v>16692</v>
      </c>
      <c r="BN862">
        <v>31156585</v>
      </c>
      <c r="BO862" t="s">
        <v>313</v>
      </c>
      <c r="BP862" t="s">
        <v>74</v>
      </c>
      <c r="BQ862" t="s">
        <v>74</v>
      </c>
      <c r="BR862" t="s">
        <v>103</v>
      </c>
      <c r="BS862" t="s">
        <v>16693</v>
      </c>
      <c r="BT862" t="str">
        <f>HYPERLINK("https%3A%2F%2Fwww.webofscience.com%2Fwos%2Fwoscc%2Ffull-record%2FWOS:000467958000001","View Full Record in Web of Science")</f>
        <v>View Full Record in Web of Science</v>
      </c>
    </row>
    <row r="863" spans="1:72" x14ac:dyDescent="0.15">
      <c r="A863" t="s">
        <v>72</v>
      </c>
      <c r="B863" t="s">
        <v>16694</v>
      </c>
      <c r="C863" t="s">
        <v>74</v>
      </c>
      <c r="D863" t="s">
        <v>74</v>
      </c>
      <c r="E863" t="s">
        <v>74</v>
      </c>
      <c r="F863" t="s">
        <v>16695</v>
      </c>
      <c r="G863" t="s">
        <v>74</v>
      </c>
      <c r="H863" t="s">
        <v>74</v>
      </c>
      <c r="I863" t="s">
        <v>16696</v>
      </c>
      <c r="J863" t="s">
        <v>16697</v>
      </c>
      <c r="K863" t="s">
        <v>74</v>
      </c>
      <c r="L863" t="s">
        <v>74</v>
      </c>
      <c r="M863" t="s">
        <v>78</v>
      </c>
      <c r="N863" t="s">
        <v>79</v>
      </c>
      <c r="O863" t="s">
        <v>74</v>
      </c>
      <c r="P863" t="s">
        <v>74</v>
      </c>
      <c r="Q863" t="s">
        <v>74</v>
      </c>
      <c r="R863" t="s">
        <v>74</v>
      </c>
      <c r="S863" t="s">
        <v>74</v>
      </c>
      <c r="T863" t="s">
        <v>16698</v>
      </c>
      <c r="U863" t="s">
        <v>16699</v>
      </c>
      <c r="V863" t="s">
        <v>16700</v>
      </c>
      <c r="W863" t="s">
        <v>16701</v>
      </c>
      <c r="X863" t="s">
        <v>16702</v>
      </c>
      <c r="Y863" t="s">
        <v>16703</v>
      </c>
      <c r="Z863" t="s">
        <v>16704</v>
      </c>
      <c r="AA863" t="s">
        <v>74</v>
      </c>
      <c r="AB863" t="s">
        <v>16705</v>
      </c>
      <c r="AC863" t="s">
        <v>16706</v>
      </c>
      <c r="AD863" t="s">
        <v>16707</v>
      </c>
      <c r="AE863" t="s">
        <v>16708</v>
      </c>
      <c r="AF863" t="s">
        <v>74</v>
      </c>
      <c r="AG863">
        <v>117</v>
      </c>
      <c r="AH863">
        <v>33</v>
      </c>
      <c r="AI863">
        <v>39</v>
      </c>
      <c r="AJ863">
        <v>2</v>
      </c>
      <c r="AK863">
        <v>17</v>
      </c>
      <c r="AL863" t="s">
        <v>868</v>
      </c>
      <c r="AM863" t="s">
        <v>869</v>
      </c>
      <c r="AN863" t="s">
        <v>870</v>
      </c>
      <c r="AO863" t="s">
        <v>16709</v>
      </c>
      <c r="AP863" t="s">
        <v>74</v>
      </c>
      <c r="AQ863" t="s">
        <v>74</v>
      </c>
      <c r="AR863" t="s">
        <v>16710</v>
      </c>
      <c r="AS863" t="s">
        <v>16711</v>
      </c>
      <c r="AT863" t="s">
        <v>16657</v>
      </c>
      <c r="AU863">
        <v>2019</v>
      </c>
      <c r="AV863">
        <v>10</v>
      </c>
      <c r="AW863" t="s">
        <v>74</v>
      </c>
      <c r="AX863" t="s">
        <v>74</v>
      </c>
      <c r="AY863" t="s">
        <v>74</v>
      </c>
      <c r="AZ863" t="s">
        <v>74</v>
      </c>
      <c r="BA863" t="s">
        <v>74</v>
      </c>
      <c r="BB863" t="s">
        <v>74</v>
      </c>
      <c r="BC863" t="s">
        <v>74</v>
      </c>
      <c r="BD863">
        <v>811</v>
      </c>
      <c r="BE863" t="s">
        <v>16712</v>
      </c>
      <c r="BF863" t="str">
        <f>HYPERLINK("http://dx.doi.org/10.3389/fpsyg.2019.00811","http://dx.doi.org/10.3389/fpsyg.2019.00811")</f>
        <v>http://dx.doi.org/10.3389/fpsyg.2019.00811</v>
      </c>
      <c r="BG863" t="s">
        <v>74</v>
      </c>
      <c r="BH863" t="s">
        <v>74</v>
      </c>
      <c r="BI863">
        <v>21</v>
      </c>
      <c r="BJ863" t="s">
        <v>16713</v>
      </c>
      <c r="BK863" t="s">
        <v>1490</v>
      </c>
      <c r="BL863" t="s">
        <v>16714</v>
      </c>
      <c r="BM863" t="s">
        <v>16715</v>
      </c>
      <c r="BN863">
        <v>31156490</v>
      </c>
      <c r="BO863" t="s">
        <v>313</v>
      </c>
      <c r="BP863" t="s">
        <v>74</v>
      </c>
      <c r="BQ863" t="s">
        <v>74</v>
      </c>
      <c r="BR863" t="s">
        <v>103</v>
      </c>
      <c r="BS863" t="s">
        <v>16716</v>
      </c>
      <c r="BT863" t="str">
        <f>HYPERLINK("https%3A%2F%2Fwww.webofscience.com%2Fwos%2Fwoscc%2Ffull-record%2FWOS:000467962500001","View Full Record in Web of Science")</f>
        <v>View Full Record in Web of Science</v>
      </c>
    </row>
    <row r="864" spans="1:72" x14ac:dyDescent="0.15">
      <c r="A864" t="s">
        <v>72</v>
      </c>
      <c r="B864" t="s">
        <v>16717</v>
      </c>
      <c r="C864" t="s">
        <v>74</v>
      </c>
      <c r="D864" t="s">
        <v>74</v>
      </c>
      <c r="E864" t="s">
        <v>74</v>
      </c>
      <c r="F864" t="s">
        <v>16718</v>
      </c>
      <c r="G864" t="s">
        <v>74</v>
      </c>
      <c r="H864" t="s">
        <v>74</v>
      </c>
      <c r="I864" t="s">
        <v>16719</v>
      </c>
      <c r="J864" t="s">
        <v>1179</v>
      </c>
      <c r="K864" t="s">
        <v>74</v>
      </c>
      <c r="L864" t="s">
        <v>74</v>
      </c>
      <c r="M864" t="s">
        <v>78</v>
      </c>
      <c r="N864" t="s">
        <v>108</v>
      </c>
      <c r="O864" t="s">
        <v>74</v>
      </c>
      <c r="P864" t="s">
        <v>74</v>
      </c>
      <c r="Q864" t="s">
        <v>74</v>
      </c>
      <c r="R864" t="s">
        <v>74</v>
      </c>
      <c r="S864" t="s">
        <v>74</v>
      </c>
      <c r="T864" t="s">
        <v>74</v>
      </c>
      <c r="U864" t="s">
        <v>16720</v>
      </c>
      <c r="V864" t="s">
        <v>16721</v>
      </c>
      <c r="W864" t="s">
        <v>16722</v>
      </c>
      <c r="X864" t="s">
        <v>16723</v>
      </c>
      <c r="Y864" t="s">
        <v>16724</v>
      </c>
      <c r="Z864" t="s">
        <v>16725</v>
      </c>
      <c r="AA864" t="s">
        <v>16726</v>
      </c>
      <c r="AB864" t="s">
        <v>16727</v>
      </c>
      <c r="AC864" t="s">
        <v>16728</v>
      </c>
      <c r="AD864" t="s">
        <v>16728</v>
      </c>
      <c r="AE864" t="s">
        <v>16729</v>
      </c>
      <c r="AF864" t="s">
        <v>74</v>
      </c>
      <c r="AG864">
        <v>78</v>
      </c>
      <c r="AH864">
        <v>13</v>
      </c>
      <c r="AI864">
        <v>14</v>
      </c>
      <c r="AJ864">
        <v>0</v>
      </c>
      <c r="AK864">
        <v>14</v>
      </c>
      <c r="AL864" t="s">
        <v>839</v>
      </c>
      <c r="AM864" t="s">
        <v>840</v>
      </c>
      <c r="AN864" t="s">
        <v>841</v>
      </c>
      <c r="AO864" t="s">
        <v>1191</v>
      </c>
      <c r="AP864" t="s">
        <v>1192</v>
      </c>
      <c r="AQ864" t="s">
        <v>74</v>
      </c>
      <c r="AR864" t="s">
        <v>1193</v>
      </c>
      <c r="AS864" t="s">
        <v>1194</v>
      </c>
      <c r="AT864" t="s">
        <v>16657</v>
      </c>
      <c r="AU864">
        <v>2019</v>
      </c>
      <c r="AV864">
        <v>12</v>
      </c>
      <c r="AW864">
        <v>5</v>
      </c>
      <c r="AX864" t="s">
        <v>74</v>
      </c>
      <c r="AY864" t="s">
        <v>74</v>
      </c>
      <c r="AZ864" t="s">
        <v>74</v>
      </c>
      <c r="BA864" t="s">
        <v>74</v>
      </c>
      <c r="BB864">
        <v>1965</v>
      </c>
      <c r="BC864">
        <v>1990</v>
      </c>
      <c r="BD864" t="s">
        <v>74</v>
      </c>
      <c r="BE864" t="s">
        <v>16730</v>
      </c>
      <c r="BF864" t="str">
        <f>HYPERLINK("http://dx.doi.org/10.5194/gmd-12-1965-2019","http://dx.doi.org/10.5194/gmd-12-1965-2019")</f>
        <v>http://dx.doi.org/10.5194/gmd-12-1965-2019</v>
      </c>
      <c r="BG864" t="s">
        <v>74</v>
      </c>
      <c r="BH864" t="s">
        <v>74</v>
      </c>
      <c r="BI864">
        <v>26</v>
      </c>
      <c r="BJ864" t="s">
        <v>471</v>
      </c>
      <c r="BK864" t="s">
        <v>101</v>
      </c>
      <c r="BL864" t="s">
        <v>472</v>
      </c>
      <c r="BM864" t="s">
        <v>16731</v>
      </c>
      <c r="BN864" t="s">
        <v>74</v>
      </c>
      <c r="BO864" t="s">
        <v>2270</v>
      </c>
      <c r="BP864" t="s">
        <v>74</v>
      </c>
      <c r="BQ864" t="s">
        <v>74</v>
      </c>
      <c r="BR864" t="s">
        <v>103</v>
      </c>
      <c r="BS864" t="s">
        <v>16732</v>
      </c>
      <c r="BT864" t="str">
        <f>HYPERLINK("https%3A%2F%2Fwww.webofscience.com%2Fwos%2Fwoscc%2Ffull-record%2FWOS:000468201400001","View Full Record in Web of Science")</f>
        <v>View Full Record in Web of Science</v>
      </c>
    </row>
    <row r="865" spans="1:72" x14ac:dyDescent="0.15">
      <c r="A865" t="s">
        <v>72</v>
      </c>
      <c r="B865" t="s">
        <v>16733</v>
      </c>
      <c r="C865" t="s">
        <v>74</v>
      </c>
      <c r="D865" t="s">
        <v>74</v>
      </c>
      <c r="E865" t="s">
        <v>74</v>
      </c>
      <c r="F865" t="s">
        <v>16734</v>
      </c>
      <c r="G865" t="s">
        <v>74</v>
      </c>
      <c r="H865" t="s">
        <v>74</v>
      </c>
      <c r="I865" t="s">
        <v>16735</v>
      </c>
      <c r="J865" t="s">
        <v>7627</v>
      </c>
      <c r="K865" t="s">
        <v>74</v>
      </c>
      <c r="L865" t="s">
        <v>74</v>
      </c>
      <c r="M865" t="s">
        <v>78</v>
      </c>
      <c r="N865" t="s">
        <v>108</v>
      </c>
      <c r="O865" t="s">
        <v>74</v>
      </c>
      <c r="P865" t="s">
        <v>74</v>
      </c>
      <c r="Q865" t="s">
        <v>74</v>
      </c>
      <c r="R865" t="s">
        <v>74</v>
      </c>
      <c r="S865" t="s">
        <v>74</v>
      </c>
      <c r="T865" t="s">
        <v>16736</v>
      </c>
      <c r="U865" t="s">
        <v>16737</v>
      </c>
      <c r="V865" t="s">
        <v>16738</v>
      </c>
      <c r="W865" t="s">
        <v>16739</v>
      </c>
      <c r="X865" t="s">
        <v>16740</v>
      </c>
      <c r="Y865" t="s">
        <v>16741</v>
      </c>
      <c r="Z865" t="s">
        <v>16742</v>
      </c>
      <c r="AA865" t="s">
        <v>16743</v>
      </c>
      <c r="AB865" t="s">
        <v>74</v>
      </c>
      <c r="AC865" t="s">
        <v>16744</v>
      </c>
      <c r="AD865" t="s">
        <v>16745</v>
      </c>
      <c r="AE865" t="s">
        <v>16746</v>
      </c>
      <c r="AF865" t="s">
        <v>74</v>
      </c>
      <c r="AG865">
        <v>39</v>
      </c>
      <c r="AH865">
        <v>6</v>
      </c>
      <c r="AI865">
        <v>10</v>
      </c>
      <c r="AJ865">
        <v>1</v>
      </c>
      <c r="AK865">
        <v>48</v>
      </c>
      <c r="AL865" t="s">
        <v>638</v>
      </c>
      <c r="AM865" t="s">
        <v>439</v>
      </c>
      <c r="AN865" t="s">
        <v>639</v>
      </c>
      <c r="AO865" t="s">
        <v>7642</v>
      </c>
      <c r="AP865" t="s">
        <v>7643</v>
      </c>
      <c r="AQ865" t="s">
        <v>74</v>
      </c>
      <c r="AR865" t="s">
        <v>7644</v>
      </c>
      <c r="AS865" t="s">
        <v>7645</v>
      </c>
      <c r="AT865" t="s">
        <v>16657</v>
      </c>
      <c r="AU865">
        <v>2019</v>
      </c>
      <c r="AV865">
        <v>129</v>
      </c>
      <c r="AW865" t="s">
        <v>74</v>
      </c>
      <c r="AX865" t="s">
        <v>74</v>
      </c>
      <c r="AY865" t="s">
        <v>74</v>
      </c>
      <c r="AZ865" t="s">
        <v>74</v>
      </c>
      <c r="BA865" t="s">
        <v>74</v>
      </c>
      <c r="BB865">
        <v>162</v>
      </c>
      <c r="BC865">
        <v>170</v>
      </c>
      <c r="BD865" t="s">
        <v>74</v>
      </c>
      <c r="BE865" t="s">
        <v>16747</v>
      </c>
      <c r="BF865" t="str">
        <f>HYPERLINK("http://dx.doi.org/10.1016/j.ijbiomac.2019.01.204","http://dx.doi.org/10.1016/j.ijbiomac.2019.01.204")</f>
        <v>http://dx.doi.org/10.1016/j.ijbiomac.2019.01.204</v>
      </c>
      <c r="BG865" t="s">
        <v>74</v>
      </c>
      <c r="BH865" t="s">
        <v>74</v>
      </c>
      <c r="BI865">
        <v>9</v>
      </c>
      <c r="BJ865" t="s">
        <v>7647</v>
      </c>
      <c r="BK865" t="s">
        <v>101</v>
      </c>
      <c r="BL865" t="s">
        <v>7648</v>
      </c>
      <c r="BM865" t="s">
        <v>16748</v>
      </c>
      <c r="BN865">
        <v>30710591</v>
      </c>
      <c r="BO865" t="s">
        <v>74</v>
      </c>
      <c r="BP865" t="s">
        <v>74</v>
      </c>
      <c r="BQ865" t="s">
        <v>74</v>
      </c>
      <c r="BR865" t="s">
        <v>103</v>
      </c>
      <c r="BS865" t="s">
        <v>16749</v>
      </c>
      <c r="BT865" t="str">
        <f>HYPERLINK("https%3A%2F%2Fwww.webofscience.com%2Fwos%2Fwoscc%2Ffull-record%2FWOS:000466621200018","View Full Record in Web of Science")</f>
        <v>View Full Record in Web of Science</v>
      </c>
    </row>
    <row r="866" spans="1:72" x14ac:dyDescent="0.15">
      <c r="A866" t="s">
        <v>72</v>
      </c>
      <c r="B866" t="s">
        <v>16750</v>
      </c>
      <c r="C866" t="s">
        <v>74</v>
      </c>
      <c r="D866" t="s">
        <v>74</v>
      </c>
      <c r="E866" t="s">
        <v>74</v>
      </c>
      <c r="F866" t="s">
        <v>16751</v>
      </c>
      <c r="G866" t="s">
        <v>74</v>
      </c>
      <c r="H866" t="s">
        <v>74</v>
      </c>
      <c r="I866" t="s">
        <v>16752</v>
      </c>
      <c r="J866" t="s">
        <v>7627</v>
      </c>
      <c r="K866" t="s">
        <v>74</v>
      </c>
      <c r="L866" t="s">
        <v>74</v>
      </c>
      <c r="M866" t="s">
        <v>78</v>
      </c>
      <c r="N866" t="s">
        <v>108</v>
      </c>
      <c r="O866" t="s">
        <v>74</v>
      </c>
      <c r="P866" t="s">
        <v>74</v>
      </c>
      <c r="Q866" t="s">
        <v>74</v>
      </c>
      <c r="R866" t="s">
        <v>74</v>
      </c>
      <c r="S866" t="s">
        <v>74</v>
      </c>
      <c r="T866" t="s">
        <v>16753</v>
      </c>
      <c r="U866" t="s">
        <v>16754</v>
      </c>
      <c r="V866" t="s">
        <v>16755</v>
      </c>
      <c r="W866" t="s">
        <v>16756</v>
      </c>
      <c r="X866" t="s">
        <v>16757</v>
      </c>
      <c r="Y866" t="s">
        <v>16758</v>
      </c>
      <c r="Z866" t="s">
        <v>16759</v>
      </c>
      <c r="AA866" t="s">
        <v>16760</v>
      </c>
      <c r="AB866" t="s">
        <v>16761</v>
      </c>
      <c r="AC866" t="s">
        <v>16762</v>
      </c>
      <c r="AD866" t="s">
        <v>16763</v>
      </c>
      <c r="AE866" t="s">
        <v>16764</v>
      </c>
      <c r="AF866" t="s">
        <v>74</v>
      </c>
      <c r="AG866">
        <v>55</v>
      </c>
      <c r="AH866">
        <v>8</v>
      </c>
      <c r="AI866">
        <v>8</v>
      </c>
      <c r="AJ866">
        <v>6</v>
      </c>
      <c r="AK866">
        <v>119</v>
      </c>
      <c r="AL866" t="s">
        <v>638</v>
      </c>
      <c r="AM866" t="s">
        <v>439</v>
      </c>
      <c r="AN866" t="s">
        <v>639</v>
      </c>
      <c r="AO866" t="s">
        <v>7642</v>
      </c>
      <c r="AP866" t="s">
        <v>7643</v>
      </c>
      <c r="AQ866" t="s">
        <v>74</v>
      </c>
      <c r="AR866" t="s">
        <v>7644</v>
      </c>
      <c r="AS866" t="s">
        <v>7645</v>
      </c>
      <c r="AT866" t="s">
        <v>16657</v>
      </c>
      <c r="AU866">
        <v>2019</v>
      </c>
      <c r="AV866">
        <v>129</v>
      </c>
      <c r="AW866" t="s">
        <v>74</v>
      </c>
      <c r="AX866" t="s">
        <v>74</v>
      </c>
      <c r="AY866" t="s">
        <v>74</v>
      </c>
      <c r="AZ866" t="s">
        <v>74</v>
      </c>
      <c r="BA866" t="s">
        <v>74</v>
      </c>
      <c r="BB866">
        <v>1047</v>
      </c>
      <c r="BC866">
        <v>1055</v>
      </c>
      <c r="BD866" t="s">
        <v>74</v>
      </c>
      <c r="BE866" t="s">
        <v>16765</v>
      </c>
      <c r="BF866" t="str">
        <f>HYPERLINK("http://dx.doi.org/10.1016/j.ijbiomac.2018.09.103","http://dx.doi.org/10.1016/j.ijbiomac.2018.09.103")</f>
        <v>http://dx.doi.org/10.1016/j.ijbiomac.2018.09.103</v>
      </c>
      <c r="BG866" t="s">
        <v>74</v>
      </c>
      <c r="BH866" t="s">
        <v>74</v>
      </c>
      <c r="BI866">
        <v>9</v>
      </c>
      <c r="BJ866" t="s">
        <v>7647</v>
      </c>
      <c r="BK866" t="s">
        <v>101</v>
      </c>
      <c r="BL866" t="s">
        <v>7648</v>
      </c>
      <c r="BM866" t="s">
        <v>16748</v>
      </c>
      <c r="BN866">
        <v>30240713</v>
      </c>
      <c r="BO866" t="s">
        <v>74</v>
      </c>
      <c r="BP866" t="s">
        <v>74</v>
      </c>
      <c r="BQ866" t="s">
        <v>74</v>
      </c>
      <c r="BR866" t="s">
        <v>103</v>
      </c>
      <c r="BS866" t="s">
        <v>16766</v>
      </c>
      <c r="BT866" t="str">
        <f>HYPERLINK("https%3A%2F%2Fwww.webofscience.com%2Fwos%2Fwoscc%2Ffull-record%2FWOS:000466621200111","View Full Record in Web of Science")</f>
        <v>View Full Record in Web of Science</v>
      </c>
    </row>
    <row r="867" spans="1:72" x14ac:dyDescent="0.15">
      <c r="A867" t="s">
        <v>72</v>
      </c>
      <c r="B867" t="s">
        <v>16767</v>
      </c>
      <c r="C867" t="s">
        <v>74</v>
      </c>
      <c r="D867" t="s">
        <v>74</v>
      </c>
      <c r="E867" t="s">
        <v>74</v>
      </c>
      <c r="F867" t="s">
        <v>16768</v>
      </c>
      <c r="G867" t="s">
        <v>74</v>
      </c>
      <c r="H867" t="s">
        <v>74</v>
      </c>
      <c r="I867" t="s">
        <v>16769</v>
      </c>
      <c r="J867" t="s">
        <v>6209</v>
      </c>
      <c r="K867" t="s">
        <v>74</v>
      </c>
      <c r="L867" t="s">
        <v>74</v>
      </c>
      <c r="M867" t="s">
        <v>78</v>
      </c>
      <c r="N867" t="s">
        <v>108</v>
      </c>
      <c r="O867" t="s">
        <v>74</v>
      </c>
      <c r="P867" t="s">
        <v>74</v>
      </c>
      <c r="Q867" t="s">
        <v>74</v>
      </c>
      <c r="R867" t="s">
        <v>74</v>
      </c>
      <c r="S867" t="s">
        <v>74</v>
      </c>
      <c r="T867" t="s">
        <v>16770</v>
      </c>
      <c r="U867" t="s">
        <v>16771</v>
      </c>
      <c r="V867" t="s">
        <v>16772</v>
      </c>
      <c r="W867" t="s">
        <v>16773</v>
      </c>
      <c r="X867" t="s">
        <v>16774</v>
      </c>
      <c r="Y867" t="s">
        <v>16775</v>
      </c>
      <c r="Z867" t="s">
        <v>16776</v>
      </c>
      <c r="AA867" t="s">
        <v>16777</v>
      </c>
      <c r="AB867" t="s">
        <v>16778</v>
      </c>
      <c r="AC867" t="s">
        <v>74</v>
      </c>
      <c r="AD867" t="s">
        <v>74</v>
      </c>
      <c r="AE867" t="s">
        <v>74</v>
      </c>
      <c r="AF867" t="s">
        <v>74</v>
      </c>
      <c r="AG867">
        <v>92</v>
      </c>
      <c r="AH867">
        <v>5</v>
      </c>
      <c r="AI867">
        <v>5</v>
      </c>
      <c r="AJ867">
        <v>1</v>
      </c>
      <c r="AK867">
        <v>14</v>
      </c>
      <c r="AL867" t="s">
        <v>6222</v>
      </c>
      <c r="AM867" t="s">
        <v>657</v>
      </c>
      <c r="AN867" t="s">
        <v>6223</v>
      </c>
      <c r="AO867" t="s">
        <v>6224</v>
      </c>
      <c r="AP867" t="s">
        <v>74</v>
      </c>
      <c r="AQ867" t="s">
        <v>74</v>
      </c>
      <c r="AR867" t="s">
        <v>6209</v>
      </c>
      <c r="AS867" t="s">
        <v>6225</v>
      </c>
      <c r="AT867" t="s">
        <v>16657</v>
      </c>
      <c r="AU867">
        <v>2019</v>
      </c>
      <c r="AV867">
        <v>7</v>
      </c>
      <c r="AW867" t="s">
        <v>74</v>
      </c>
      <c r="AX867" t="s">
        <v>74</v>
      </c>
      <c r="AY867" t="s">
        <v>74</v>
      </c>
      <c r="AZ867" t="s">
        <v>74</v>
      </c>
      <c r="BA867" t="s">
        <v>74</v>
      </c>
      <c r="BB867" t="s">
        <v>74</v>
      </c>
      <c r="BC867" t="s">
        <v>74</v>
      </c>
      <c r="BD867" t="s">
        <v>16779</v>
      </c>
      <c r="BE867" t="s">
        <v>16780</v>
      </c>
      <c r="BF867" t="str">
        <f>HYPERLINK("http://dx.doi.org/10.7717/peerj.6888","http://dx.doi.org/10.7717/peerj.6888")</f>
        <v>http://dx.doi.org/10.7717/peerj.6888</v>
      </c>
      <c r="BG867" t="s">
        <v>74</v>
      </c>
      <c r="BH867" t="s">
        <v>74</v>
      </c>
      <c r="BI867">
        <v>20</v>
      </c>
      <c r="BJ867" t="s">
        <v>1004</v>
      </c>
      <c r="BK867" t="s">
        <v>101</v>
      </c>
      <c r="BL867" t="s">
        <v>1005</v>
      </c>
      <c r="BM867" t="s">
        <v>16781</v>
      </c>
      <c r="BN867">
        <v>31143535</v>
      </c>
      <c r="BO867" t="s">
        <v>331</v>
      </c>
      <c r="BP867" t="s">
        <v>74</v>
      </c>
      <c r="BQ867" t="s">
        <v>74</v>
      </c>
      <c r="BR867" t="s">
        <v>103</v>
      </c>
      <c r="BS867" t="s">
        <v>16782</v>
      </c>
      <c r="BT867" t="str">
        <f>HYPERLINK("https%3A%2F%2Fwww.webofscience.com%2Fwos%2Fwoscc%2Ffull-record%2FWOS:000468026600005","View Full Record in Web of Science")</f>
        <v>View Full Record in Web of Science</v>
      </c>
    </row>
    <row r="868" spans="1:72" x14ac:dyDescent="0.15">
      <c r="A868" t="s">
        <v>72</v>
      </c>
      <c r="B868" t="s">
        <v>16783</v>
      </c>
      <c r="C868" t="s">
        <v>74</v>
      </c>
      <c r="D868" t="s">
        <v>74</v>
      </c>
      <c r="E868" t="s">
        <v>74</v>
      </c>
      <c r="F868" t="s">
        <v>16784</v>
      </c>
      <c r="G868" t="s">
        <v>74</v>
      </c>
      <c r="H868" t="s">
        <v>74</v>
      </c>
      <c r="I868" t="s">
        <v>16785</v>
      </c>
      <c r="J868" t="s">
        <v>2044</v>
      </c>
      <c r="K868" t="s">
        <v>74</v>
      </c>
      <c r="L868" t="s">
        <v>74</v>
      </c>
      <c r="M868" t="s">
        <v>78</v>
      </c>
      <c r="N868" t="s">
        <v>79</v>
      </c>
      <c r="O868" t="s">
        <v>74</v>
      </c>
      <c r="P868" t="s">
        <v>74</v>
      </c>
      <c r="Q868" t="s">
        <v>74</v>
      </c>
      <c r="R868" t="s">
        <v>74</v>
      </c>
      <c r="S868" t="s">
        <v>74</v>
      </c>
      <c r="T868" t="s">
        <v>16786</v>
      </c>
      <c r="U868" t="s">
        <v>16787</v>
      </c>
      <c r="V868" t="s">
        <v>16788</v>
      </c>
      <c r="W868" t="s">
        <v>16789</v>
      </c>
      <c r="X868" t="s">
        <v>16790</v>
      </c>
      <c r="Y868" t="s">
        <v>16791</v>
      </c>
      <c r="Z868" t="s">
        <v>16792</v>
      </c>
      <c r="AA868" t="s">
        <v>16793</v>
      </c>
      <c r="AB868" t="s">
        <v>16794</v>
      </c>
      <c r="AC868" t="s">
        <v>74</v>
      </c>
      <c r="AD868" t="s">
        <v>74</v>
      </c>
      <c r="AE868" t="s">
        <v>74</v>
      </c>
      <c r="AF868" t="s">
        <v>74</v>
      </c>
      <c r="AG868">
        <v>68</v>
      </c>
      <c r="AH868">
        <v>55</v>
      </c>
      <c r="AI868">
        <v>59</v>
      </c>
      <c r="AJ868">
        <v>3</v>
      </c>
      <c r="AK868">
        <v>20</v>
      </c>
      <c r="AL868" t="s">
        <v>92</v>
      </c>
      <c r="AM868" t="s">
        <v>93</v>
      </c>
      <c r="AN868" t="s">
        <v>94</v>
      </c>
      <c r="AO868" t="s">
        <v>2057</v>
      </c>
      <c r="AP868" t="s">
        <v>74</v>
      </c>
      <c r="AQ868" t="s">
        <v>74</v>
      </c>
      <c r="AR868" t="s">
        <v>2058</v>
      </c>
      <c r="AS868" t="s">
        <v>2059</v>
      </c>
      <c r="AT868" t="s">
        <v>16657</v>
      </c>
      <c r="AU868">
        <v>2019</v>
      </c>
      <c r="AV868">
        <v>212</v>
      </c>
      <c r="AW868" t="s">
        <v>74</v>
      </c>
      <c r="AX868" t="s">
        <v>74</v>
      </c>
      <c r="AY868" t="s">
        <v>74</v>
      </c>
      <c r="AZ868" t="s">
        <v>74</v>
      </c>
      <c r="BA868" t="s">
        <v>74</v>
      </c>
      <c r="BB868">
        <v>92</v>
      </c>
      <c r="BC868">
        <v>107</v>
      </c>
      <c r="BD868" t="s">
        <v>74</v>
      </c>
      <c r="BE868" t="s">
        <v>16795</v>
      </c>
      <c r="BF868" t="str">
        <f>HYPERLINK("http://dx.doi.org/10.1016/j.quascirev.2019.03.031","http://dx.doi.org/10.1016/j.quascirev.2019.03.031")</f>
        <v>http://dx.doi.org/10.1016/j.quascirev.2019.03.031</v>
      </c>
      <c r="BG868" t="s">
        <v>74</v>
      </c>
      <c r="BH868" t="s">
        <v>74</v>
      </c>
      <c r="BI868">
        <v>16</v>
      </c>
      <c r="BJ868" t="s">
        <v>310</v>
      </c>
      <c r="BK868" t="s">
        <v>101</v>
      </c>
      <c r="BL868" t="s">
        <v>311</v>
      </c>
      <c r="BM868" t="s">
        <v>16796</v>
      </c>
      <c r="BN868" t="s">
        <v>74</v>
      </c>
      <c r="BO868" t="s">
        <v>74</v>
      </c>
      <c r="BP868" t="s">
        <v>74</v>
      </c>
      <c r="BQ868" t="s">
        <v>74</v>
      </c>
      <c r="BR868" t="s">
        <v>103</v>
      </c>
      <c r="BS868" t="s">
        <v>16797</v>
      </c>
      <c r="BT868" t="str">
        <f>HYPERLINK("https%3A%2F%2Fwww.webofscience.com%2Fwos%2Fwoscc%2Ffull-record%2FWOS:000468707400008","View Full Record in Web of Science")</f>
        <v>View Full Record in Web of Science</v>
      </c>
    </row>
    <row r="869" spans="1:72" x14ac:dyDescent="0.15">
      <c r="A869" t="s">
        <v>72</v>
      </c>
      <c r="B869" t="s">
        <v>16798</v>
      </c>
      <c r="C869" t="s">
        <v>74</v>
      </c>
      <c r="D869" t="s">
        <v>74</v>
      </c>
      <c r="E869" t="s">
        <v>74</v>
      </c>
      <c r="F869" t="s">
        <v>16799</v>
      </c>
      <c r="G869" t="s">
        <v>74</v>
      </c>
      <c r="H869" t="s">
        <v>74</v>
      </c>
      <c r="I869" t="s">
        <v>16800</v>
      </c>
      <c r="J869" t="s">
        <v>2044</v>
      </c>
      <c r="K869" t="s">
        <v>74</v>
      </c>
      <c r="L869" t="s">
        <v>74</v>
      </c>
      <c r="M869" t="s">
        <v>78</v>
      </c>
      <c r="N869" t="s">
        <v>108</v>
      </c>
      <c r="O869" t="s">
        <v>74</v>
      </c>
      <c r="P869" t="s">
        <v>74</v>
      </c>
      <c r="Q869" t="s">
        <v>74</v>
      </c>
      <c r="R869" t="s">
        <v>74</v>
      </c>
      <c r="S869" t="s">
        <v>74</v>
      </c>
      <c r="T869" t="s">
        <v>16801</v>
      </c>
      <c r="U869" t="s">
        <v>16802</v>
      </c>
      <c r="V869" t="s">
        <v>16803</v>
      </c>
      <c r="W869" t="s">
        <v>16804</v>
      </c>
      <c r="X869" t="s">
        <v>15351</v>
      </c>
      <c r="Y869" t="s">
        <v>16805</v>
      </c>
      <c r="Z869" t="s">
        <v>16806</v>
      </c>
      <c r="AA869" t="s">
        <v>16807</v>
      </c>
      <c r="AB869" t="s">
        <v>16808</v>
      </c>
      <c r="AC869" t="s">
        <v>16809</v>
      </c>
      <c r="AD869" t="s">
        <v>16810</v>
      </c>
      <c r="AE869" t="s">
        <v>16811</v>
      </c>
      <c r="AF869" t="s">
        <v>74</v>
      </c>
      <c r="AG869">
        <v>46</v>
      </c>
      <c r="AH869">
        <v>22</v>
      </c>
      <c r="AI869">
        <v>23</v>
      </c>
      <c r="AJ869">
        <v>0</v>
      </c>
      <c r="AK869">
        <v>0</v>
      </c>
      <c r="AL869" t="s">
        <v>92</v>
      </c>
      <c r="AM869" t="s">
        <v>93</v>
      </c>
      <c r="AN869" t="s">
        <v>94</v>
      </c>
      <c r="AO869" t="s">
        <v>2057</v>
      </c>
      <c r="AP869" t="s">
        <v>74</v>
      </c>
      <c r="AQ869" t="s">
        <v>74</v>
      </c>
      <c r="AR869" t="s">
        <v>2058</v>
      </c>
      <c r="AS869" t="s">
        <v>2059</v>
      </c>
      <c r="AT869" t="s">
        <v>16657</v>
      </c>
      <c r="AU869">
        <v>2019</v>
      </c>
      <c r="AV869">
        <v>212</v>
      </c>
      <c r="AW869" t="s">
        <v>74</v>
      </c>
      <c r="AX869" t="s">
        <v>74</v>
      </c>
      <c r="AY869" t="s">
        <v>74</v>
      </c>
      <c r="AZ869" t="s">
        <v>74</v>
      </c>
      <c r="BA869" t="s">
        <v>74</v>
      </c>
      <c r="BB869">
        <v>206</v>
      </c>
      <c r="BC869">
        <v>212</v>
      </c>
      <c r="BD869" t="s">
        <v>74</v>
      </c>
      <c r="BE869" t="s">
        <v>16812</v>
      </c>
      <c r="BF869" t="str">
        <f>HYPERLINK("http://dx.doi.org/10.1016/j.quascirev.2019.03.012","http://dx.doi.org/10.1016/j.quascirev.2019.03.012")</f>
        <v>http://dx.doi.org/10.1016/j.quascirev.2019.03.012</v>
      </c>
      <c r="BG869" t="s">
        <v>74</v>
      </c>
      <c r="BH869" t="s">
        <v>74</v>
      </c>
      <c r="BI869">
        <v>7</v>
      </c>
      <c r="BJ869" t="s">
        <v>310</v>
      </c>
      <c r="BK869" t="s">
        <v>101</v>
      </c>
      <c r="BL869" t="s">
        <v>311</v>
      </c>
      <c r="BM869" t="s">
        <v>16796</v>
      </c>
      <c r="BN869" t="s">
        <v>74</v>
      </c>
      <c r="BO869" t="s">
        <v>16813</v>
      </c>
      <c r="BP869" t="s">
        <v>74</v>
      </c>
      <c r="BQ869" t="s">
        <v>74</v>
      </c>
      <c r="BR869" t="s">
        <v>103</v>
      </c>
      <c r="BS869" t="s">
        <v>16814</v>
      </c>
      <c r="BT869" t="str">
        <f>HYPERLINK("https%3A%2F%2Fwww.webofscience.com%2Fwos%2Fwoscc%2Ffull-record%2FWOS:000468707400017","View Full Record in Web of Science")</f>
        <v>View Full Record in Web of Science</v>
      </c>
    </row>
    <row r="870" spans="1:72" x14ac:dyDescent="0.15">
      <c r="A870" t="s">
        <v>72</v>
      </c>
      <c r="B870" t="s">
        <v>16815</v>
      </c>
      <c r="C870" t="s">
        <v>74</v>
      </c>
      <c r="D870" t="s">
        <v>74</v>
      </c>
      <c r="E870" t="s">
        <v>74</v>
      </c>
      <c r="F870" t="s">
        <v>16816</v>
      </c>
      <c r="G870" t="s">
        <v>74</v>
      </c>
      <c r="H870" t="s">
        <v>74</v>
      </c>
      <c r="I870" t="s">
        <v>16817</v>
      </c>
      <c r="J870" t="s">
        <v>519</v>
      </c>
      <c r="K870" t="s">
        <v>74</v>
      </c>
      <c r="L870" t="s">
        <v>74</v>
      </c>
      <c r="M870" t="s">
        <v>78</v>
      </c>
      <c r="N870" t="s">
        <v>108</v>
      </c>
      <c r="O870" t="s">
        <v>74</v>
      </c>
      <c r="P870" t="s">
        <v>74</v>
      </c>
      <c r="Q870" t="s">
        <v>74</v>
      </c>
      <c r="R870" t="s">
        <v>74</v>
      </c>
      <c r="S870" t="s">
        <v>74</v>
      </c>
      <c r="T870" t="s">
        <v>16818</v>
      </c>
      <c r="U870" t="s">
        <v>16819</v>
      </c>
      <c r="V870" t="s">
        <v>16820</v>
      </c>
      <c r="W870" t="s">
        <v>16821</v>
      </c>
      <c r="X870" t="s">
        <v>16822</v>
      </c>
      <c r="Y870" t="s">
        <v>16823</v>
      </c>
      <c r="Z870" t="s">
        <v>16824</v>
      </c>
      <c r="AA870" t="s">
        <v>16825</v>
      </c>
      <c r="AB870" t="s">
        <v>16826</v>
      </c>
      <c r="AC870" t="s">
        <v>16827</v>
      </c>
      <c r="AD870" t="s">
        <v>16828</v>
      </c>
      <c r="AE870" t="s">
        <v>16829</v>
      </c>
      <c r="AF870" t="s">
        <v>74</v>
      </c>
      <c r="AG870">
        <v>44</v>
      </c>
      <c r="AH870">
        <v>13</v>
      </c>
      <c r="AI870">
        <v>13</v>
      </c>
      <c r="AJ870">
        <v>1</v>
      </c>
      <c r="AK870">
        <v>8</v>
      </c>
      <c r="AL870" t="s">
        <v>438</v>
      </c>
      <c r="AM870" t="s">
        <v>439</v>
      </c>
      <c r="AN870" t="s">
        <v>440</v>
      </c>
      <c r="AO870" t="s">
        <v>531</v>
      </c>
      <c r="AP870" t="s">
        <v>532</v>
      </c>
      <c r="AQ870" t="s">
        <v>74</v>
      </c>
      <c r="AR870" t="s">
        <v>533</v>
      </c>
      <c r="AS870" t="s">
        <v>534</v>
      </c>
      <c r="AT870" t="s">
        <v>16657</v>
      </c>
      <c r="AU870">
        <v>2019</v>
      </c>
      <c r="AV870">
        <v>514</v>
      </c>
      <c r="AW870" t="s">
        <v>74</v>
      </c>
      <c r="AX870" t="s">
        <v>74</v>
      </c>
      <c r="AY870" t="s">
        <v>74</v>
      </c>
      <c r="AZ870" t="s">
        <v>74</v>
      </c>
      <c r="BA870" t="s">
        <v>74</v>
      </c>
      <c r="BB870">
        <v>37</v>
      </c>
      <c r="BC870">
        <v>47</v>
      </c>
      <c r="BD870" t="s">
        <v>74</v>
      </c>
      <c r="BE870" t="s">
        <v>16830</v>
      </c>
      <c r="BF870" t="str">
        <f>HYPERLINK("http://dx.doi.org/10.1016/j.epsl.2019.03.004","http://dx.doi.org/10.1016/j.epsl.2019.03.004")</f>
        <v>http://dx.doi.org/10.1016/j.epsl.2019.03.004</v>
      </c>
      <c r="BG870" t="s">
        <v>74</v>
      </c>
      <c r="BH870" t="s">
        <v>74</v>
      </c>
      <c r="BI870">
        <v>11</v>
      </c>
      <c r="BJ870" t="s">
        <v>190</v>
      </c>
      <c r="BK870" t="s">
        <v>101</v>
      </c>
      <c r="BL870" t="s">
        <v>190</v>
      </c>
      <c r="BM870" t="s">
        <v>16831</v>
      </c>
      <c r="BN870" t="s">
        <v>74</v>
      </c>
      <c r="BO870" t="s">
        <v>579</v>
      </c>
      <c r="BP870" t="s">
        <v>74</v>
      </c>
      <c r="BQ870" t="s">
        <v>74</v>
      </c>
      <c r="BR870" t="s">
        <v>103</v>
      </c>
      <c r="BS870" t="s">
        <v>16832</v>
      </c>
      <c r="BT870" t="str">
        <f>HYPERLINK("https%3A%2F%2Fwww.webofscience.com%2Fwos%2Fwoscc%2Ffull-record%2FWOS:000466054900004","View Full Record in Web of Science")</f>
        <v>View Full Record in Web of Science</v>
      </c>
    </row>
    <row r="871" spans="1:72" x14ac:dyDescent="0.15">
      <c r="A871" t="s">
        <v>72</v>
      </c>
      <c r="B871" t="s">
        <v>16833</v>
      </c>
      <c r="C871" t="s">
        <v>74</v>
      </c>
      <c r="D871" t="s">
        <v>74</v>
      </c>
      <c r="E871" t="s">
        <v>74</v>
      </c>
      <c r="F871" t="s">
        <v>16834</v>
      </c>
      <c r="G871" t="s">
        <v>74</v>
      </c>
      <c r="H871" t="s">
        <v>74</v>
      </c>
      <c r="I871" t="s">
        <v>16835</v>
      </c>
      <c r="J871" t="s">
        <v>519</v>
      </c>
      <c r="K871" t="s">
        <v>74</v>
      </c>
      <c r="L871" t="s">
        <v>74</v>
      </c>
      <c r="M871" t="s">
        <v>78</v>
      </c>
      <c r="N871" t="s">
        <v>108</v>
      </c>
      <c r="O871" t="s">
        <v>74</v>
      </c>
      <c r="P871" t="s">
        <v>74</v>
      </c>
      <c r="Q871" t="s">
        <v>74</v>
      </c>
      <c r="R871" t="s">
        <v>74</v>
      </c>
      <c r="S871" t="s">
        <v>74</v>
      </c>
      <c r="T871" t="s">
        <v>16836</v>
      </c>
      <c r="U871" t="s">
        <v>16837</v>
      </c>
      <c r="V871" t="s">
        <v>16838</v>
      </c>
      <c r="W871" t="s">
        <v>16839</v>
      </c>
      <c r="X871" t="s">
        <v>16840</v>
      </c>
      <c r="Y871" t="s">
        <v>16841</v>
      </c>
      <c r="Z871" t="s">
        <v>16842</v>
      </c>
      <c r="AA871" t="s">
        <v>16843</v>
      </c>
      <c r="AB871" t="s">
        <v>16844</v>
      </c>
      <c r="AC871" t="s">
        <v>16845</v>
      </c>
      <c r="AD871" t="s">
        <v>16845</v>
      </c>
      <c r="AE871" t="s">
        <v>16846</v>
      </c>
      <c r="AF871" t="s">
        <v>74</v>
      </c>
      <c r="AG871">
        <v>53</v>
      </c>
      <c r="AH871">
        <v>29</v>
      </c>
      <c r="AI871">
        <v>33</v>
      </c>
      <c r="AJ871">
        <v>5</v>
      </c>
      <c r="AK871">
        <v>55</v>
      </c>
      <c r="AL871" t="s">
        <v>638</v>
      </c>
      <c r="AM871" t="s">
        <v>439</v>
      </c>
      <c r="AN871" t="s">
        <v>639</v>
      </c>
      <c r="AO871" t="s">
        <v>531</v>
      </c>
      <c r="AP871" t="s">
        <v>532</v>
      </c>
      <c r="AQ871" t="s">
        <v>74</v>
      </c>
      <c r="AR871" t="s">
        <v>533</v>
      </c>
      <c r="AS871" t="s">
        <v>534</v>
      </c>
      <c r="AT871" t="s">
        <v>16657</v>
      </c>
      <c r="AU871">
        <v>2019</v>
      </c>
      <c r="AV871">
        <v>514</v>
      </c>
      <c r="AW871" t="s">
        <v>74</v>
      </c>
      <c r="AX871" t="s">
        <v>74</v>
      </c>
      <c r="AY871" t="s">
        <v>74</v>
      </c>
      <c r="AZ871" t="s">
        <v>74</v>
      </c>
      <c r="BA871" t="s">
        <v>74</v>
      </c>
      <c r="BB871">
        <v>84</v>
      </c>
      <c r="BC871">
        <v>95</v>
      </c>
      <c r="BD871" t="s">
        <v>74</v>
      </c>
      <c r="BE871" t="s">
        <v>16847</v>
      </c>
      <c r="BF871" t="str">
        <f>HYPERLINK("http://dx.doi.org/10.1016/j.epsl.2019.02.031","http://dx.doi.org/10.1016/j.epsl.2019.02.031")</f>
        <v>http://dx.doi.org/10.1016/j.epsl.2019.02.031</v>
      </c>
      <c r="BG871" t="s">
        <v>74</v>
      </c>
      <c r="BH871" t="s">
        <v>74</v>
      </c>
      <c r="BI871">
        <v>12</v>
      </c>
      <c r="BJ871" t="s">
        <v>190</v>
      </c>
      <c r="BK871" t="s">
        <v>101</v>
      </c>
      <c r="BL871" t="s">
        <v>190</v>
      </c>
      <c r="BM871" t="s">
        <v>16831</v>
      </c>
      <c r="BN871" t="s">
        <v>74</v>
      </c>
      <c r="BO871" t="s">
        <v>74</v>
      </c>
      <c r="BP871" t="s">
        <v>74</v>
      </c>
      <c r="BQ871" t="s">
        <v>74</v>
      </c>
      <c r="BR871" t="s">
        <v>103</v>
      </c>
      <c r="BS871" t="s">
        <v>16848</v>
      </c>
      <c r="BT871" t="str">
        <f>HYPERLINK("https%3A%2F%2Fwww.webofscience.com%2Fwos%2Fwoscc%2Ffull-record%2FWOS:000466054900008","View Full Record in Web of Science")</f>
        <v>View Full Record in Web of Science</v>
      </c>
    </row>
    <row r="872" spans="1:72" x14ac:dyDescent="0.15">
      <c r="A872" t="s">
        <v>72</v>
      </c>
      <c r="B872" t="s">
        <v>16849</v>
      </c>
      <c r="C872" t="s">
        <v>74</v>
      </c>
      <c r="D872" t="s">
        <v>74</v>
      </c>
      <c r="E872" t="s">
        <v>74</v>
      </c>
      <c r="F872" t="s">
        <v>16850</v>
      </c>
      <c r="G872" t="s">
        <v>74</v>
      </c>
      <c r="H872" t="s">
        <v>74</v>
      </c>
      <c r="I872" t="s">
        <v>16851</v>
      </c>
      <c r="J872" t="s">
        <v>989</v>
      </c>
      <c r="K872" t="s">
        <v>74</v>
      </c>
      <c r="L872" t="s">
        <v>74</v>
      </c>
      <c r="M872" t="s">
        <v>78</v>
      </c>
      <c r="N872" t="s">
        <v>108</v>
      </c>
      <c r="O872" t="s">
        <v>74</v>
      </c>
      <c r="P872" t="s">
        <v>74</v>
      </c>
      <c r="Q872" t="s">
        <v>74</v>
      </c>
      <c r="R872" t="s">
        <v>74</v>
      </c>
      <c r="S872" t="s">
        <v>74</v>
      </c>
      <c r="T872" t="s">
        <v>74</v>
      </c>
      <c r="U872" t="s">
        <v>16852</v>
      </c>
      <c r="V872" t="s">
        <v>16853</v>
      </c>
      <c r="W872" t="s">
        <v>16854</v>
      </c>
      <c r="X872" t="s">
        <v>16855</v>
      </c>
      <c r="Y872" t="s">
        <v>16856</v>
      </c>
      <c r="Z872" t="s">
        <v>16857</v>
      </c>
      <c r="AA872" t="s">
        <v>16858</v>
      </c>
      <c r="AB872" t="s">
        <v>16859</v>
      </c>
      <c r="AC872" t="s">
        <v>16860</v>
      </c>
      <c r="AD872" t="s">
        <v>16861</v>
      </c>
      <c r="AE872" t="s">
        <v>16862</v>
      </c>
      <c r="AF872" t="s">
        <v>74</v>
      </c>
      <c r="AG872">
        <v>67</v>
      </c>
      <c r="AH872">
        <v>33</v>
      </c>
      <c r="AI872">
        <v>38</v>
      </c>
      <c r="AJ872">
        <v>3</v>
      </c>
      <c r="AK872">
        <v>33</v>
      </c>
      <c r="AL872" t="s">
        <v>1019</v>
      </c>
      <c r="AM872" t="s">
        <v>1020</v>
      </c>
      <c r="AN872" t="s">
        <v>1021</v>
      </c>
      <c r="AO872" t="s">
        <v>1000</v>
      </c>
      <c r="AP872" t="s">
        <v>74</v>
      </c>
      <c r="AQ872" t="s">
        <v>74</v>
      </c>
      <c r="AR872" t="s">
        <v>1001</v>
      </c>
      <c r="AS872" t="s">
        <v>1002</v>
      </c>
      <c r="AT872" t="s">
        <v>16657</v>
      </c>
      <c r="AU872">
        <v>2019</v>
      </c>
      <c r="AV872">
        <v>9</v>
      </c>
      <c r="AW872" t="s">
        <v>74</v>
      </c>
      <c r="AX872" t="s">
        <v>74</v>
      </c>
      <c r="AY872" t="s">
        <v>74</v>
      </c>
      <c r="AZ872" t="s">
        <v>74</v>
      </c>
      <c r="BA872" t="s">
        <v>74</v>
      </c>
      <c r="BB872" t="s">
        <v>74</v>
      </c>
      <c r="BC872" t="s">
        <v>74</v>
      </c>
      <c r="BD872">
        <v>7455</v>
      </c>
      <c r="BE872" t="s">
        <v>16863</v>
      </c>
      <c r="BF872" t="str">
        <f>HYPERLINK("http://dx.doi.org/10.1038/s41598-019-43939-4","http://dx.doi.org/10.1038/s41598-019-43939-4")</f>
        <v>http://dx.doi.org/10.1038/s41598-019-43939-4</v>
      </c>
      <c r="BG872" t="s">
        <v>74</v>
      </c>
      <c r="BH872" t="s">
        <v>74</v>
      </c>
      <c r="BI872">
        <v>13</v>
      </c>
      <c r="BJ872" t="s">
        <v>1004</v>
      </c>
      <c r="BK872" t="s">
        <v>101</v>
      </c>
      <c r="BL872" t="s">
        <v>1005</v>
      </c>
      <c r="BM872" t="s">
        <v>16864</v>
      </c>
      <c r="BN872">
        <v>31092869</v>
      </c>
      <c r="BO872" t="s">
        <v>1368</v>
      </c>
      <c r="BP872" t="s">
        <v>74</v>
      </c>
      <c r="BQ872" t="s">
        <v>74</v>
      </c>
      <c r="BR872" t="s">
        <v>103</v>
      </c>
      <c r="BS872" t="s">
        <v>16865</v>
      </c>
      <c r="BT872" t="str">
        <f>HYPERLINK("https%3A%2F%2Fwww.webofscience.com%2Fwos%2Fwoscc%2Ffull-record%2FWOS:000468025300051","View Full Record in Web of Science")</f>
        <v>View Full Record in Web of Science</v>
      </c>
    </row>
    <row r="873" spans="1:72" x14ac:dyDescent="0.15">
      <c r="A873" t="s">
        <v>72</v>
      </c>
      <c r="B873" t="s">
        <v>16866</v>
      </c>
      <c r="C873" t="s">
        <v>74</v>
      </c>
      <c r="D873" t="s">
        <v>74</v>
      </c>
      <c r="E873" t="s">
        <v>74</v>
      </c>
      <c r="F873" t="s">
        <v>16867</v>
      </c>
      <c r="G873" t="s">
        <v>74</v>
      </c>
      <c r="H873" t="s">
        <v>74</v>
      </c>
      <c r="I873" t="s">
        <v>16868</v>
      </c>
      <c r="J873" t="s">
        <v>16869</v>
      </c>
      <c r="K873" t="s">
        <v>74</v>
      </c>
      <c r="L873" t="s">
        <v>74</v>
      </c>
      <c r="M873" t="s">
        <v>78</v>
      </c>
      <c r="N873" t="s">
        <v>108</v>
      </c>
      <c r="O873" t="s">
        <v>74</v>
      </c>
      <c r="P873" t="s">
        <v>74</v>
      </c>
      <c r="Q873" t="s">
        <v>74</v>
      </c>
      <c r="R873" t="s">
        <v>74</v>
      </c>
      <c r="S873" t="s">
        <v>74</v>
      </c>
      <c r="T873" t="s">
        <v>16870</v>
      </c>
      <c r="U873" t="s">
        <v>16871</v>
      </c>
      <c r="V873" t="s">
        <v>16872</v>
      </c>
      <c r="W873" t="s">
        <v>16873</v>
      </c>
      <c r="X873" t="s">
        <v>16874</v>
      </c>
      <c r="Y873" t="s">
        <v>16875</v>
      </c>
      <c r="Z873" t="s">
        <v>16876</v>
      </c>
      <c r="AA873" t="s">
        <v>5155</v>
      </c>
      <c r="AB873" t="s">
        <v>5156</v>
      </c>
      <c r="AC873" t="s">
        <v>16877</v>
      </c>
      <c r="AD873" t="s">
        <v>16878</v>
      </c>
      <c r="AE873" t="s">
        <v>16879</v>
      </c>
      <c r="AF873" t="s">
        <v>74</v>
      </c>
      <c r="AG873">
        <v>84</v>
      </c>
      <c r="AH873">
        <v>39</v>
      </c>
      <c r="AI873">
        <v>41</v>
      </c>
      <c r="AJ873">
        <v>1</v>
      </c>
      <c r="AK873">
        <v>75</v>
      </c>
      <c r="AL873" t="s">
        <v>438</v>
      </c>
      <c r="AM873" t="s">
        <v>439</v>
      </c>
      <c r="AN873" t="s">
        <v>440</v>
      </c>
      <c r="AO873" t="s">
        <v>16880</v>
      </c>
      <c r="AP873" t="s">
        <v>16881</v>
      </c>
      <c r="AQ873" t="s">
        <v>74</v>
      </c>
      <c r="AR873" t="s">
        <v>16869</v>
      </c>
      <c r="AS873" t="s">
        <v>16882</v>
      </c>
      <c r="AT873" t="s">
        <v>16657</v>
      </c>
      <c r="AU873">
        <v>2019</v>
      </c>
      <c r="AV873">
        <v>696</v>
      </c>
      <c r="AW873" t="s">
        <v>74</v>
      </c>
      <c r="AX873" t="s">
        <v>74</v>
      </c>
      <c r="AY873" t="s">
        <v>74</v>
      </c>
      <c r="AZ873" t="s">
        <v>74</v>
      </c>
      <c r="BA873" t="s">
        <v>74</v>
      </c>
      <c r="BB873">
        <v>122</v>
      </c>
      <c r="BC873">
        <v>134</v>
      </c>
      <c r="BD873" t="s">
        <v>74</v>
      </c>
      <c r="BE873" t="s">
        <v>16883</v>
      </c>
      <c r="BF873" t="str">
        <f>HYPERLINK("http://dx.doi.org/10.1016/j.gene.2019.02.037","http://dx.doi.org/10.1016/j.gene.2019.02.037")</f>
        <v>http://dx.doi.org/10.1016/j.gene.2019.02.037</v>
      </c>
      <c r="BG873" t="s">
        <v>74</v>
      </c>
      <c r="BH873" t="s">
        <v>74</v>
      </c>
      <c r="BI873">
        <v>13</v>
      </c>
      <c r="BJ873" t="s">
        <v>8224</v>
      </c>
      <c r="BK873" t="s">
        <v>101</v>
      </c>
      <c r="BL873" t="s">
        <v>8224</v>
      </c>
      <c r="BM873" t="s">
        <v>16884</v>
      </c>
      <c r="BN873">
        <v>30790651</v>
      </c>
      <c r="BO873" t="s">
        <v>74</v>
      </c>
      <c r="BP873" t="s">
        <v>74</v>
      </c>
      <c r="BQ873" t="s">
        <v>74</v>
      </c>
      <c r="BR873" t="s">
        <v>103</v>
      </c>
      <c r="BS873" t="s">
        <v>16885</v>
      </c>
      <c r="BT873" t="str">
        <f>HYPERLINK("https%3A%2F%2Fwww.webofscience.com%2Fwos%2Fwoscc%2Ffull-record%2FWOS:000463277600016","View Full Record in Web of Science")</f>
        <v>View Full Record in Web of Science</v>
      </c>
    </row>
    <row r="874" spans="1:72" x14ac:dyDescent="0.15">
      <c r="A874" t="s">
        <v>72</v>
      </c>
      <c r="B874" t="s">
        <v>16886</v>
      </c>
      <c r="C874" t="s">
        <v>74</v>
      </c>
      <c r="D874" t="s">
        <v>74</v>
      </c>
      <c r="E874" t="s">
        <v>74</v>
      </c>
      <c r="F874" t="s">
        <v>16887</v>
      </c>
      <c r="G874" t="s">
        <v>74</v>
      </c>
      <c r="H874" t="s">
        <v>74</v>
      </c>
      <c r="I874" t="s">
        <v>16888</v>
      </c>
      <c r="J874" t="s">
        <v>805</v>
      </c>
      <c r="K874" t="s">
        <v>74</v>
      </c>
      <c r="L874" t="s">
        <v>74</v>
      </c>
      <c r="M874" t="s">
        <v>78</v>
      </c>
      <c r="N874" t="s">
        <v>108</v>
      </c>
      <c r="O874" t="s">
        <v>74</v>
      </c>
      <c r="P874" t="s">
        <v>74</v>
      </c>
      <c r="Q874" t="s">
        <v>74</v>
      </c>
      <c r="R874" t="s">
        <v>74</v>
      </c>
      <c r="S874" t="s">
        <v>74</v>
      </c>
      <c r="T874" t="s">
        <v>16889</v>
      </c>
      <c r="U874" t="s">
        <v>16890</v>
      </c>
      <c r="V874" t="s">
        <v>16891</v>
      </c>
      <c r="W874" t="s">
        <v>16892</v>
      </c>
      <c r="X874" t="s">
        <v>16893</v>
      </c>
      <c r="Y874" t="s">
        <v>16894</v>
      </c>
      <c r="Z874" t="s">
        <v>16895</v>
      </c>
      <c r="AA874" t="s">
        <v>16896</v>
      </c>
      <c r="AB874" t="s">
        <v>16897</v>
      </c>
      <c r="AC874" t="s">
        <v>16898</v>
      </c>
      <c r="AD874" t="s">
        <v>16899</v>
      </c>
      <c r="AE874" t="s">
        <v>16900</v>
      </c>
      <c r="AF874" t="s">
        <v>74</v>
      </c>
      <c r="AG874">
        <v>37</v>
      </c>
      <c r="AH874">
        <v>11</v>
      </c>
      <c r="AI874">
        <v>13</v>
      </c>
      <c r="AJ874">
        <v>2</v>
      </c>
      <c r="AK874">
        <v>64</v>
      </c>
      <c r="AL874" t="s">
        <v>638</v>
      </c>
      <c r="AM874" t="s">
        <v>439</v>
      </c>
      <c r="AN874" t="s">
        <v>639</v>
      </c>
      <c r="AO874" t="s">
        <v>818</v>
      </c>
      <c r="AP874" t="s">
        <v>819</v>
      </c>
      <c r="AQ874" t="s">
        <v>74</v>
      </c>
      <c r="AR874" t="s">
        <v>820</v>
      </c>
      <c r="AS874" t="s">
        <v>821</v>
      </c>
      <c r="AT874" t="s">
        <v>16657</v>
      </c>
      <c r="AU874">
        <v>2019</v>
      </c>
      <c r="AV874">
        <v>665</v>
      </c>
      <c r="AW874" t="s">
        <v>74</v>
      </c>
      <c r="AX874" t="s">
        <v>74</v>
      </c>
      <c r="AY874" t="s">
        <v>74</v>
      </c>
      <c r="AZ874" t="s">
        <v>74</v>
      </c>
      <c r="BA874" t="s">
        <v>74</v>
      </c>
      <c r="BB874">
        <v>125</v>
      </c>
      <c r="BC874">
        <v>132</v>
      </c>
      <c r="BD874" t="s">
        <v>74</v>
      </c>
      <c r="BE874" t="s">
        <v>16901</v>
      </c>
      <c r="BF874" t="str">
        <f>HYPERLINK("http://dx.doi.org/10.1016/j.scitotenv.2019.02.116","http://dx.doi.org/10.1016/j.scitotenv.2019.02.116")</f>
        <v>http://dx.doi.org/10.1016/j.scitotenv.2019.02.116</v>
      </c>
      <c r="BG874" t="s">
        <v>74</v>
      </c>
      <c r="BH874" t="s">
        <v>74</v>
      </c>
      <c r="BI874">
        <v>8</v>
      </c>
      <c r="BJ874" t="s">
        <v>797</v>
      </c>
      <c r="BK874" t="s">
        <v>101</v>
      </c>
      <c r="BL874" t="s">
        <v>799</v>
      </c>
      <c r="BM874" t="s">
        <v>16902</v>
      </c>
      <c r="BN874">
        <v>30772541</v>
      </c>
      <c r="BO874" t="s">
        <v>74</v>
      </c>
      <c r="BP874" t="s">
        <v>74</v>
      </c>
      <c r="BQ874" t="s">
        <v>74</v>
      </c>
      <c r="BR874" t="s">
        <v>103</v>
      </c>
      <c r="BS874" t="s">
        <v>16903</v>
      </c>
      <c r="BT874" t="str">
        <f>HYPERLINK("https%3A%2F%2Fwww.webofscience.com%2Fwos%2Fwoscc%2Ffull-record%2FWOS:000460628600015","View Full Record in Web of Science")</f>
        <v>View Full Record in Web of Science</v>
      </c>
    </row>
    <row r="875" spans="1:72" x14ac:dyDescent="0.15">
      <c r="A875" t="s">
        <v>72</v>
      </c>
      <c r="B875" t="s">
        <v>16904</v>
      </c>
      <c r="C875" t="s">
        <v>74</v>
      </c>
      <c r="D875" t="s">
        <v>74</v>
      </c>
      <c r="E875" t="s">
        <v>74</v>
      </c>
      <c r="F875" t="s">
        <v>16905</v>
      </c>
      <c r="G875" t="s">
        <v>74</v>
      </c>
      <c r="H875" t="s">
        <v>74</v>
      </c>
      <c r="I875" t="s">
        <v>16906</v>
      </c>
      <c r="J875" t="s">
        <v>805</v>
      </c>
      <c r="K875" t="s">
        <v>74</v>
      </c>
      <c r="L875" t="s">
        <v>74</v>
      </c>
      <c r="M875" t="s">
        <v>78</v>
      </c>
      <c r="N875" t="s">
        <v>108</v>
      </c>
      <c r="O875" t="s">
        <v>74</v>
      </c>
      <c r="P875" t="s">
        <v>74</v>
      </c>
      <c r="Q875" t="s">
        <v>74</v>
      </c>
      <c r="R875" t="s">
        <v>74</v>
      </c>
      <c r="S875" t="s">
        <v>74</v>
      </c>
      <c r="T875" t="s">
        <v>16907</v>
      </c>
      <c r="U875" t="s">
        <v>16908</v>
      </c>
      <c r="V875" t="s">
        <v>16909</v>
      </c>
      <c r="W875" t="s">
        <v>16910</v>
      </c>
      <c r="X875" t="s">
        <v>16911</v>
      </c>
      <c r="Y875" t="s">
        <v>16912</v>
      </c>
      <c r="Z875" t="s">
        <v>16913</v>
      </c>
      <c r="AA875" t="s">
        <v>16914</v>
      </c>
      <c r="AB875" t="s">
        <v>16915</v>
      </c>
      <c r="AC875" t="s">
        <v>16916</v>
      </c>
      <c r="AD875" t="s">
        <v>16916</v>
      </c>
      <c r="AE875" t="s">
        <v>16917</v>
      </c>
      <c r="AF875" t="s">
        <v>74</v>
      </c>
      <c r="AG875">
        <v>39</v>
      </c>
      <c r="AH875">
        <v>52</v>
      </c>
      <c r="AI875">
        <v>56</v>
      </c>
      <c r="AJ875">
        <v>9</v>
      </c>
      <c r="AK875">
        <v>95</v>
      </c>
      <c r="AL875" t="s">
        <v>438</v>
      </c>
      <c r="AM875" t="s">
        <v>439</v>
      </c>
      <c r="AN875" t="s">
        <v>440</v>
      </c>
      <c r="AO875" t="s">
        <v>818</v>
      </c>
      <c r="AP875" t="s">
        <v>819</v>
      </c>
      <c r="AQ875" t="s">
        <v>74</v>
      </c>
      <c r="AR875" t="s">
        <v>820</v>
      </c>
      <c r="AS875" t="s">
        <v>821</v>
      </c>
      <c r="AT875" t="s">
        <v>16657</v>
      </c>
      <c r="AU875">
        <v>2019</v>
      </c>
      <c r="AV875">
        <v>665</v>
      </c>
      <c r="AW875" t="s">
        <v>74</v>
      </c>
      <c r="AX875" t="s">
        <v>74</v>
      </c>
      <c r="AY875" t="s">
        <v>74</v>
      </c>
      <c r="AZ875" t="s">
        <v>74</v>
      </c>
      <c r="BA875" t="s">
        <v>74</v>
      </c>
      <c r="BB875">
        <v>660</v>
      </c>
      <c r="BC875">
        <v>667</v>
      </c>
      <c r="BD875" t="s">
        <v>74</v>
      </c>
      <c r="BE875" t="s">
        <v>16918</v>
      </c>
      <c r="BF875" t="str">
        <f>HYPERLINK("http://dx.doi.org/10.1016/j.scitotenv.2019.02.184","http://dx.doi.org/10.1016/j.scitotenv.2019.02.184")</f>
        <v>http://dx.doi.org/10.1016/j.scitotenv.2019.02.184</v>
      </c>
      <c r="BG875" t="s">
        <v>74</v>
      </c>
      <c r="BH875" t="s">
        <v>74</v>
      </c>
      <c r="BI875">
        <v>8</v>
      </c>
      <c r="BJ875" t="s">
        <v>797</v>
      </c>
      <c r="BK875" t="s">
        <v>101</v>
      </c>
      <c r="BL875" t="s">
        <v>799</v>
      </c>
      <c r="BM875" t="s">
        <v>16902</v>
      </c>
      <c r="BN875">
        <v>30776638</v>
      </c>
      <c r="BO875" t="s">
        <v>74</v>
      </c>
      <c r="BP875" t="s">
        <v>74</v>
      </c>
      <c r="BQ875" t="s">
        <v>74</v>
      </c>
      <c r="BR875" t="s">
        <v>103</v>
      </c>
      <c r="BS875" t="s">
        <v>16919</v>
      </c>
      <c r="BT875" t="str">
        <f>HYPERLINK("https%3A%2F%2Fwww.webofscience.com%2Fwos%2Fwoscc%2Ffull-record%2FWOS:000460628600067","View Full Record in Web of Science")</f>
        <v>View Full Record in Web of Science</v>
      </c>
    </row>
    <row r="876" spans="1:72" x14ac:dyDescent="0.15">
      <c r="A876" t="s">
        <v>72</v>
      </c>
      <c r="B876" t="s">
        <v>16920</v>
      </c>
      <c r="C876" t="s">
        <v>74</v>
      </c>
      <c r="D876" t="s">
        <v>74</v>
      </c>
      <c r="E876" t="s">
        <v>74</v>
      </c>
      <c r="F876" t="s">
        <v>16921</v>
      </c>
      <c r="G876" t="s">
        <v>74</v>
      </c>
      <c r="H876" t="s">
        <v>74</v>
      </c>
      <c r="I876" t="s">
        <v>16922</v>
      </c>
      <c r="J876" t="s">
        <v>753</v>
      </c>
      <c r="K876" t="s">
        <v>74</v>
      </c>
      <c r="L876" t="s">
        <v>74</v>
      </c>
      <c r="M876" t="s">
        <v>78</v>
      </c>
      <c r="N876" t="s">
        <v>108</v>
      </c>
      <c r="O876" t="s">
        <v>74</v>
      </c>
      <c r="P876" t="s">
        <v>74</v>
      </c>
      <c r="Q876" t="s">
        <v>74</v>
      </c>
      <c r="R876" t="s">
        <v>74</v>
      </c>
      <c r="S876" t="s">
        <v>74</v>
      </c>
      <c r="T876" t="s">
        <v>16923</v>
      </c>
      <c r="U876" t="s">
        <v>16924</v>
      </c>
      <c r="V876" t="s">
        <v>16925</v>
      </c>
      <c r="W876" t="s">
        <v>16926</v>
      </c>
      <c r="X876" t="s">
        <v>16927</v>
      </c>
      <c r="Y876" t="s">
        <v>16928</v>
      </c>
      <c r="Z876" t="s">
        <v>16929</v>
      </c>
      <c r="AA876" t="s">
        <v>16930</v>
      </c>
      <c r="AB876" t="s">
        <v>16931</v>
      </c>
      <c r="AC876" t="s">
        <v>16932</v>
      </c>
      <c r="AD876" t="s">
        <v>16933</v>
      </c>
      <c r="AE876" t="s">
        <v>16934</v>
      </c>
      <c r="AF876" t="s">
        <v>74</v>
      </c>
      <c r="AG876">
        <v>78</v>
      </c>
      <c r="AH876">
        <v>60</v>
      </c>
      <c r="AI876">
        <v>64</v>
      </c>
      <c r="AJ876">
        <v>0</v>
      </c>
      <c r="AK876">
        <v>76</v>
      </c>
      <c r="AL876" t="s">
        <v>638</v>
      </c>
      <c r="AM876" t="s">
        <v>439</v>
      </c>
      <c r="AN876" t="s">
        <v>639</v>
      </c>
      <c r="AO876" t="s">
        <v>766</v>
      </c>
      <c r="AP876" t="s">
        <v>767</v>
      </c>
      <c r="AQ876" t="s">
        <v>74</v>
      </c>
      <c r="AR876" t="s">
        <v>753</v>
      </c>
      <c r="AS876" t="s">
        <v>768</v>
      </c>
      <c r="AT876" t="s">
        <v>16657</v>
      </c>
      <c r="AU876">
        <v>2019</v>
      </c>
      <c r="AV876">
        <v>197</v>
      </c>
      <c r="AW876" t="s">
        <v>74</v>
      </c>
      <c r="AX876" t="s">
        <v>74</v>
      </c>
      <c r="AY876" t="s">
        <v>74</v>
      </c>
      <c r="AZ876" t="s">
        <v>74</v>
      </c>
      <c r="BA876" t="s">
        <v>74</v>
      </c>
      <c r="BB876">
        <v>653</v>
      </c>
      <c r="BC876">
        <v>668</v>
      </c>
      <c r="BD876" t="s">
        <v>74</v>
      </c>
      <c r="BE876" t="s">
        <v>16935</v>
      </c>
      <c r="BF876" t="str">
        <f>HYPERLINK("http://dx.doi.org/10.1016/j.talanta.2019.01.047","http://dx.doi.org/10.1016/j.talanta.2019.01.047")</f>
        <v>http://dx.doi.org/10.1016/j.talanta.2019.01.047</v>
      </c>
      <c r="BG876" t="s">
        <v>74</v>
      </c>
      <c r="BH876" t="s">
        <v>74</v>
      </c>
      <c r="BI876">
        <v>16</v>
      </c>
      <c r="BJ876" t="s">
        <v>770</v>
      </c>
      <c r="BK876" t="s">
        <v>101</v>
      </c>
      <c r="BL876" t="s">
        <v>771</v>
      </c>
      <c r="BM876" t="s">
        <v>16936</v>
      </c>
      <c r="BN876">
        <v>30771989</v>
      </c>
      <c r="BO876" t="s">
        <v>74</v>
      </c>
      <c r="BP876" t="s">
        <v>74</v>
      </c>
      <c r="BQ876" t="s">
        <v>74</v>
      </c>
      <c r="BR876" t="s">
        <v>103</v>
      </c>
      <c r="BS876" t="s">
        <v>16937</v>
      </c>
      <c r="BT876" t="str">
        <f>HYPERLINK("https%3A%2F%2Fwww.webofscience.com%2Fwos%2Fwoscc%2Ffull-record%2FWOS:000460710200086","View Full Record in Web of Science")</f>
        <v>View Full Record in Web of Science</v>
      </c>
    </row>
    <row r="877" spans="1:72" x14ac:dyDescent="0.15">
      <c r="A877" t="s">
        <v>72</v>
      </c>
      <c r="B877" t="s">
        <v>16938</v>
      </c>
      <c r="C877" t="s">
        <v>74</v>
      </c>
      <c r="D877" t="s">
        <v>74</v>
      </c>
      <c r="E877" t="s">
        <v>74</v>
      </c>
      <c r="F877" t="s">
        <v>16939</v>
      </c>
      <c r="G877" t="s">
        <v>74</v>
      </c>
      <c r="H877" t="s">
        <v>74</v>
      </c>
      <c r="I877" t="s">
        <v>16940</v>
      </c>
      <c r="J877" t="s">
        <v>1832</v>
      </c>
      <c r="K877" t="s">
        <v>74</v>
      </c>
      <c r="L877" t="s">
        <v>74</v>
      </c>
      <c r="M877" t="s">
        <v>78</v>
      </c>
      <c r="N877" t="s">
        <v>108</v>
      </c>
      <c r="O877" t="s">
        <v>74</v>
      </c>
      <c r="P877" t="s">
        <v>74</v>
      </c>
      <c r="Q877" t="s">
        <v>74</v>
      </c>
      <c r="R877" t="s">
        <v>74</v>
      </c>
      <c r="S877" t="s">
        <v>74</v>
      </c>
      <c r="T877" t="s">
        <v>74</v>
      </c>
      <c r="U877" t="s">
        <v>16941</v>
      </c>
      <c r="V877" t="s">
        <v>16942</v>
      </c>
      <c r="W877" t="s">
        <v>16943</v>
      </c>
      <c r="X877" t="s">
        <v>16944</v>
      </c>
      <c r="Y877" t="s">
        <v>16945</v>
      </c>
      <c r="Z877" t="s">
        <v>16946</v>
      </c>
      <c r="AA877" t="s">
        <v>16947</v>
      </c>
      <c r="AB877" t="s">
        <v>16948</v>
      </c>
      <c r="AC877" t="s">
        <v>16949</v>
      </c>
      <c r="AD877" t="s">
        <v>16950</v>
      </c>
      <c r="AE877" t="s">
        <v>16951</v>
      </c>
      <c r="AF877" t="s">
        <v>74</v>
      </c>
      <c r="AG877">
        <v>153</v>
      </c>
      <c r="AH877">
        <v>65</v>
      </c>
      <c r="AI877">
        <v>70</v>
      </c>
      <c r="AJ877">
        <v>1</v>
      </c>
      <c r="AK877">
        <v>32</v>
      </c>
      <c r="AL877" t="s">
        <v>839</v>
      </c>
      <c r="AM877" t="s">
        <v>840</v>
      </c>
      <c r="AN877" t="s">
        <v>841</v>
      </c>
      <c r="AO877" t="s">
        <v>1844</v>
      </c>
      <c r="AP877" t="s">
        <v>1845</v>
      </c>
      <c r="AQ877" t="s">
        <v>74</v>
      </c>
      <c r="AR877" t="s">
        <v>1832</v>
      </c>
      <c r="AS877" t="s">
        <v>1846</v>
      </c>
      <c r="AT877" t="s">
        <v>16952</v>
      </c>
      <c r="AU877">
        <v>2019</v>
      </c>
      <c r="AV877">
        <v>13</v>
      </c>
      <c r="AW877">
        <v>5</v>
      </c>
      <c r="AX877" t="s">
        <v>74</v>
      </c>
      <c r="AY877" t="s">
        <v>74</v>
      </c>
      <c r="AZ877" t="s">
        <v>74</v>
      </c>
      <c r="BA877" t="s">
        <v>74</v>
      </c>
      <c r="BB877">
        <v>1441</v>
      </c>
      <c r="BC877">
        <v>1471</v>
      </c>
      <c r="BD877" t="s">
        <v>74</v>
      </c>
      <c r="BE877" t="s">
        <v>16953</v>
      </c>
      <c r="BF877" t="str">
        <f>HYPERLINK("http://dx.doi.org/10.5194/tc-13-1441-2019","http://dx.doi.org/10.5194/tc-13-1441-2019")</f>
        <v>http://dx.doi.org/10.5194/tc-13-1441-2019</v>
      </c>
      <c r="BG877" t="s">
        <v>74</v>
      </c>
      <c r="BH877" t="s">
        <v>74</v>
      </c>
      <c r="BI877">
        <v>31</v>
      </c>
      <c r="BJ877" t="s">
        <v>310</v>
      </c>
      <c r="BK877" t="s">
        <v>101</v>
      </c>
      <c r="BL877" t="s">
        <v>311</v>
      </c>
      <c r="BM877" t="s">
        <v>16954</v>
      </c>
      <c r="BN877" t="s">
        <v>74</v>
      </c>
      <c r="BO877" t="s">
        <v>4818</v>
      </c>
      <c r="BP877" t="s">
        <v>74</v>
      </c>
      <c r="BQ877" t="s">
        <v>74</v>
      </c>
      <c r="BR877" t="s">
        <v>103</v>
      </c>
      <c r="BS877" t="s">
        <v>16955</v>
      </c>
      <c r="BT877" t="str">
        <f>HYPERLINK("https%3A%2F%2Fwww.webofscience.com%2Fwos%2Fwoscc%2Ffull-record%2FWOS:000467929400001","View Full Record in Web of Science")</f>
        <v>View Full Record in Web of Science</v>
      </c>
    </row>
    <row r="878" spans="1:72" x14ac:dyDescent="0.15">
      <c r="A878" t="s">
        <v>72</v>
      </c>
      <c r="B878" t="s">
        <v>16956</v>
      </c>
      <c r="C878" t="s">
        <v>74</v>
      </c>
      <c r="D878" t="s">
        <v>74</v>
      </c>
      <c r="E878" t="s">
        <v>74</v>
      </c>
      <c r="F878" t="s">
        <v>16957</v>
      </c>
      <c r="G878" t="s">
        <v>74</v>
      </c>
      <c r="H878" t="s">
        <v>74</v>
      </c>
      <c r="I878" t="s">
        <v>16958</v>
      </c>
      <c r="J878" t="s">
        <v>855</v>
      </c>
      <c r="K878" t="s">
        <v>74</v>
      </c>
      <c r="L878" t="s">
        <v>74</v>
      </c>
      <c r="M878" t="s">
        <v>78</v>
      </c>
      <c r="N878" t="s">
        <v>79</v>
      </c>
      <c r="O878" t="s">
        <v>74</v>
      </c>
      <c r="P878" t="s">
        <v>74</v>
      </c>
      <c r="Q878" t="s">
        <v>74</v>
      </c>
      <c r="R878" t="s">
        <v>74</v>
      </c>
      <c r="S878" t="s">
        <v>74</v>
      </c>
      <c r="T878" t="s">
        <v>16959</v>
      </c>
      <c r="U878" t="s">
        <v>16960</v>
      </c>
      <c r="V878" t="s">
        <v>16961</v>
      </c>
      <c r="W878" t="s">
        <v>16962</v>
      </c>
      <c r="X878" t="s">
        <v>16963</v>
      </c>
      <c r="Y878" t="s">
        <v>16964</v>
      </c>
      <c r="Z878" t="s">
        <v>16965</v>
      </c>
      <c r="AA878" t="s">
        <v>16966</v>
      </c>
      <c r="AB878" t="s">
        <v>16967</v>
      </c>
      <c r="AC878" t="s">
        <v>74</v>
      </c>
      <c r="AD878" t="s">
        <v>74</v>
      </c>
      <c r="AE878" t="s">
        <v>74</v>
      </c>
      <c r="AF878" t="s">
        <v>74</v>
      </c>
      <c r="AG878">
        <v>182</v>
      </c>
      <c r="AH878">
        <v>26</v>
      </c>
      <c r="AI878">
        <v>28</v>
      </c>
      <c r="AJ878">
        <v>14</v>
      </c>
      <c r="AK878">
        <v>76</v>
      </c>
      <c r="AL878" t="s">
        <v>868</v>
      </c>
      <c r="AM878" t="s">
        <v>869</v>
      </c>
      <c r="AN878" t="s">
        <v>870</v>
      </c>
      <c r="AO878" t="s">
        <v>74</v>
      </c>
      <c r="AP878" t="s">
        <v>871</v>
      </c>
      <c r="AQ878" t="s">
        <v>74</v>
      </c>
      <c r="AR878" t="s">
        <v>872</v>
      </c>
      <c r="AS878" t="s">
        <v>873</v>
      </c>
      <c r="AT878" t="s">
        <v>16952</v>
      </c>
      <c r="AU878">
        <v>2019</v>
      </c>
      <c r="AV878">
        <v>6</v>
      </c>
      <c r="AW878" t="s">
        <v>74</v>
      </c>
      <c r="AX878" t="s">
        <v>74</v>
      </c>
      <c r="AY878" t="s">
        <v>74</v>
      </c>
      <c r="AZ878" t="s">
        <v>74</v>
      </c>
      <c r="BA878" t="s">
        <v>74</v>
      </c>
      <c r="BB878" t="s">
        <v>74</v>
      </c>
      <c r="BC878" t="s">
        <v>74</v>
      </c>
      <c r="BD878">
        <v>247</v>
      </c>
      <c r="BE878" t="s">
        <v>16968</v>
      </c>
      <c r="BF878" t="str">
        <f>HYPERLINK("http://dx.doi.org/10.3389/fmars.2019.00247","http://dx.doi.org/10.3389/fmars.2019.00247")</f>
        <v>http://dx.doi.org/10.3389/fmars.2019.00247</v>
      </c>
      <c r="BG878" t="s">
        <v>74</v>
      </c>
      <c r="BH878" t="s">
        <v>74</v>
      </c>
      <c r="BI878">
        <v>14</v>
      </c>
      <c r="BJ878" t="s">
        <v>876</v>
      </c>
      <c r="BK878" t="s">
        <v>101</v>
      </c>
      <c r="BL878" t="s">
        <v>877</v>
      </c>
      <c r="BM878" t="s">
        <v>16969</v>
      </c>
      <c r="BN878" t="s">
        <v>74</v>
      </c>
      <c r="BO878" t="s">
        <v>366</v>
      </c>
      <c r="BP878" t="s">
        <v>74</v>
      </c>
      <c r="BQ878" t="s">
        <v>74</v>
      </c>
      <c r="BR878" t="s">
        <v>103</v>
      </c>
      <c r="BS878" t="s">
        <v>16970</v>
      </c>
      <c r="BT878" t="str">
        <f>HYPERLINK("https%3A%2F%2Fwww.webofscience.com%2Fwos%2Fwoscc%2Ffull-record%2FWOS:000467920300003","View Full Record in Web of Science")</f>
        <v>View Full Record in Web of Science</v>
      </c>
    </row>
    <row r="879" spans="1:72" x14ac:dyDescent="0.15">
      <c r="A879" t="s">
        <v>72</v>
      </c>
      <c r="B879" t="s">
        <v>16971</v>
      </c>
      <c r="C879" t="s">
        <v>74</v>
      </c>
      <c r="D879" t="s">
        <v>74</v>
      </c>
      <c r="E879" t="s">
        <v>74</v>
      </c>
      <c r="F879" t="s">
        <v>16972</v>
      </c>
      <c r="G879" t="s">
        <v>74</v>
      </c>
      <c r="H879" t="s">
        <v>74</v>
      </c>
      <c r="I879" t="s">
        <v>16973</v>
      </c>
      <c r="J879" t="s">
        <v>1496</v>
      </c>
      <c r="K879" t="s">
        <v>74</v>
      </c>
      <c r="L879" t="s">
        <v>74</v>
      </c>
      <c r="M879" t="s">
        <v>78</v>
      </c>
      <c r="N879" t="s">
        <v>108</v>
      </c>
      <c r="O879" t="s">
        <v>74</v>
      </c>
      <c r="P879" t="s">
        <v>74</v>
      </c>
      <c r="Q879" t="s">
        <v>74</v>
      </c>
      <c r="R879" t="s">
        <v>74</v>
      </c>
      <c r="S879" t="s">
        <v>74</v>
      </c>
      <c r="T879" t="s">
        <v>16974</v>
      </c>
      <c r="U879" t="s">
        <v>16975</v>
      </c>
      <c r="V879" t="s">
        <v>16976</v>
      </c>
      <c r="W879" t="s">
        <v>16977</v>
      </c>
      <c r="X879" t="s">
        <v>16978</v>
      </c>
      <c r="Y879" t="s">
        <v>16979</v>
      </c>
      <c r="Z879" t="s">
        <v>16980</v>
      </c>
      <c r="AA879" t="s">
        <v>16981</v>
      </c>
      <c r="AB879" t="s">
        <v>16982</v>
      </c>
      <c r="AC879" t="s">
        <v>16983</v>
      </c>
      <c r="AD879" t="s">
        <v>16984</v>
      </c>
      <c r="AE879" t="s">
        <v>16985</v>
      </c>
      <c r="AF879" t="s">
        <v>74</v>
      </c>
      <c r="AG879">
        <v>93</v>
      </c>
      <c r="AH879">
        <v>19</v>
      </c>
      <c r="AI879">
        <v>21</v>
      </c>
      <c r="AJ879">
        <v>2</v>
      </c>
      <c r="AK879">
        <v>20</v>
      </c>
      <c r="AL879" t="s">
        <v>868</v>
      </c>
      <c r="AM879" t="s">
        <v>869</v>
      </c>
      <c r="AN879" t="s">
        <v>870</v>
      </c>
      <c r="AO879" t="s">
        <v>74</v>
      </c>
      <c r="AP879" t="s">
        <v>1509</v>
      </c>
      <c r="AQ879" t="s">
        <v>74</v>
      </c>
      <c r="AR879" t="s">
        <v>1510</v>
      </c>
      <c r="AS879" t="s">
        <v>1511</v>
      </c>
      <c r="AT879" t="s">
        <v>16952</v>
      </c>
      <c r="AU879">
        <v>2019</v>
      </c>
      <c r="AV879">
        <v>10</v>
      </c>
      <c r="AW879" t="s">
        <v>74</v>
      </c>
      <c r="AX879" t="s">
        <v>74</v>
      </c>
      <c r="AY879" t="s">
        <v>74</v>
      </c>
      <c r="AZ879" t="s">
        <v>74</v>
      </c>
      <c r="BA879" t="s">
        <v>74</v>
      </c>
      <c r="BB879" t="s">
        <v>74</v>
      </c>
      <c r="BC879" t="s">
        <v>74</v>
      </c>
      <c r="BD879">
        <v>1014</v>
      </c>
      <c r="BE879" t="s">
        <v>16986</v>
      </c>
      <c r="BF879" t="str">
        <f>HYPERLINK("http://dx.doi.org/10.3389/fmicb.2019.01014","http://dx.doi.org/10.3389/fmicb.2019.01014")</f>
        <v>http://dx.doi.org/10.3389/fmicb.2019.01014</v>
      </c>
      <c r="BG879" t="s">
        <v>74</v>
      </c>
      <c r="BH879" t="s">
        <v>74</v>
      </c>
      <c r="BI879">
        <v>14</v>
      </c>
      <c r="BJ879" t="s">
        <v>1514</v>
      </c>
      <c r="BK879" t="s">
        <v>101</v>
      </c>
      <c r="BL879" t="s">
        <v>1514</v>
      </c>
      <c r="BM879" t="s">
        <v>16987</v>
      </c>
      <c r="BN879">
        <v>31139164</v>
      </c>
      <c r="BO879" t="s">
        <v>313</v>
      </c>
      <c r="BP879" t="s">
        <v>74</v>
      </c>
      <c r="BQ879" t="s">
        <v>74</v>
      </c>
      <c r="BR879" t="s">
        <v>103</v>
      </c>
      <c r="BS879" t="s">
        <v>16988</v>
      </c>
      <c r="BT879" t="str">
        <f>HYPERLINK("https%3A%2F%2Fwww.webofscience.com%2Fwos%2Fwoscc%2Ffull-record%2FWOS:000467856600001","View Full Record in Web of Science")</f>
        <v>View Full Record in Web of Science</v>
      </c>
    </row>
    <row r="880" spans="1:72" x14ac:dyDescent="0.15">
      <c r="A880" t="s">
        <v>72</v>
      </c>
      <c r="B880" t="s">
        <v>16989</v>
      </c>
      <c r="C880" t="s">
        <v>74</v>
      </c>
      <c r="D880" t="s">
        <v>74</v>
      </c>
      <c r="E880" t="s">
        <v>74</v>
      </c>
      <c r="F880" t="s">
        <v>16990</v>
      </c>
      <c r="G880" t="s">
        <v>74</v>
      </c>
      <c r="H880" t="s">
        <v>74</v>
      </c>
      <c r="I880" t="s">
        <v>16991</v>
      </c>
      <c r="J880" t="s">
        <v>855</v>
      </c>
      <c r="K880" t="s">
        <v>74</v>
      </c>
      <c r="L880" t="s">
        <v>74</v>
      </c>
      <c r="M880" t="s">
        <v>78</v>
      </c>
      <c r="N880" t="s">
        <v>108</v>
      </c>
      <c r="O880" t="s">
        <v>74</v>
      </c>
      <c r="P880" t="s">
        <v>74</v>
      </c>
      <c r="Q880" t="s">
        <v>74</v>
      </c>
      <c r="R880" t="s">
        <v>74</v>
      </c>
      <c r="S880" t="s">
        <v>74</v>
      </c>
      <c r="T880" t="s">
        <v>16992</v>
      </c>
      <c r="U880" t="s">
        <v>16993</v>
      </c>
      <c r="V880" t="s">
        <v>16994</v>
      </c>
      <c r="W880" t="s">
        <v>16995</v>
      </c>
      <c r="X880" t="s">
        <v>16996</v>
      </c>
      <c r="Y880" t="s">
        <v>16997</v>
      </c>
      <c r="Z880" t="s">
        <v>16998</v>
      </c>
      <c r="AA880" t="s">
        <v>16999</v>
      </c>
      <c r="AB880" t="s">
        <v>17000</v>
      </c>
      <c r="AC880" t="s">
        <v>17001</v>
      </c>
      <c r="AD880" t="s">
        <v>17002</v>
      </c>
      <c r="AE880" t="s">
        <v>17003</v>
      </c>
      <c r="AF880" t="s">
        <v>74</v>
      </c>
      <c r="AG880">
        <v>69</v>
      </c>
      <c r="AH880">
        <v>12</v>
      </c>
      <c r="AI880">
        <v>14</v>
      </c>
      <c r="AJ880">
        <v>2</v>
      </c>
      <c r="AK880">
        <v>24</v>
      </c>
      <c r="AL880" t="s">
        <v>868</v>
      </c>
      <c r="AM880" t="s">
        <v>869</v>
      </c>
      <c r="AN880" t="s">
        <v>870</v>
      </c>
      <c r="AO880" t="s">
        <v>74</v>
      </c>
      <c r="AP880" t="s">
        <v>871</v>
      </c>
      <c r="AQ880" t="s">
        <v>74</v>
      </c>
      <c r="AR880" t="s">
        <v>872</v>
      </c>
      <c r="AS880" t="s">
        <v>873</v>
      </c>
      <c r="AT880" t="s">
        <v>17004</v>
      </c>
      <c r="AU880">
        <v>2019</v>
      </c>
      <c r="AV880">
        <v>6</v>
      </c>
      <c r="AW880" t="s">
        <v>74</v>
      </c>
      <c r="AX880" t="s">
        <v>74</v>
      </c>
      <c r="AY880" t="s">
        <v>74</v>
      </c>
      <c r="AZ880" t="s">
        <v>74</v>
      </c>
      <c r="BA880" t="s">
        <v>74</v>
      </c>
      <c r="BB880" t="s">
        <v>74</v>
      </c>
      <c r="BC880" t="s">
        <v>74</v>
      </c>
      <c r="BD880">
        <v>230</v>
      </c>
      <c r="BE880" t="s">
        <v>17005</v>
      </c>
      <c r="BF880" t="str">
        <f>HYPERLINK("http://dx.doi.org/10.3389/fmars.2019.00230","http://dx.doi.org/10.3389/fmars.2019.00230")</f>
        <v>http://dx.doi.org/10.3389/fmars.2019.00230</v>
      </c>
      <c r="BG880" t="s">
        <v>74</v>
      </c>
      <c r="BH880" t="s">
        <v>74</v>
      </c>
      <c r="BI880">
        <v>14</v>
      </c>
      <c r="BJ880" t="s">
        <v>876</v>
      </c>
      <c r="BK880" t="s">
        <v>101</v>
      </c>
      <c r="BL880" t="s">
        <v>877</v>
      </c>
      <c r="BM880" t="s">
        <v>17006</v>
      </c>
      <c r="BN880" t="s">
        <v>74</v>
      </c>
      <c r="BO880" t="s">
        <v>6187</v>
      </c>
      <c r="BP880" t="s">
        <v>74</v>
      </c>
      <c r="BQ880" t="s">
        <v>74</v>
      </c>
      <c r="BR880" t="s">
        <v>103</v>
      </c>
      <c r="BS880" t="s">
        <v>17007</v>
      </c>
      <c r="BT880" t="str">
        <f>HYPERLINK("https%3A%2F%2Fwww.webofscience.com%2Fwos%2Fwoscc%2Ffull-record%2FWOS:000467502600001","View Full Record in Web of Science")</f>
        <v>View Full Record in Web of Science</v>
      </c>
    </row>
    <row r="881" spans="1:72" x14ac:dyDescent="0.15">
      <c r="A881" t="s">
        <v>72</v>
      </c>
      <c r="B881" t="s">
        <v>17008</v>
      </c>
      <c r="C881" t="s">
        <v>74</v>
      </c>
      <c r="D881" t="s">
        <v>74</v>
      </c>
      <c r="E881" t="s">
        <v>74</v>
      </c>
      <c r="F881" t="s">
        <v>17009</v>
      </c>
      <c r="G881" t="s">
        <v>74</v>
      </c>
      <c r="H881" t="s">
        <v>74</v>
      </c>
      <c r="I881" t="s">
        <v>17010</v>
      </c>
      <c r="J881" t="s">
        <v>1496</v>
      </c>
      <c r="K881" t="s">
        <v>74</v>
      </c>
      <c r="L881" t="s">
        <v>74</v>
      </c>
      <c r="M881" t="s">
        <v>78</v>
      </c>
      <c r="N881" t="s">
        <v>108</v>
      </c>
      <c r="O881" t="s">
        <v>74</v>
      </c>
      <c r="P881" t="s">
        <v>74</v>
      </c>
      <c r="Q881" t="s">
        <v>74</v>
      </c>
      <c r="R881" t="s">
        <v>74</v>
      </c>
      <c r="S881" t="s">
        <v>74</v>
      </c>
      <c r="T881" t="s">
        <v>17011</v>
      </c>
      <c r="U881" t="s">
        <v>17012</v>
      </c>
      <c r="V881" t="s">
        <v>17013</v>
      </c>
      <c r="W881" t="s">
        <v>17014</v>
      </c>
      <c r="X881" t="s">
        <v>17015</v>
      </c>
      <c r="Y881" t="s">
        <v>17016</v>
      </c>
      <c r="Z881" t="s">
        <v>17017</v>
      </c>
      <c r="AA881" t="s">
        <v>17018</v>
      </c>
      <c r="AB881" t="s">
        <v>17019</v>
      </c>
      <c r="AC881" t="s">
        <v>17020</v>
      </c>
      <c r="AD881" t="s">
        <v>17020</v>
      </c>
      <c r="AE881" t="s">
        <v>17021</v>
      </c>
      <c r="AF881" t="s">
        <v>74</v>
      </c>
      <c r="AG881">
        <v>85</v>
      </c>
      <c r="AH881">
        <v>18</v>
      </c>
      <c r="AI881">
        <v>21</v>
      </c>
      <c r="AJ881">
        <v>7</v>
      </c>
      <c r="AK881">
        <v>26</v>
      </c>
      <c r="AL881" t="s">
        <v>868</v>
      </c>
      <c r="AM881" t="s">
        <v>869</v>
      </c>
      <c r="AN881" t="s">
        <v>870</v>
      </c>
      <c r="AO881" t="s">
        <v>1509</v>
      </c>
      <c r="AP881" t="s">
        <v>74</v>
      </c>
      <c r="AQ881" t="s">
        <v>74</v>
      </c>
      <c r="AR881" t="s">
        <v>1510</v>
      </c>
      <c r="AS881" t="s">
        <v>1511</v>
      </c>
      <c r="AT881" t="s">
        <v>17004</v>
      </c>
      <c r="AU881">
        <v>2019</v>
      </c>
      <c r="AV881">
        <v>10</v>
      </c>
      <c r="AW881" t="s">
        <v>74</v>
      </c>
      <c r="AX881" t="s">
        <v>74</v>
      </c>
      <c r="AY881" t="s">
        <v>74</v>
      </c>
      <c r="AZ881" t="s">
        <v>74</v>
      </c>
      <c r="BA881" t="s">
        <v>74</v>
      </c>
      <c r="BB881" t="s">
        <v>74</v>
      </c>
      <c r="BC881" t="s">
        <v>74</v>
      </c>
      <c r="BD881">
        <v>1019</v>
      </c>
      <c r="BE881" t="s">
        <v>17022</v>
      </c>
      <c r="BF881" t="str">
        <f>HYPERLINK("http://dx.doi.org/10.3389/fmicb.2019.01019","http://dx.doi.org/10.3389/fmicb.2019.01019")</f>
        <v>http://dx.doi.org/10.3389/fmicb.2019.01019</v>
      </c>
      <c r="BG881" t="s">
        <v>74</v>
      </c>
      <c r="BH881" t="s">
        <v>74</v>
      </c>
      <c r="BI881">
        <v>18</v>
      </c>
      <c r="BJ881" t="s">
        <v>1514</v>
      </c>
      <c r="BK881" t="s">
        <v>101</v>
      </c>
      <c r="BL881" t="s">
        <v>1514</v>
      </c>
      <c r="BM881" t="s">
        <v>17023</v>
      </c>
      <c r="BN881">
        <v>31134036</v>
      </c>
      <c r="BO881" t="s">
        <v>313</v>
      </c>
      <c r="BP881" t="s">
        <v>74</v>
      </c>
      <c r="BQ881" t="s">
        <v>74</v>
      </c>
      <c r="BR881" t="s">
        <v>103</v>
      </c>
      <c r="BS881" t="s">
        <v>17024</v>
      </c>
      <c r="BT881" t="str">
        <f>HYPERLINK("https%3A%2F%2Fwww.webofscience.com%2Fwos%2Fwoscc%2Ffull-record%2FWOS:000467619000001","View Full Record in Web of Science")</f>
        <v>View Full Record in Web of Science</v>
      </c>
    </row>
    <row r="882" spans="1:72" x14ac:dyDescent="0.15">
      <c r="A882" t="s">
        <v>72</v>
      </c>
      <c r="B882" t="s">
        <v>17025</v>
      </c>
      <c r="C882" t="s">
        <v>74</v>
      </c>
      <c r="D882" t="s">
        <v>74</v>
      </c>
      <c r="E882" t="s">
        <v>74</v>
      </c>
      <c r="F882" t="s">
        <v>17026</v>
      </c>
      <c r="G882" t="s">
        <v>74</v>
      </c>
      <c r="H882" t="s">
        <v>74</v>
      </c>
      <c r="I882" t="s">
        <v>17027</v>
      </c>
      <c r="J882" t="s">
        <v>989</v>
      </c>
      <c r="K882" t="s">
        <v>74</v>
      </c>
      <c r="L882" t="s">
        <v>74</v>
      </c>
      <c r="M882" t="s">
        <v>78</v>
      </c>
      <c r="N882" t="s">
        <v>108</v>
      </c>
      <c r="O882" t="s">
        <v>74</v>
      </c>
      <c r="P882" t="s">
        <v>74</v>
      </c>
      <c r="Q882" t="s">
        <v>74</v>
      </c>
      <c r="R882" t="s">
        <v>74</v>
      </c>
      <c r="S882" t="s">
        <v>74</v>
      </c>
      <c r="T882" t="s">
        <v>74</v>
      </c>
      <c r="U882" t="s">
        <v>17028</v>
      </c>
      <c r="V882" t="s">
        <v>17029</v>
      </c>
      <c r="W882" t="s">
        <v>17030</v>
      </c>
      <c r="X882" t="s">
        <v>17031</v>
      </c>
      <c r="Y882" t="s">
        <v>17032</v>
      </c>
      <c r="Z882" t="s">
        <v>17033</v>
      </c>
      <c r="AA882" t="s">
        <v>17034</v>
      </c>
      <c r="AB882" t="s">
        <v>17035</v>
      </c>
      <c r="AC882" t="s">
        <v>17036</v>
      </c>
      <c r="AD882" t="s">
        <v>17037</v>
      </c>
      <c r="AE882" t="s">
        <v>17038</v>
      </c>
      <c r="AF882" t="s">
        <v>74</v>
      </c>
      <c r="AG882">
        <v>29</v>
      </c>
      <c r="AH882">
        <v>4</v>
      </c>
      <c r="AI882">
        <v>4</v>
      </c>
      <c r="AJ882">
        <v>0</v>
      </c>
      <c r="AK882">
        <v>1</v>
      </c>
      <c r="AL882" t="s">
        <v>998</v>
      </c>
      <c r="AM882" t="s">
        <v>657</v>
      </c>
      <c r="AN882" t="s">
        <v>999</v>
      </c>
      <c r="AO882" t="s">
        <v>1000</v>
      </c>
      <c r="AP882" t="s">
        <v>74</v>
      </c>
      <c r="AQ882" t="s">
        <v>74</v>
      </c>
      <c r="AR882" t="s">
        <v>1001</v>
      </c>
      <c r="AS882" t="s">
        <v>1002</v>
      </c>
      <c r="AT882" t="s">
        <v>17039</v>
      </c>
      <c r="AU882">
        <v>2019</v>
      </c>
      <c r="AV882">
        <v>9</v>
      </c>
      <c r="AW882" t="s">
        <v>74</v>
      </c>
      <c r="AX882" t="s">
        <v>74</v>
      </c>
      <c r="AY882" t="s">
        <v>74</v>
      </c>
      <c r="AZ882" t="s">
        <v>74</v>
      </c>
      <c r="BA882" t="s">
        <v>74</v>
      </c>
      <c r="BB882" t="s">
        <v>74</v>
      </c>
      <c r="BC882" t="s">
        <v>74</v>
      </c>
      <c r="BD882">
        <v>7148</v>
      </c>
      <c r="BE882" t="s">
        <v>17040</v>
      </c>
      <c r="BF882" t="str">
        <f>HYPERLINK("http://dx.doi.org/10.1038/s41598-019-43763-w","http://dx.doi.org/10.1038/s41598-019-43763-w")</f>
        <v>http://dx.doi.org/10.1038/s41598-019-43763-w</v>
      </c>
      <c r="BG882" t="s">
        <v>74</v>
      </c>
      <c r="BH882" t="s">
        <v>74</v>
      </c>
      <c r="BI882">
        <v>6</v>
      </c>
      <c r="BJ882" t="s">
        <v>1004</v>
      </c>
      <c r="BK882" t="s">
        <v>101</v>
      </c>
      <c r="BL882" t="s">
        <v>1005</v>
      </c>
      <c r="BM882" t="s">
        <v>17041</v>
      </c>
      <c r="BN882">
        <v>31073216</v>
      </c>
      <c r="BO882" t="s">
        <v>331</v>
      </c>
      <c r="BP882" t="s">
        <v>74</v>
      </c>
      <c r="BQ882" t="s">
        <v>74</v>
      </c>
      <c r="BR882" t="s">
        <v>103</v>
      </c>
      <c r="BS882" t="s">
        <v>17042</v>
      </c>
      <c r="BT882" t="str">
        <f>HYPERLINK("https%3A%2F%2Fwww.webofscience.com%2Fwos%2Fwoscc%2Ffull-record%2FWOS:000467538500028","View Full Record in Web of Science")</f>
        <v>View Full Record in Web of Science</v>
      </c>
    </row>
    <row r="883" spans="1:72" x14ac:dyDescent="0.15">
      <c r="A883" t="s">
        <v>72</v>
      </c>
      <c r="B883" t="s">
        <v>17043</v>
      </c>
      <c r="C883" t="s">
        <v>74</v>
      </c>
      <c r="D883" t="s">
        <v>74</v>
      </c>
      <c r="E883" t="s">
        <v>74</v>
      </c>
      <c r="F883" t="s">
        <v>17044</v>
      </c>
      <c r="G883" t="s">
        <v>74</v>
      </c>
      <c r="H883" t="s">
        <v>74</v>
      </c>
      <c r="I883" t="s">
        <v>17045</v>
      </c>
      <c r="J883" t="s">
        <v>2024</v>
      </c>
      <c r="K883" t="s">
        <v>74</v>
      </c>
      <c r="L883" t="s">
        <v>74</v>
      </c>
      <c r="M883" t="s">
        <v>78</v>
      </c>
      <c r="N883" t="s">
        <v>108</v>
      </c>
      <c r="O883" t="s">
        <v>74</v>
      </c>
      <c r="P883" t="s">
        <v>74</v>
      </c>
      <c r="Q883" t="s">
        <v>74</v>
      </c>
      <c r="R883" t="s">
        <v>74</v>
      </c>
      <c r="S883" t="s">
        <v>74</v>
      </c>
      <c r="T883" t="s">
        <v>74</v>
      </c>
      <c r="U883" t="s">
        <v>17046</v>
      </c>
      <c r="V883" t="s">
        <v>17047</v>
      </c>
      <c r="W883" t="s">
        <v>17048</v>
      </c>
      <c r="X883" t="s">
        <v>2346</v>
      </c>
      <c r="Y883" t="s">
        <v>4084</v>
      </c>
      <c r="Z883" t="s">
        <v>4085</v>
      </c>
      <c r="AA883" t="s">
        <v>17049</v>
      </c>
      <c r="AB883" t="s">
        <v>17050</v>
      </c>
      <c r="AC883" t="s">
        <v>17051</v>
      </c>
      <c r="AD883" t="s">
        <v>17052</v>
      </c>
      <c r="AE883" t="s">
        <v>17053</v>
      </c>
      <c r="AF883" t="s">
        <v>74</v>
      </c>
      <c r="AG883">
        <v>58</v>
      </c>
      <c r="AH883">
        <v>8</v>
      </c>
      <c r="AI883">
        <v>9</v>
      </c>
      <c r="AJ883">
        <v>3</v>
      </c>
      <c r="AK883">
        <v>16</v>
      </c>
      <c r="AL883" t="s">
        <v>2032</v>
      </c>
      <c r="AM883" t="s">
        <v>2033</v>
      </c>
      <c r="AN883" t="s">
        <v>2034</v>
      </c>
      <c r="AO883" t="s">
        <v>2035</v>
      </c>
      <c r="AP883" t="s">
        <v>74</v>
      </c>
      <c r="AQ883" t="s">
        <v>74</v>
      </c>
      <c r="AR883" t="s">
        <v>2024</v>
      </c>
      <c r="AS883" t="s">
        <v>2036</v>
      </c>
      <c r="AT883" t="s">
        <v>17054</v>
      </c>
      <c r="AU883">
        <v>2019</v>
      </c>
      <c r="AV883">
        <v>14</v>
      </c>
      <c r="AW883">
        <v>5</v>
      </c>
      <c r="AX883" t="s">
        <v>74</v>
      </c>
      <c r="AY883" t="s">
        <v>74</v>
      </c>
      <c r="AZ883" t="s">
        <v>74</v>
      </c>
      <c r="BA883" t="s">
        <v>74</v>
      </c>
      <c r="BB883" t="s">
        <v>74</v>
      </c>
      <c r="BC883" t="s">
        <v>74</v>
      </c>
      <c r="BD883" t="s">
        <v>17055</v>
      </c>
      <c r="BE883" t="s">
        <v>17056</v>
      </c>
      <c r="BF883" t="str">
        <f>HYPERLINK("http://dx.doi.org/10.1371/journal.pone.0216565","http://dx.doi.org/10.1371/journal.pone.0216565")</f>
        <v>http://dx.doi.org/10.1371/journal.pone.0216565</v>
      </c>
      <c r="BG883" t="s">
        <v>74</v>
      </c>
      <c r="BH883" t="s">
        <v>74</v>
      </c>
      <c r="BI883">
        <v>15</v>
      </c>
      <c r="BJ883" t="s">
        <v>1004</v>
      </c>
      <c r="BK883" t="s">
        <v>101</v>
      </c>
      <c r="BL883" t="s">
        <v>1005</v>
      </c>
      <c r="BM883" t="s">
        <v>17057</v>
      </c>
      <c r="BN883">
        <v>31067284</v>
      </c>
      <c r="BO883" t="s">
        <v>9492</v>
      </c>
      <c r="BP883" t="s">
        <v>74</v>
      </c>
      <c r="BQ883" t="s">
        <v>74</v>
      </c>
      <c r="BR883" t="s">
        <v>103</v>
      </c>
      <c r="BS883" t="s">
        <v>17058</v>
      </c>
      <c r="BT883" t="str">
        <f>HYPERLINK("https%3A%2F%2Fwww.webofscience.com%2Fwos%2Fwoscc%2Ffull-record%2FWOS:000467373000049","View Full Record in Web of Science")</f>
        <v>View Full Record in Web of Science</v>
      </c>
    </row>
    <row r="884" spans="1:72" x14ac:dyDescent="0.15">
      <c r="A884" t="s">
        <v>72</v>
      </c>
      <c r="B884" t="s">
        <v>17059</v>
      </c>
      <c r="C884" t="s">
        <v>74</v>
      </c>
      <c r="D884" t="s">
        <v>74</v>
      </c>
      <c r="E884" t="s">
        <v>74</v>
      </c>
      <c r="F884" t="s">
        <v>17060</v>
      </c>
      <c r="G884" t="s">
        <v>74</v>
      </c>
      <c r="H884" t="s">
        <v>74</v>
      </c>
      <c r="I884" t="s">
        <v>17061</v>
      </c>
      <c r="J884" t="s">
        <v>2737</v>
      </c>
      <c r="K884" t="s">
        <v>74</v>
      </c>
      <c r="L884" t="s">
        <v>74</v>
      </c>
      <c r="M884" t="s">
        <v>78</v>
      </c>
      <c r="N884" t="s">
        <v>108</v>
      </c>
      <c r="O884" t="s">
        <v>74</v>
      </c>
      <c r="P884" t="s">
        <v>74</v>
      </c>
      <c r="Q884" t="s">
        <v>74</v>
      </c>
      <c r="R884" t="s">
        <v>74</v>
      </c>
      <c r="S884" t="s">
        <v>74</v>
      </c>
      <c r="T884" t="s">
        <v>17062</v>
      </c>
      <c r="U884" t="s">
        <v>17063</v>
      </c>
      <c r="V884" t="s">
        <v>17064</v>
      </c>
      <c r="W884" t="s">
        <v>17065</v>
      </c>
      <c r="X884" t="s">
        <v>17066</v>
      </c>
      <c r="Y884" t="s">
        <v>17067</v>
      </c>
      <c r="Z884" t="s">
        <v>17068</v>
      </c>
      <c r="AA884" t="s">
        <v>17069</v>
      </c>
      <c r="AB884" t="s">
        <v>17070</v>
      </c>
      <c r="AC884" t="s">
        <v>17071</v>
      </c>
      <c r="AD884" t="s">
        <v>17072</v>
      </c>
      <c r="AE884" t="s">
        <v>17073</v>
      </c>
      <c r="AF884" t="s">
        <v>74</v>
      </c>
      <c r="AG884">
        <v>80</v>
      </c>
      <c r="AH884">
        <v>6</v>
      </c>
      <c r="AI884">
        <v>7</v>
      </c>
      <c r="AJ884">
        <v>1</v>
      </c>
      <c r="AK884">
        <v>11</v>
      </c>
      <c r="AL884" t="s">
        <v>2749</v>
      </c>
      <c r="AM884" t="s">
        <v>2750</v>
      </c>
      <c r="AN884" t="s">
        <v>2751</v>
      </c>
      <c r="AO884" t="s">
        <v>2752</v>
      </c>
      <c r="AP884" t="s">
        <v>2753</v>
      </c>
      <c r="AQ884" t="s">
        <v>74</v>
      </c>
      <c r="AR884" t="s">
        <v>7805</v>
      </c>
      <c r="AS884" t="s">
        <v>2755</v>
      </c>
      <c r="AT884" t="s">
        <v>17074</v>
      </c>
      <c r="AU884">
        <v>2019</v>
      </c>
      <c r="AV884">
        <v>38</v>
      </c>
      <c r="AW884" t="s">
        <v>74</v>
      </c>
      <c r="AX884" t="s">
        <v>74</v>
      </c>
      <c r="AY884" t="s">
        <v>74</v>
      </c>
      <c r="AZ884" t="s">
        <v>74</v>
      </c>
      <c r="BA884" t="s">
        <v>74</v>
      </c>
      <c r="BB884" t="s">
        <v>74</v>
      </c>
      <c r="BC884" t="s">
        <v>74</v>
      </c>
      <c r="BD884">
        <v>3494</v>
      </c>
      <c r="BE884" t="s">
        <v>17075</v>
      </c>
      <c r="BF884" t="str">
        <f>HYPERLINK("http://dx.doi.org/10.33265/polar.v38.3494","http://dx.doi.org/10.33265/polar.v38.3494")</f>
        <v>http://dx.doi.org/10.33265/polar.v38.3494</v>
      </c>
      <c r="BG884" t="s">
        <v>74</v>
      </c>
      <c r="BH884" t="s">
        <v>74</v>
      </c>
      <c r="BI884">
        <v>12</v>
      </c>
      <c r="BJ884" t="s">
        <v>2757</v>
      </c>
      <c r="BK884" t="s">
        <v>101</v>
      </c>
      <c r="BL884" t="s">
        <v>2758</v>
      </c>
      <c r="BM884" t="s">
        <v>17076</v>
      </c>
      <c r="BN884" t="s">
        <v>74</v>
      </c>
      <c r="BO884" t="s">
        <v>2270</v>
      </c>
      <c r="BP884" t="s">
        <v>74</v>
      </c>
      <c r="BQ884" t="s">
        <v>74</v>
      </c>
      <c r="BR884" t="s">
        <v>103</v>
      </c>
      <c r="BS884" t="s">
        <v>17077</v>
      </c>
      <c r="BT884" t="str">
        <f>HYPERLINK("https%3A%2F%2Fwww.webofscience.com%2Fwos%2Fwoscc%2Ffull-record%2FWOS:000474231700001","View Full Record in Web of Science")</f>
        <v>View Full Record in Web of Science</v>
      </c>
    </row>
    <row r="885" spans="1:72" x14ac:dyDescent="0.15">
      <c r="A885" t="s">
        <v>72</v>
      </c>
      <c r="B885" t="s">
        <v>17078</v>
      </c>
      <c r="C885" t="s">
        <v>74</v>
      </c>
      <c r="D885" t="s">
        <v>74</v>
      </c>
      <c r="E885" t="s">
        <v>74</v>
      </c>
      <c r="F885" t="s">
        <v>17079</v>
      </c>
      <c r="G885" t="s">
        <v>74</v>
      </c>
      <c r="H885" t="s">
        <v>74</v>
      </c>
      <c r="I885" t="s">
        <v>17080</v>
      </c>
      <c r="J885" t="s">
        <v>1565</v>
      </c>
      <c r="K885" t="s">
        <v>74</v>
      </c>
      <c r="L885" t="s">
        <v>74</v>
      </c>
      <c r="M885" t="s">
        <v>78</v>
      </c>
      <c r="N885" t="s">
        <v>108</v>
      </c>
      <c r="O885" t="s">
        <v>74</v>
      </c>
      <c r="P885" t="s">
        <v>74</v>
      </c>
      <c r="Q885" t="s">
        <v>74</v>
      </c>
      <c r="R885" t="s">
        <v>74</v>
      </c>
      <c r="S885" t="s">
        <v>74</v>
      </c>
      <c r="T885" t="s">
        <v>74</v>
      </c>
      <c r="U885" t="s">
        <v>17081</v>
      </c>
      <c r="V885" t="s">
        <v>17082</v>
      </c>
      <c r="W885" t="s">
        <v>17083</v>
      </c>
      <c r="X885" t="s">
        <v>4608</v>
      </c>
      <c r="Y885" t="s">
        <v>17084</v>
      </c>
      <c r="Z885" t="s">
        <v>17085</v>
      </c>
      <c r="AA885" t="s">
        <v>17086</v>
      </c>
      <c r="AB885" t="s">
        <v>17087</v>
      </c>
      <c r="AC885" t="s">
        <v>17088</v>
      </c>
      <c r="AD885" t="s">
        <v>17089</v>
      </c>
      <c r="AE885" t="s">
        <v>17090</v>
      </c>
      <c r="AF885" t="s">
        <v>74</v>
      </c>
      <c r="AG885">
        <v>99</v>
      </c>
      <c r="AH885">
        <v>25</v>
      </c>
      <c r="AI885">
        <v>26</v>
      </c>
      <c r="AJ885">
        <v>4</v>
      </c>
      <c r="AK885">
        <v>38</v>
      </c>
      <c r="AL885" t="s">
        <v>1577</v>
      </c>
      <c r="AM885" t="s">
        <v>183</v>
      </c>
      <c r="AN885" t="s">
        <v>1578</v>
      </c>
      <c r="AO885" t="s">
        <v>1579</v>
      </c>
      <c r="AP885" t="s">
        <v>1580</v>
      </c>
      <c r="AQ885" t="s">
        <v>74</v>
      </c>
      <c r="AR885" t="s">
        <v>1581</v>
      </c>
      <c r="AS885" t="s">
        <v>1582</v>
      </c>
      <c r="AT885" t="s">
        <v>17074</v>
      </c>
      <c r="AU885">
        <v>2019</v>
      </c>
      <c r="AV885">
        <v>53</v>
      </c>
      <c r="AW885">
        <v>9</v>
      </c>
      <c r="AX885" t="s">
        <v>74</v>
      </c>
      <c r="AY885" t="s">
        <v>74</v>
      </c>
      <c r="AZ885" t="s">
        <v>74</v>
      </c>
      <c r="BA885" t="s">
        <v>74</v>
      </c>
      <c r="BB885">
        <v>5016</v>
      </c>
      <c r="BC885">
        <v>5026</v>
      </c>
      <c r="BD885" t="s">
        <v>74</v>
      </c>
      <c r="BE885" t="s">
        <v>17091</v>
      </c>
      <c r="BF885" t="str">
        <f>HYPERLINK("http://dx.doi.org/10.1021/acs.est.9b00714","http://dx.doi.org/10.1021/acs.est.9b00714")</f>
        <v>http://dx.doi.org/10.1021/acs.est.9b00714</v>
      </c>
      <c r="BG885" t="s">
        <v>74</v>
      </c>
      <c r="BH885" t="s">
        <v>74</v>
      </c>
      <c r="BI885">
        <v>11</v>
      </c>
      <c r="BJ885" t="s">
        <v>1585</v>
      </c>
      <c r="BK885" t="s">
        <v>101</v>
      </c>
      <c r="BL885" t="s">
        <v>1586</v>
      </c>
      <c r="BM885" t="s">
        <v>17092</v>
      </c>
      <c r="BN885">
        <v>30925214</v>
      </c>
      <c r="BO885" t="s">
        <v>136</v>
      </c>
      <c r="BP885" t="s">
        <v>74</v>
      </c>
      <c r="BQ885" t="s">
        <v>74</v>
      </c>
      <c r="BR885" t="s">
        <v>103</v>
      </c>
      <c r="BS885" t="s">
        <v>17093</v>
      </c>
      <c r="BT885" t="str">
        <f>HYPERLINK("https%3A%2F%2Fwww.webofscience.com%2Fwos%2Fwoscc%2Ffull-record%2FWOS:000467641800038","View Full Record in Web of Science")</f>
        <v>View Full Record in Web of Science</v>
      </c>
    </row>
    <row r="886" spans="1:72" x14ac:dyDescent="0.15">
      <c r="A886" t="s">
        <v>72</v>
      </c>
      <c r="B886" t="s">
        <v>17094</v>
      </c>
      <c r="C886" t="s">
        <v>74</v>
      </c>
      <c r="D886" t="s">
        <v>74</v>
      </c>
      <c r="E886" t="s">
        <v>74</v>
      </c>
      <c r="F886" t="s">
        <v>17095</v>
      </c>
      <c r="G886" t="s">
        <v>74</v>
      </c>
      <c r="H886" t="s">
        <v>74</v>
      </c>
      <c r="I886" t="s">
        <v>17096</v>
      </c>
      <c r="J886" t="s">
        <v>2024</v>
      </c>
      <c r="K886" t="s">
        <v>74</v>
      </c>
      <c r="L886" t="s">
        <v>74</v>
      </c>
      <c r="M886" t="s">
        <v>78</v>
      </c>
      <c r="N886" t="s">
        <v>108</v>
      </c>
      <c r="O886" t="s">
        <v>74</v>
      </c>
      <c r="P886" t="s">
        <v>74</v>
      </c>
      <c r="Q886" t="s">
        <v>74</v>
      </c>
      <c r="R886" t="s">
        <v>74</v>
      </c>
      <c r="S886" t="s">
        <v>74</v>
      </c>
      <c r="T886" t="s">
        <v>74</v>
      </c>
      <c r="U886" t="s">
        <v>17097</v>
      </c>
      <c r="V886" t="s">
        <v>17098</v>
      </c>
      <c r="W886" t="s">
        <v>17099</v>
      </c>
      <c r="X886" t="s">
        <v>17100</v>
      </c>
      <c r="Y886" t="s">
        <v>17101</v>
      </c>
      <c r="Z886" t="s">
        <v>17102</v>
      </c>
      <c r="AA886" t="s">
        <v>17103</v>
      </c>
      <c r="AB886" t="s">
        <v>17104</v>
      </c>
      <c r="AC886" t="s">
        <v>17105</v>
      </c>
      <c r="AD886" t="s">
        <v>17106</v>
      </c>
      <c r="AE886" t="s">
        <v>17107</v>
      </c>
      <c r="AF886" t="s">
        <v>74</v>
      </c>
      <c r="AG886">
        <v>73</v>
      </c>
      <c r="AH886">
        <v>8</v>
      </c>
      <c r="AI886">
        <v>8</v>
      </c>
      <c r="AJ886">
        <v>0</v>
      </c>
      <c r="AK886">
        <v>14</v>
      </c>
      <c r="AL886" t="s">
        <v>2032</v>
      </c>
      <c r="AM886" t="s">
        <v>2033</v>
      </c>
      <c r="AN886" t="s">
        <v>2034</v>
      </c>
      <c r="AO886" t="s">
        <v>2035</v>
      </c>
      <c r="AP886" t="s">
        <v>74</v>
      </c>
      <c r="AQ886" t="s">
        <v>74</v>
      </c>
      <c r="AR886" t="s">
        <v>2024</v>
      </c>
      <c r="AS886" t="s">
        <v>2036</v>
      </c>
      <c r="AT886" t="s">
        <v>17074</v>
      </c>
      <c r="AU886">
        <v>2019</v>
      </c>
      <c r="AV886">
        <v>14</v>
      </c>
      <c r="AW886">
        <v>5</v>
      </c>
      <c r="AX886" t="s">
        <v>74</v>
      </c>
      <c r="AY886" t="s">
        <v>74</v>
      </c>
      <c r="AZ886" t="s">
        <v>74</v>
      </c>
      <c r="BA886" t="s">
        <v>74</v>
      </c>
      <c r="BB886" t="s">
        <v>74</v>
      </c>
      <c r="BC886" t="s">
        <v>74</v>
      </c>
      <c r="BD886" t="s">
        <v>17108</v>
      </c>
      <c r="BE886" t="s">
        <v>17109</v>
      </c>
      <c r="BF886" t="str">
        <f>HYPERLINK("http://dx.doi.org/10.1371/journal.pone.0210231","http://dx.doi.org/10.1371/journal.pone.0210231")</f>
        <v>http://dx.doi.org/10.1371/journal.pone.0210231</v>
      </c>
      <c r="BG886" t="s">
        <v>74</v>
      </c>
      <c r="BH886" t="s">
        <v>74</v>
      </c>
      <c r="BI886">
        <v>18</v>
      </c>
      <c r="BJ886" t="s">
        <v>1004</v>
      </c>
      <c r="BK886" t="s">
        <v>101</v>
      </c>
      <c r="BL886" t="s">
        <v>1005</v>
      </c>
      <c r="BM886" t="s">
        <v>17110</v>
      </c>
      <c r="BN886">
        <v>31063495</v>
      </c>
      <c r="BO886" t="s">
        <v>1041</v>
      </c>
      <c r="BP886" t="s">
        <v>74</v>
      </c>
      <c r="BQ886" t="s">
        <v>74</v>
      </c>
      <c r="BR886" t="s">
        <v>103</v>
      </c>
      <c r="BS886" t="s">
        <v>17111</v>
      </c>
      <c r="BT886" t="str">
        <f>HYPERLINK("https%3A%2F%2Fwww.webofscience.com%2Fwos%2Fwoscc%2Ffull-record%2FWOS:000467148400002","View Full Record in Web of Science")</f>
        <v>View Full Record in Web of Science</v>
      </c>
    </row>
    <row r="887" spans="1:72" x14ac:dyDescent="0.15">
      <c r="A887" t="s">
        <v>72</v>
      </c>
      <c r="B887" t="s">
        <v>17112</v>
      </c>
      <c r="C887" t="s">
        <v>74</v>
      </c>
      <c r="D887" t="s">
        <v>74</v>
      </c>
      <c r="E887" t="s">
        <v>74</v>
      </c>
      <c r="F887" t="s">
        <v>17113</v>
      </c>
      <c r="G887" t="s">
        <v>74</v>
      </c>
      <c r="H887" t="s">
        <v>74</v>
      </c>
      <c r="I887" t="s">
        <v>17114</v>
      </c>
      <c r="J887" t="s">
        <v>828</v>
      </c>
      <c r="K887" t="s">
        <v>74</v>
      </c>
      <c r="L887" t="s">
        <v>74</v>
      </c>
      <c r="M887" t="s">
        <v>78</v>
      </c>
      <c r="N887" t="s">
        <v>108</v>
      </c>
      <c r="O887" t="s">
        <v>74</v>
      </c>
      <c r="P887" t="s">
        <v>74</v>
      </c>
      <c r="Q887" t="s">
        <v>74</v>
      </c>
      <c r="R887" t="s">
        <v>74</v>
      </c>
      <c r="S887" t="s">
        <v>74</v>
      </c>
      <c r="T887" t="s">
        <v>74</v>
      </c>
      <c r="U887" t="s">
        <v>17115</v>
      </c>
      <c r="V887" t="s">
        <v>17116</v>
      </c>
      <c r="W887" t="s">
        <v>17117</v>
      </c>
      <c r="X887" t="s">
        <v>17118</v>
      </c>
      <c r="Y887" t="s">
        <v>17119</v>
      </c>
      <c r="Z887" t="s">
        <v>17120</v>
      </c>
      <c r="AA887" t="s">
        <v>17121</v>
      </c>
      <c r="AB887" t="s">
        <v>17122</v>
      </c>
      <c r="AC887" t="s">
        <v>17123</v>
      </c>
      <c r="AD887" t="s">
        <v>17124</v>
      </c>
      <c r="AE887" t="s">
        <v>17125</v>
      </c>
      <c r="AF887" t="s">
        <v>74</v>
      </c>
      <c r="AG887">
        <v>79</v>
      </c>
      <c r="AH887">
        <v>19</v>
      </c>
      <c r="AI887">
        <v>19</v>
      </c>
      <c r="AJ887">
        <v>0</v>
      </c>
      <c r="AK887">
        <v>7</v>
      </c>
      <c r="AL887" t="s">
        <v>839</v>
      </c>
      <c r="AM887" t="s">
        <v>840</v>
      </c>
      <c r="AN887" t="s">
        <v>841</v>
      </c>
      <c r="AO887" t="s">
        <v>842</v>
      </c>
      <c r="AP887" t="s">
        <v>843</v>
      </c>
      <c r="AQ887" t="s">
        <v>74</v>
      </c>
      <c r="AR887" t="s">
        <v>828</v>
      </c>
      <c r="AS887" t="s">
        <v>844</v>
      </c>
      <c r="AT887" t="s">
        <v>17126</v>
      </c>
      <c r="AU887">
        <v>2019</v>
      </c>
      <c r="AV887">
        <v>16</v>
      </c>
      <c r="AW887">
        <v>9</v>
      </c>
      <c r="AX887" t="s">
        <v>74</v>
      </c>
      <c r="AY887" t="s">
        <v>74</v>
      </c>
      <c r="AZ887" t="s">
        <v>74</v>
      </c>
      <c r="BA887" t="s">
        <v>74</v>
      </c>
      <c r="BB887">
        <v>1865</v>
      </c>
      <c r="BC887">
        <v>1881</v>
      </c>
      <c r="BD887" t="s">
        <v>74</v>
      </c>
      <c r="BE887" t="s">
        <v>17127</v>
      </c>
      <c r="BF887" t="str">
        <f>HYPERLINK("http://dx.doi.org/10.5194/bg-16-1865-2019","http://dx.doi.org/10.5194/bg-16-1865-2019")</f>
        <v>http://dx.doi.org/10.5194/bg-16-1865-2019</v>
      </c>
      <c r="BG887" t="s">
        <v>74</v>
      </c>
      <c r="BH887" t="s">
        <v>74</v>
      </c>
      <c r="BI887">
        <v>17</v>
      </c>
      <c r="BJ887" t="s">
        <v>847</v>
      </c>
      <c r="BK887" t="s">
        <v>101</v>
      </c>
      <c r="BL887" t="s">
        <v>848</v>
      </c>
      <c r="BM887" t="s">
        <v>17128</v>
      </c>
      <c r="BN887" t="s">
        <v>74</v>
      </c>
      <c r="BO887" t="s">
        <v>3650</v>
      </c>
      <c r="BP887" t="s">
        <v>74</v>
      </c>
      <c r="BQ887" t="s">
        <v>74</v>
      </c>
      <c r="BR887" t="s">
        <v>103</v>
      </c>
      <c r="BS887" t="s">
        <v>17129</v>
      </c>
      <c r="BT887" t="str">
        <f>HYPERLINK("https%3A%2F%2Fwww.webofscience.com%2Fwos%2Fwoscc%2Ffull-record%2FWOS:000467019000001","View Full Record in Web of Science")</f>
        <v>View Full Record in Web of Science</v>
      </c>
    </row>
    <row r="888" spans="1:72" x14ac:dyDescent="0.15">
      <c r="A888" t="s">
        <v>72</v>
      </c>
      <c r="B888" t="s">
        <v>17130</v>
      </c>
      <c r="C888" t="s">
        <v>74</v>
      </c>
      <c r="D888" t="s">
        <v>74</v>
      </c>
      <c r="E888" t="s">
        <v>74</v>
      </c>
      <c r="F888" t="s">
        <v>17131</v>
      </c>
      <c r="G888" t="s">
        <v>74</v>
      </c>
      <c r="H888" t="s">
        <v>74</v>
      </c>
      <c r="I888" t="s">
        <v>17132</v>
      </c>
      <c r="J888" t="s">
        <v>1470</v>
      </c>
      <c r="K888" t="s">
        <v>74</v>
      </c>
      <c r="L888" t="s">
        <v>74</v>
      </c>
      <c r="M888" t="s">
        <v>78</v>
      </c>
      <c r="N888" t="s">
        <v>108</v>
      </c>
      <c r="O888" t="s">
        <v>74</v>
      </c>
      <c r="P888" t="s">
        <v>74</v>
      </c>
      <c r="Q888" t="s">
        <v>74</v>
      </c>
      <c r="R888" t="s">
        <v>74</v>
      </c>
      <c r="S888" t="s">
        <v>74</v>
      </c>
      <c r="T888" t="s">
        <v>17133</v>
      </c>
      <c r="U888" t="s">
        <v>11843</v>
      </c>
      <c r="V888" t="s">
        <v>17134</v>
      </c>
      <c r="W888" t="s">
        <v>17135</v>
      </c>
      <c r="X888" t="s">
        <v>74</v>
      </c>
      <c r="Y888" t="s">
        <v>17136</v>
      </c>
      <c r="Z888" t="s">
        <v>17137</v>
      </c>
      <c r="AA888" t="s">
        <v>74</v>
      </c>
      <c r="AB888" t="s">
        <v>17138</v>
      </c>
      <c r="AC888" t="s">
        <v>74</v>
      </c>
      <c r="AD888" t="s">
        <v>74</v>
      </c>
      <c r="AE888" t="s">
        <v>74</v>
      </c>
      <c r="AF888" t="s">
        <v>74</v>
      </c>
      <c r="AG888">
        <v>50</v>
      </c>
      <c r="AH888">
        <v>3</v>
      </c>
      <c r="AI888">
        <v>3</v>
      </c>
      <c r="AJ888">
        <v>4</v>
      </c>
      <c r="AK888">
        <v>13</v>
      </c>
      <c r="AL888" t="s">
        <v>1481</v>
      </c>
      <c r="AM888" t="s">
        <v>1275</v>
      </c>
      <c r="AN888" t="s">
        <v>1482</v>
      </c>
      <c r="AO888" t="s">
        <v>1483</v>
      </c>
      <c r="AP888" t="s">
        <v>1484</v>
      </c>
      <c r="AQ888" t="s">
        <v>74</v>
      </c>
      <c r="AR888" t="s">
        <v>1485</v>
      </c>
      <c r="AS888" t="s">
        <v>1486</v>
      </c>
      <c r="AT888" t="s">
        <v>17139</v>
      </c>
      <c r="AU888">
        <v>2019</v>
      </c>
      <c r="AV888">
        <v>73</v>
      </c>
      <c r="AW888">
        <v>3</v>
      </c>
      <c r="AX888" t="s">
        <v>74</v>
      </c>
      <c r="AY888" t="s">
        <v>74</v>
      </c>
      <c r="AZ888" t="s">
        <v>74</v>
      </c>
      <c r="BA888" t="s">
        <v>74</v>
      </c>
      <c r="BB888">
        <v>270</v>
      </c>
      <c r="BC888">
        <v>288</v>
      </c>
      <c r="BD888" t="s">
        <v>74</v>
      </c>
      <c r="BE888" t="s">
        <v>17140</v>
      </c>
      <c r="BF888" t="str">
        <f>HYPERLINK("http://dx.doi.org/10.1080/10357718.2019.1584154","http://dx.doi.org/10.1080/10357718.2019.1584154")</f>
        <v>http://dx.doi.org/10.1080/10357718.2019.1584154</v>
      </c>
      <c r="BG888" t="s">
        <v>74</v>
      </c>
      <c r="BH888" t="s">
        <v>74</v>
      </c>
      <c r="BI888">
        <v>19</v>
      </c>
      <c r="BJ888" t="s">
        <v>1489</v>
      </c>
      <c r="BK888" t="s">
        <v>1490</v>
      </c>
      <c r="BL888" t="s">
        <v>1489</v>
      </c>
      <c r="BM888" t="s">
        <v>17141</v>
      </c>
      <c r="BN888" t="s">
        <v>74</v>
      </c>
      <c r="BO888" t="s">
        <v>74</v>
      </c>
      <c r="BP888" t="s">
        <v>74</v>
      </c>
      <c r="BQ888" t="s">
        <v>74</v>
      </c>
      <c r="BR888" t="s">
        <v>103</v>
      </c>
      <c r="BS888" t="s">
        <v>17142</v>
      </c>
      <c r="BT888" t="str">
        <f>HYPERLINK("https%3A%2F%2Fwww.webofscience.com%2Fwos%2Fwoscc%2Ffull-record%2FWOS:000468448200005","View Full Record in Web of Science")</f>
        <v>View Full Record in Web of Science</v>
      </c>
    </row>
    <row r="889" spans="1:72" x14ac:dyDescent="0.15">
      <c r="A889" t="s">
        <v>72</v>
      </c>
      <c r="B889" t="s">
        <v>17143</v>
      </c>
      <c r="C889" t="s">
        <v>74</v>
      </c>
      <c r="D889" t="s">
        <v>74</v>
      </c>
      <c r="E889" t="s">
        <v>74</v>
      </c>
      <c r="F889" t="s">
        <v>17144</v>
      </c>
      <c r="G889" t="s">
        <v>74</v>
      </c>
      <c r="H889" t="s">
        <v>74</v>
      </c>
      <c r="I889" t="s">
        <v>17145</v>
      </c>
      <c r="J889" t="s">
        <v>17146</v>
      </c>
      <c r="K889" t="s">
        <v>74</v>
      </c>
      <c r="L889" t="s">
        <v>74</v>
      </c>
      <c r="M889" t="s">
        <v>78</v>
      </c>
      <c r="N889" t="s">
        <v>108</v>
      </c>
      <c r="O889" t="s">
        <v>74</v>
      </c>
      <c r="P889" t="s">
        <v>74</v>
      </c>
      <c r="Q889" t="s">
        <v>74</v>
      </c>
      <c r="R889" t="s">
        <v>74</v>
      </c>
      <c r="S889" t="s">
        <v>74</v>
      </c>
      <c r="T889" t="s">
        <v>74</v>
      </c>
      <c r="U889" t="s">
        <v>17147</v>
      </c>
      <c r="V889" t="s">
        <v>17148</v>
      </c>
      <c r="W889" t="s">
        <v>17149</v>
      </c>
      <c r="X889" t="s">
        <v>17150</v>
      </c>
      <c r="Y889" t="s">
        <v>17151</v>
      </c>
      <c r="Z889" t="s">
        <v>17152</v>
      </c>
      <c r="AA889" t="s">
        <v>16546</v>
      </c>
      <c r="AB889" t="s">
        <v>74</v>
      </c>
      <c r="AC889" t="s">
        <v>17153</v>
      </c>
      <c r="AD889" t="s">
        <v>17154</v>
      </c>
      <c r="AE889" t="s">
        <v>17155</v>
      </c>
      <c r="AF889" t="s">
        <v>74</v>
      </c>
      <c r="AG889">
        <v>37</v>
      </c>
      <c r="AH889">
        <v>8</v>
      </c>
      <c r="AI889">
        <v>10</v>
      </c>
      <c r="AJ889">
        <v>2</v>
      </c>
      <c r="AK889">
        <v>45</v>
      </c>
      <c r="AL889" t="s">
        <v>1274</v>
      </c>
      <c r="AM889" t="s">
        <v>1275</v>
      </c>
      <c r="AN889" t="s">
        <v>1276</v>
      </c>
      <c r="AO889" t="s">
        <v>17156</v>
      </c>
      <c r="AP889" t="s">
        <v>17157</v>
      </c>
      <c r="AQ889" t="s">
        <v>74</v>
      </c>
      <c r="AR889" t="s">
        <v>17158</v>
      </c>
      <c r="AS889" t="s">
        <v>17159</v>
      </c>
      <c r="AT889" t="s">
        <v>17139</v>
      </c>
      <c r="AU889">
        <v>2019</v>
      </c>
      <c r="AV889">
        <v>10</v>
      </c>
      <c r="AW889">
        <v>5</v>
      </c>
      <c r="AX889" t="s">
        <v>74</v>
      </c>
      <c r="AY889" t="s">
        <v>74</v>
      </c>
      <c r="AZ889" t="s">
        <v>74</v>
      </c>
      <c r="BA889" t="s">
        <v>74</v>
      </c>
      <c r="BB889">
        <v>430</v>
      </c>
      <c r="BC889">
        <v>438</v>
      </c>
      <c r="BD889" t="s">
        <v>74</v>
      </c>
      <c r="BE889" t="s">
        <v>17160</v>
      </c>
      <c r="BF889" t="str">
        <f>HYPERLINK("http://dx.doi.org/10.1080/2150704X.2018.1553317","http://dx.doi.org/10.1080/2150704X.2018.1553317")</f>
        <v>http://dx.doi.org/10.1080/2150704X.2018.1553317</v>
      </c>
      <c r="BG889" t="s">
        <v>74</v>
      </c>
      <c r="BH889" t="s">
        <v>74</v>
      </c>
      <c r="BI889">
        <v>9</v>
      </c>
      <c r="BJ889" t="s">
        <v>7790</v>
      </c>
      <c r="BK889" t="s">
        <v>101</v>
      </c>
      <c r="BL889" t="s">
        <v>7790</v>
      </c>
      <c r="BM889" t="s">
        <v>17161</v>
      </c>
      <c r="BN889" t="s">
        <v>74</v>
      </c>
      <c r="BO889" t="s">
        <v>74</v>
      </c>
      <c r="BP889" t="s">
        <v>74</v>
      </c>
      <c r="BQ889" t="s">
        <v>74</v>
      </c>
      <c r="BR889" t="s">
        <v>103</v>
      </c>
      <c r="BS889" t="s">
        <v>17162</v>
      </c>
      <c r="BT889" t="str">
        <f>HYPERLINK("https%3A%2F%2Fwww.webofscience.com%2Fwos%2Fwoscc%2Ffull-record%2FWOS:000457389100001","View Full Record in Web of Science")</f>
        <v>View Full Record in Web of Science</v>
      </c>
    </row>
    <row r="890" spans="1:72" x14ac:dyDescent="0.15">
      <c r="A890" t="s">
        <v>72</v>
      </c>
      <c r="B890" t="s">
        <v>17163</v>
      </c>
      <c r="C890" t="s">
        <v>74</v>
      </c>
      <c r="D890" t="s">
        <v>74</v>
      </c>
      <c r="E890" t="s">
        <v>74</v>
      </c>
      <c r="F890" t="s">
        <v>17164</v>
      </c>
      <c r="G890" t="s">
        <v>74</v>
      </c>
      <c r="H890" t="s">
        <v>74</v>
      </c>
      <c r="I890" t="s">
        <v>17165</v>
      </c>
      <c r="J890" t="s">
        <v>17166</v>
      </c>
      <c r="K890" t="s">
        <v>74</v>
      </c>
      <c r="L890" t="s">
        <v>74</v>
      </c>
      <c r="M890" t="s">
        <v>78</v>
      </c>
      <c r="N890" t="s">
        <v>108</v>
      </c>
      <c r="O890" t="s">
        <v>74</v>
      </c>
      <c r="P890" t="s">
        <v>74</v>
      </c>
      <c r="Q890" t="s">
        <v>74</v>
      </c>
      <c r="R890" t="s">
        <v>74</v>
      </c>
      <c r="S890" t="s">
        <v>74</v>
      </c>
      <c r="T890" t="s">
        <v>17167</v>
      </c>
      <c r="U890" t="s">
        <v>17168</v>
      </c>
      <c r="V890" t="s">
        <v>17169</v>
      </c>
      <c r="W890" t="s">
        <v>17170</v>
      </c>
      <c r="X890" t="s">
        <v>17171</v>
      </c>
      <c r="Y890" t="s">
        <v>17172</v>
      </c>
      <c r="Z890" t="s">
        <v>17173</v>
      </c>
      <c r="AA890" t="s">
        <v>17174</v>
      </c>
      <c r="AB890" t="s">
        <v>17175</v>
      </c>
      <c r="AC890" t="s">
        <v>17176</v>
      </c>
      <c r="AD890" t="s">
        <v>17176</v>
      </c>
      <c r="AE890" t="s">
        <v>17177</v>
      </c>
      <c r="AF890" t="s">
        <v>74</v>
      </c>
      <c r="AG890">
        <v>54</v>
      </c>
      <c r="AH890">
        <v>3</v>
      </c>
      <c r="AI890">
        <v>3</v>
      </c>
      <c r="AJ890">
        <v>0</v>
      </c>
      <c r="AK890">
        <v>10</v>
      </c>
      <c r="AL890" t="s">
        <v>17178</v>
      </c>
      <c r="AM890" t="s">
        <v>12547</v>
      </c>
      <c r="AN890" t="s">
        <v>12548</v>
      </c>
      <c r="AO890" t="s">
        <v>17179</v>
      </c>
      <c r="AP890" t="s">
        <v>17180</v>
      </c>
      <c r="AQ890" t="s">
        <v>74</v>
      </c>
      <c r="AR890" t="s">
        <v>17181</v>
      </c>
      <c r="AS890" t="s">
        <v>17182</v>
      </c>
      <c r="AT890" t="s">
        <v>17183</v>
      </c>
      <c r="AU890">
        <v>2019</v>
      </c>
      <c r="AV890" t="s">
        <v>74</v>
      </c>
      <c r="AW890">
        <v>34</v>
      </c>
      <c r="AX890" t="s">
        <v>74</v>
      </c>
      <c r="AY890" t="s">
        <v>74</v>
      </c>
      <c r="AZ890" t="s">
        <v>74</v>
      </c>
      <c r="BA890" t="s">
        <v>74</v>
      </c>
      <c r="BB890">
        <v>417</v>
      </c>
      <c r="BC890">
        <v>440</v>
      </c>
      <c r="BD890" t="s">
        <v>74</v>
      </c>
      <c r="BE890" t="s">
        <v>17184</v>
      </c>
      <c r="BF890" t="str">
        <f>HYPERLINK("http://dx.doi.org/10.3897/natureconservation.34.30732","http://dx.doi.org/10.3897/natureconservation.34.30732")</f>
        <v>http://dx.doi.org/10.3897/natureconservation.34.30732</v>
      </c>
      <c r="BG890" t="s">
        <v>74</v>
      </c>
      <c r="BH890" t="s">
        <v>74</v>
      </c>
      <c r="BI890">
        <v>24</v>
      </c>
      <c r="BJ890" t="s">
        <v>13996</v>
      </c>
      <c r="BK890" t="s">
        <v>101</v>
      </c>
      <c r="BL890" t="s">
        <v>13997</v>
      </c>
      <c r="BM890" t="s">
        <v>17185</v>
      </c>
      <c r="BN890" t="s">
        <v>74</v>
      </c>
      <c r="BO890" t="s">
        <v>1041</v>
      </c>
      <c r="BP890" t="s">
        <v>74</v>
      </c>
      <c r="BQ890" t="s">
        <v>74</v>
      </c>
      <c r="BR890" t="s">
        <v>103</v>
      </c>
      <c r="BS890" t="s">
        <v>17186</v>
      </c>
      <c r="BT890" t="str">
        <f>HYPERLINK("https%3A%2F%2Fwww.webofscience.com%2Fwos%2Fwoscc%2Ffull-record%2FWOS:000466756300018","View Full Record in Web of Science")</f>
        <v>View Full Record in Web of Science</v>
      </c>
    </row>
    <row r="891" spans="1:72" x14ac:dyDescent="0.15">
      <c r="A891" t="s">
        <v>72</v>
      </c>
      <c r="B891" t="s">
        <v>17187</v>
      </c>
      <c r="C891" t="s">
        <v>74</v>
      </c>
      <c r="D891" t="s">
        <v>74</v>
      </c>
      <c r="E891" t="s">
        <v>74</v>
      </c>
      <c r="F891" t="s">
        <v>17188</v>
      </c>
      <c r="G891" t="s">
        <v>74</v>
      </c>
      <c r="H891" t="s">
        <v>74</v>
      </c>
      <c r="I891" t="s">
        <v>17189</v>
      </c>
      <c r="J891" t="s">
        <v>17166</v>
      </c>
      <c r="K891" t="s">
        <v>74</v>
      </c>
      <c r="L891" t="s">
        <v>74</v>
      </c>
      <c r="M891" t="s">
        <v>78</v>
      </c>
      <c r="N891" t="s">
        <v>108</v>
      </c>
      <c r="O891" t="s">
        <v>74</v>
      </c>
      <c r="P891" t="s">
        <v>74</v>
      </c>
      <c r="Q891" t="s">
        <v>74</v>
      </c>
      <c r="R891" t="s">
        <v>74</v>
      </c>
      <c r="S891" t="s">
        <v>74</v>
      </c>
      <c r="T891" t="s">
        <v>17190</v>
      </c>
      <c r="U891" t="s">
        <v>17191</v>
      </c>
      <c r="V891" t="s">
        <v>17192</v>
      </c>
      <c r="W891" t="s">
        <v>17193</v>
      </c>
      <c r="X891" t="s">
        <v>17194</v>
      </c>
      <c r="Y891" t="s">
        <v>17195</v>
      </c>
      <c r="Z891" t="s">
        <v>17196</v>
      </c>
      <c r="AA891" t="s">
        <v>17197</v>
      </c>
      <c r="AB891" t="s">
        <v>17198</v>
      </c>
      <c r="AC891" t="s">
        <v>17199</v>
      </c>
      <c r="AD891" t="s">
        <v>17199</v>
      </c>
      <c r="AE891" t="s">
        <v>17200</v>
      </c>
      <c r="AF891" t="s">
        <v>74</v>
      </c>
      <c r="AG891">
        <v>106</v>
      </c>
      <c r="AH891">
        <v>6</v>
      </c>
      <c r="AI891">
        <v>6</v>
      </c>
      <c r="AJ891">
        <v>0</v>
      </c>
      <c r="AK891">
        <v>4</v>
      </c>
      <c r="AL891" t="s">
        <v>17178</v>
      </c>
      <c r="AM891" t="s">
        <v>12547</v>
      </c>
      <c r="AN891" t="s">
        <v>12548</v>
      </c>
      <c r="AO891" t="s">
        <v>17179</v>
      </c>
      <c r="AP891" t="s">
        <v>17180</v>
      </c>
      <c r="AQ891" t="s">
        <v>74</v>
      </c>
      <c r="AR891" t="s">
        <v>17181</v>
      </c>
      <c r="AS891" t="s">
        <v>17182</v>
      </c>
      <c r="AT891" t="s">
        <v>17183</v>
      </c>
      <c r="AU891">
        <v>2019</v>
      </c>
      <c r="AV891" t="s">
        <v>74</v>
      </c>
      <c r="AW891">
        <v>34</v>
      </c>
      <c r="AX891" t="s">
        <v>74</v>
      </c>
      <c r="AY891" t="s">
        <v>74</v>
      </c>
      <c r="AZ891" t="s">
        <v>74</v>
      </c>
      <c r="BA891" t="s">
        <v>74</v>
      </c>
      <c r="BB891">
        <v>441</v>
      </c>
      <c r="BC891">
        <v>475</v>
      </c>
      <c r="BD891" t="s">
        <v>74</v>
      </c>
      <c r="BE891" t="s">
        <v>17201</v>
      </c>
      <c r="BF891" t="str">
        <f>HYPERLINK("http://dx.doi.org/10.3897/natureconservation.34.30631","http://dx.doi.org/10.3897/natureconservation.34.30631")</f>
        <v>http://dx.doi.org/10.3897/natureconservation.34.30631</v>
      </c>
      <c r="BG891" t="s">
        <v>74</v>
      </c>
      <c r="BH891" t="s">
        <v>74</v>
      </c>
      <c r="BI891">
        <v>35</v>
      </c>
      <c r="BJ891" t="s">
        <v>13996</v>
      </c>
      <c r="BK891" t="s">
        <v>101</v>
      </c>
      <c r="BL891" t="s">
        <v>13997</v>
      </c>
      <c r="BM891" t="s">
        <v>17185</v>
      </c>
      <c r="BN891" t="s">
        <v>74</v>
      </c>
      <c r="BO891" t="s">
        <v>1197</v>
      </c>
      <c r="BP891" t="s">
        <v>74</v>
      </c>
      <c r="BQ891" t="s">
        <v>74</v>
      </c>
      <c r="BR891" t="s">
        <v>103</v>
      </c>
      <c r="BS891" t="s">
        <v>17202</v>
      </c>
      <c r="BT891" t="str">
        <f>HYPERLINK("https%3A%2F%2Fwww.webofscience.com%2Fwos%2Fwoscc%2Ffull-record%2FWOS:000466756300019","View Full Record in Web of Science")</f>
        <v>View Full Record in Web of Science</v>
      </c>
    </row>
    <row r="892" spans="1:72" x14ac:dyDescent="0.15">
      <c r="A892" t="s">
        <v>72</v>
      </c>
      <c r="B892" t="s">
        <v>17203</v>
      </c>
      <c r="C892" t="s">
        <v>74</v>
      </c>
      <c r="D892" t="s">
        <v>74</v>
      </c>
      <c r="E892" t="s">
        <v>74</v>
      </c>
      <c r="F892" t="s">
        <v>17204</v>
      </c>
      <c r="G892" t="s">
        <v>74</v>
      </c>
      <c r="H892" t="s">
        <v>74</v>
      </c>
      <c r="I892" t="s">
        <v>17205</v>
      </c>
      <c r="J892" t="s">
        <v>3630</v>
      </c>
      <c r="K892" t="s">
        <v>74</v>
      </c>
      <c r="L892" t="s">
        <v>74</v>
      </c>
      <c r="M892" t="s">
        <v>78</v>
      </c>
      <c r="N892" t="s">
        <v>108</v>
      </c>
      <c r="O892" t="s">
        <v>74</v>
      </c>
      <c r="P892" t="s">
        <v>74</v>
      </c>
      <c r="Q892" t="s">
        <v>74</v>
      </c>
      <c r="R892" t="s">
        <v>74</v>
      </c>
      <c r="S892" t="s">
        <v>74</v>
      </c>
      <c r="T892" t="s">
        <v>17206</v>
      </c>
      <c r="U892" t="s">
        <v>17207</v>
      </c>
      <c r="V892" t="s">
        <v>17208</v>
      </c>
      <c r="W892" t="s">
        <v>17209</v>
      </c>
      <c r="X892" t="s">
        <v>17210</v>
      </c>
      <c r="Y892" t="s">
        <v>17211</v>
      </c>
      <c r="Z892" t="s">
        <v>17212</v>
      </c>
      <c r="AA892" t="s">
        <v>17213</v>
      </c>
      <c r="AB892" t="s">
        <v>17214</v>
      </c>
      <c r="AC892" t="s">
        <v>17215</v>
      </c>
      <c r="AD892" t="s">
        <v>17216</v>
      </c>
      <c r="AE892" t="s">
        <v>17217</v>
      </c>
      <c r="AF892" t="s">
        <v>74</v>
      </c>
      <c r="AG892">
        <v>46</v>
      </c>
      <c r="AH892">
        <v>9</v>
      </c>
      <c r="AI892">
        <v>10</v>
      </c>
      <c r="AJ892">
        <v>4</v>
      </c>
      <c r="AK892">
        <v>20</v>
      </c>
      <c r="AL892" t="s">
        <v>3615</v>
      </c>
      <c r="AM892" t="s">
        <v>3616</v>
      </c>
      <c r="AN892" t="s">
        <v>3617</v>
      </c>
      <c r="AO892" t="s">
        <v>74</v>
      </c>
      <c r="AP892" t="s">
        <v>3643</v>
      </c>
      <c r="AQ892" t="s">
        <v>74</v>
      </c>
      <c r="AR892" t="s">
        <v>3644</v>
      </c>
      <c r="AS892" t="s">
        <v>3645</v>
      </c>
      <c r="AT892" t="s">
        <v>17218</v>
      </c>
      <c r="AU892">
        <v>2019</v>
      </c>
      <c r="AV892">
        <v>11</v>
      </c>
      <c r="AW892">
        <v>10</v>
      </c>
      <c r="AX892" t="s">
        <v>74</v>
      </c>
      <c r="AY892" t="s">
        <v>74</v>
      </c>
      <c r="AZ892" t="s">
        <v>74</v>
      </c>
      <c r="BA892" t="s">
        <v>74</v>
      </c>
      <c r="BB892" t="s">
        <v>74</v>
      </c>
      <c r="BC892" t="s">
        <v>74</v>
      </c>
      <c r="BD892">
        <v>1253</v>
      </c>
      <c r="BE892" t="s">
        <v>17219</v>
      </c>
      <c r="BF892" t="str">
        <f>HYPERLINK("http://dx.doi.org/10.3390/rs11101253","http://dx.doi.org/10.3390/rs11101253")</f>
        <v>http://dx.doi.org/10.3390/rs11101253</v>
      </c>
      <c r="BG892" t="s">
        <v>74</v>
      </c>
      <c r="BH892" t="s">
        <v>74</v>
      </c>
      <c r="BI892">
        <v>17</v>
      </c>
      <c r="BJ892" t="s">
        <v>3647</v>
      </c>
      <c r="BK892" t="s">
        <v>101</v>
      </c>
      <c r="BL892" t="s">
        <v>3648</v>
      </c>
      <c r="BM892" t="s">
        <v>17220</v>
      </c>
      <c r="BN892" t="s">
        <v>74</v>
      </c>
      <c r="BO892" t="s">
        <v>313</v>
      </c>
      <c r="BP892" t="s">
        <v>74</v>
      </c>
      <c r="BQ892" t="s">
        <v>74</v>
      </c>
      <c r="BR892" t="s">
        <v>103</v>
      </c>
      <c r="BS892" t="s">
        <v>17221</v>
      </c>
      <c r="BT892" t="str">
        <f>HYPERLINK("https%3A%2F%2Fwww.webofscience.com%2Fwos%2Fwoscc%2Ffull-record%2FWOS:000480524800111","View Full Record in Web of Science")</f>
        <v>View Full Record in Web of Science</v>
      </c>
    </row>
    <row r="893" spans="1:72" x14ac:dyDescent="0.15">
      <c r="A893" t="s">
        <v>72</v>
      </c>
      <c r="B893" t="s">
        <v>17222</v>
      </c>
      <c r="C893" t="s">
        <v>74</v>
      </c>
      <c r="D893" t="s">
        <v>74</v>
      </c>
      <c r="E893" t="s">
        <v>74</v>
      </c>
      <c r="F893" t="s">
        <v>17223</v>
      </c>
      <c r="G893" t="s">
        <v>74</v>
      </c>
      <c r="H893" t="s">
        <v>74</v>
      </c>
      <c r="I893" t="s">
        <v>17224</v>
      </c>
      <c r="J893" t="s">
        <v>1832</v>
      </c>
      <c r="K893" t="s">
        <v>74</v>
      </c>
      <c r="L893" t="s">
        <v>74</v>
      </c>
      <c r="M893" t="s">
        <v>78</v>
      </c>
      <c r="N893" t="s">
        <v>108</v>
      </c>
      <c r="O893" t="s">
        <v>74</v>
      </c>
      <c r="P893" t="s">
        <v>74</v>
      </c>
      <c r="Q893" t="s">
        <v>74</v>
      </c>
      <c r="R893" t="s">
        <v>74</v>
      </c>
      <c r="S893" t="s">
        <v>74</v>
      </c>
      <c r="T893" t="s">
        <v>74</v>
      </c>
      <c r="U893" t="s">
        <v>17225</v>
      </c>
      <c r="V893" t="s">
        <v>17226</v>
      </c>
      <c r="W893" t="s">
        <v>17227</v>
      </c>
      <c r="X893" t="s">
        <v>17228</v>
      </c>
      <c r="Y893" t="s">
        <v>17229</v>
      </c>
      <c r="Z893" t="s">
        <v>17230</v>
      </c>
      <c r="AA893" t="s">
        <v>17231</v>
      </c>
      <c r="AB893" t="s">
        <v>17232</v>
      </c>
      <c r="AC893" t="s">
        <v>17233</v>
      </c>
      <c r="AD893" t="s">
        <v>17234</v>
      </c>
      <c r="AE893" t="s">
        <v>17235</v>
      </c>
      <c r="AF893" t="s">
        <v>74</v>
      </c>
      <c r="AG893">
        <v>68</v>
      </c>
      <c r="AH893">
        <v>6</v>
      </c>
      <c r="AI893">
        <v>8</v>
      </c>
      <c r="AJ893">
        <v>0</v>
      </c>
      <c r="AK893">
        <v>6</v>
      </c>
      <c r="AL893" t="s">
        <v>839</v>
      </c>
      <c r="AM893" t="s">
        <v>840</v>
      </c>
      <c r="AN893" t="s">
        <v>841</v>
      </c>
      <c r="AO893" t="s">
        <v>1844</v>
      </c>
      <c r="AP893" t="s">
        <v>1845</v>
      </c>
      <c r="AQ893" t="s">
        <v>74</v>
      </c>
      <c r="AR893" t="s">
        <v>1832</v>
      </c>
      <c r="AS893" t="s">
        <v>1846</v>
      </c>
      <c r="AT893" t="s">
        <v>17218</v>
      </c>
      <c r="AU893">
        <v>2019</v>
      </c>
      <c r="AV893">
        <v>13</v>
      </c>
      <c r="AW893">
        <v>4</v>
      </c>
      <c r="AX893" t="s">
        <v>74</v>
      </c>
      <c r="AY893" t="s">
        <v>74</v>
      </c>
      <c r="AZ893" t="s">
        <v>74</v>
      </c>
      <c r="BA893" t="s">
        <v>74</v>
      </c>
      <c r="BB893">
        <v>1409</v>
      </c>
      <c r="BC893">
        <v>1422</v>
      </c>
      <c r="BD893" t="s">
        <v>74</v>
      </c>
      <c r="BE893" t="s">
        <v>17236</v>
      </c>
      <c r="BF893" t="str">
        <f>HYPERLINK("http://dx.doi.org/10.5194/tc-13-1409-2019","http://dx.doi.org/10.5194/tc-13-1409-2019")</f>
        <v>http://dx.doi.org/10.5194/tc-13-1409-2019</v>
      </c>
      <c r="BG893" t="s">
        <v>74</v>
      </c>
      <c r="BH893" t="s">
        <v>74</v>
      </c>
      <c r="BI893">
        <v>14</v>
      </c>
      <c r="BJ893" t="s">
        <v>310</v>
      </c>
      <c r="BK893" t="s">
        <v>101</v>
      </c>
      <c r="BL893" t="s">
        <v>311</v>
      </c>
      <c r="BM893" t="s">
        <v>17237</v>
      </c>
      <c r="BN893" t="s">
        <v>74</v>
      </c>
      <c r="BO893" t="s">
        <v>2270</v>
      </c>
      <c r="BP893" t="s">
        <v>74</v>
      </c>
      <c r="BQ893" t="s">
        <v>74</v>
      </c>
      <c r="BR893" t="s">
        <v>103</v>
      </c>
      <c r="BS893" t="s">
        <v>17238</v>
      </c>
      <c r="BT893" t="str">
        <f>HYPERLINK("https%3A%2F%2Fwww.webofscience.com%2Fwos%2Fwoscc%2Ffull-record%2FWOS:000466794400001","View Full Record in Web of Science")</f>
        <v>View Full Record in Web of Science</v>
      </c>
    </row>
    <row r="894" spans="1:72" x14ac:dyDescent="0.15">
      <c r="A894" t="s">
        <v>72</v>
      </c>
      <c r="B894" t="s">
        <v>17239</v>
      </c>
      <c r="C894" t="s">
        <v>74</v>
      </c>
      <c r="D894" t="s">
        <v>74</v>
      </c>
      <c r="E894" t="s">
        <v>74</v>
      </c>
      <c r="F894" t="s">
        <v>17240</v>
      </c>
      <c r="G894" t="s">
        <v>74</v>
      </c>
      <c r="H894" t="s">
        <v>74</v>
      </c>
      <c r="I894" t="s">
        <v>17241</v>
      </c>
      <c r="J894" t="s">
        <v>8503</v>
      </c>
      <c r="K894" t="s">
        <v>74</v>
      </c>
      <c r="L894" t="s">
        <v>74</v>
      </c>
      <c r="M894" t="s">
        <v>78</v>
      </c>
      <c r="N894" t="s">
        <v>108</v>
      </c>
      <c r="O894" t="s">
        <v>74</v>
      </c>
      <c r="P894" t="s">
        <v>74</v>
      </c>
      <c r="Q894" t="s">
        <v>74</v>
      </c>
      <c r="R894" t="s">
        <v>74</v>
      </c>
      <c r="S894" t="s">
        <v>74</v>
      </c>
      <c r="T894" t="s">
        <v>17242</v>
      </c>
      <c r="U894" t="s">
        <v>74</v>
      </c>
      <c r="V894" t="s">
        <v>17243</v>
      </c>
      <c r="W894" t="s">
        <v>17244</v>
      </c>
      <c r="X894" t="s">
        <v>74</v>
      </c>
      <c r="Y894" t="s">
        <v>17245</v>
      </c>
      <c r="Z894" t="s">
        <v>17246</v>
      </c>
      <c r="AA894" t="s">
        <v>74</v>
      </c>
      <c r="AB894" t="s">
        <v>17247</v>
      </c>
      <c r="AC894" t="s">
        <v>74</v>
      </c>
      <c r="AD894" t="s">
        <v>74</v>
      </c>
      <c r="AE894" t="s">
        <v>74</v>
      </c>
      <c r="AF894" t="s">
        <v>74</v>
      </c>
      <c r="AG894">
        <v>15</v>
      </c>
      <c r="AH894">
        <v>0</v>
      </c>
      <c r="AI894">
        <v>0</v>
      </c>
      <c r="AJ894">
        <v>0</v>
      </c>
      <c r="AK894">
        <v>0</v>
      </c>
      <c r="AL894" t="s">
        <v>302</v>
      </c>
      <c r="AM894" t="s">
        <v>4016</v>
      </c>
      <c r="AN894" t="s">
        <v>4542</v>
      </c>
      <c r="AO894" t="s">
        <v>8515</v>
      </c>
      <c r="AP894" t="s">
        <v>8516</v>
      </c>
      <c r="AQ894" t="s">
        <v>74</v>
      </c>
      <c r="AR894" t="s">
        <v>8517</v>
      </c>
      <c r="AS894" t="s">
        <v>8518</v>
      </c>
      <c r="AT894" t="s">
        <v>6581</v>
      </c>
      <c r="AU894">
        <v>2019</v>
      </c>
      <c r="AV894">
        <v>55</v>
      </c>
      <c r="AW894">
        <v>3</v>
      </c>
      <c r="AX894" t="s">
        <v>74</v>
      </c>
      <c r="AY894" t="s">
        <v>74</v>
      </c>
      <c r="AZ894" t="s">
        <v>74</v>
      </c>
      <c r="BA894" t="s">
        <v>74</v>
      </c>
      <c r="BB894">
        <v>117</v>
      </c>
      <c r="BC894">
        <v>120</v>
      </c>
      <c r="BD894" t="s">
        <v>74</v>
      </c>
      <c r="BE894" t="s">
        <v>17248</v>
      </c>
      <c r="BF894" t="str">
        <f>HYPERLINK("http://dx.doi.org/10.1017/S003224741900041X","http://dx.doi.org/10.1017/S003224741900041X")</f>
        <v>http://dx.doi.org/10.1017/S003224741900041X</v>
      </c>
      <c r="BG894" t="s">
        <v>74</v>
      </c>
      <c r="BH894" t="s">
        <v>74</v>
      </c>
      <c r="BI894">
        <v>4</v>
      </c>
      <c r="BJ894" t="s">
        <v>7452</v>
      </c>
      <c r="BK894" t="s">
        <v>101</v>
      </c>
      <c r="BL894" t="s">
        <v>799</v>
      </c>
      <c r="BM894" t="s">
        <v>17249</v>
      </c>
      <c r="BN894" t="s">
        <v>74</v>
      </c>
      <c r="BO894" t="s">
        <v>74</v>
      </c>
      <c r="BP894" t="s">
        <v>74</v>
      </c>
      <c r="BQ894" t="s">
        <v>74</v>
      </c>
      <c r="BR894" t="s">
        <v>103</v>
      </c>
      <c r="BS894" t="s">
        <v>17250</v>
      </c>
      <c r="BT894" t="str">
        <f>HYPERLINK("https%3A%2F%2Fwww.webofscience.com%2Fwos%2Fwoscc%2Ffull-record%2FWOS:000512995000001","View Full Record in Web of Science")</f>
        <v>View Full Record in Web of Science</v>
      </c>
    </row>
    <row r="895" spans="1:72" x14ac:dyDescent="0.15">
      <c r="A895" t="s">
        <v>72</v>
      </c>
      <c r="B895" t="s">
        <v>17251</v>
      </c>
      <c r="C895" t="s">
        <v>74</v>
      </c>
      <c r="D895" t="s">
        <v>74</v>
      </c>
      <c r="E895" t="s">
        <v>74</v>
      </c>
      <c r="F895" t="s">
        <v>17252</v>
      </c>
      <c r="G895" t="s">
        <v>74</v>
      </c>
      <c r="H895" t="s">
        <v>74</v>
      </c>
      <c r="I895" t="s">
        <v>17253</v>
      </c>
      <c r="J895" t="s">
        <v>8503</v>
      </c>
      <c r="K895" t="s">
        <v>74</v>
      </c>
      <c r="L895" t="s">
        <v>74</v>
      </c>
      <c r="M895" t="s">
        <v>78</v>
      </c>
      <c r="N895" t="s">
        <v>108</v>
      </c>
      <c r="O895" t="s">
        <v>74</v>
      </c>
      <c r="P895" t="s">
        <v>74</v>
      </c>
      <c r="Q895" t="s">
        <v>74</v>
      </c>
      <c r="R895" t="s">
        <v>74</v>
      </c>
      <c r="S895" t="s">
        <v>74</v>
      </c>
      <c r="T895" t="s">
        <v>17254</v>
      </c>
      <c r="U895" t="s">
        <v>17255</v>
      </c>
      <c r="V895" t="s">
        <v>17256</v>
      </c>
      <c r="W895" t="s">
        <v>17257</v>
      </c>
      <c r="X895" t="s">
        <v>10354</v>
      </c>
      <c r="Y895" t="s">
        <v>17258</v>
      </c>
      <c r="Z895" t="s">
        <v>17259</v>
      </c>
      <c r="AA895" t="s">
        <v>17260</v>
      </c>
      <c r="AB895" t="s">
        <v>17261</v>
      </c>
      <c r="AC895" t="s">
        <v>74</v>
      </c>
      <c r="AD895" t="s">
        <v>74</v>
      </c>
      <c r="AE895" t="s">
        <v>74</v>
      </c>
      <c r="AF895" t="s">
        <v>74</v>
      </c>
      <c r="AG895">
        <v>71</v>
      </c>
      <c r="AH895">
        <v>5</v>
      </c>
      <c r="AI895">
        <v>5</v>
      </c>
      <c r="AJ895">
        <v>0</v>
      </c>
      <c r="AK895">
        <v>11</v>
      </c>
      <c r="AL895" t="s">
        <v>302</v>
      </c>
      <c r="AM895" t="s">
        <v>4016</v>
      </c>
      <c r="AN895" t="s">
        <v>4542</v>
      </c>
      <c r="AO895" t="s">
        <v>8515</v>
      </c>
      <c r="AP895" t="s">
        <v>8516</v>
      </c>
      <c r="AQ895" t="s">
        <v>74</v>
      </c>
      <c r="AR895" t="s">
        <v>8517</v>
      </c>
      <c r="AS895" t="s">
        <v>8518</v>
      </c>
      <c r="AT895" t="s">
        <v>6581</v>
      </c>
      <c r="AU895">
        <v>2019</v>
      </c>
      <c r="AV895">
        <v>55</v>
      </c>
      <c r="AW895">
        <v>3</v>
      </c>
      <c r="AX895" t="s">
        <v>74</v>
      </c>
      <c r="AY895" t="s">
        <v>74</v>
      </c>
      <c r="AZ895" t="s">
        <v>74</v>
      </c>
      <c r="BA895" t="s">
        <v>74</v>
      </c>
      <c r="BB895">
        <v>154</v>
      </c>
      <c r="BC895">
        <v>168</v>
      </c>
      <c r="BD895" t="s">
        <v>74</v>
      </c>
      <c r="BE895" t="s">
        <v>17262</v>
      </c>
      <c r="BF895" t="str">
        <f>HYPERLINK("http://dx.doi.org/10.1017/S0032247419000391","http://dx.doi.org/10.1017/S0032247419000391")</f>
        <v>http://dx.doi.org/10.1017/S0032247419000391</v>
      </c>
      <c r="BG895" t="s">
        <v>74</v>
      </c>
      <c r="BH895" t="s">
        <v>74</v>
      </c>
      <c r="BI895">
        <v>15</v>
      </c>
      <c r="BJ895" t="s">
        <v>7452</v>
      </c>
      <c r="BK895" t="s">
        <v>101</v>
      </c>
      <c r="BL895" t="s">
        <v>799</v>
      </c>
      <c r="BM895" t="s">
        <v>17249</v>
      </c>
      <c r="BN895" t="s">
        <v>74</v>
      </c>
      <c r="BO895" t="s">
        <v>74</v>
      </c>
      <c r="BP895" t="s">
        <v>74</v>
      </c>
      <c r="BQ895" t="s">
        <v>74</v>
      </c>
      <c r="BR895" t="s">
        <v>103</v>
      </c>
      <c r="BS895" t="s">
        <v>17263</v>
      </c>
      <c r="BT895" t="str">
        <f>HYPERLINK("https%3A%2F%2Fwww.webofscience.com%2Fwos%2Fwoscc%2Ffull-record%2FWOS:000512995000005","View Full Record in Web of Science")</f>
        <v>View Full Record in Web of Science</v>
      </c>
    </row>
    <row r="896" spans="1:72" x14ac:dyDescent="0.15">
      <c r="A896" t="s">
        <v>72</v>
      </c>
      <c r="B896" t="s">
        <v>17264</v>
      </c>
      <c r="C896" t="s">
        <v>74</v>
      </c>
      <c r="D896" t="s">
        <v>74</v>
      </c>
      <c r="E896" t="s">
        <v>74</v>
      </c>
      <c r="F896" t="s">
        <v>17265</v>
      </c>
      <c r="G896" t="s">
        <v>74</v>
      </c>
      <c r="H896" t="s">
        <v>74</v>
      </c>
      <c r="I896" t="s">
        <v>17266</v>
      </c>
      <c r="J896" t="s">
        <v>8503</v>
      </c>
      <c r="K896" t="s">
        <v>74</v>
      </c>
      <c r="L896" t="s">
        <v>74</v>
      </c>
      <c r="M896" t="s">
        <v>78</v>
      </c>
      <c r="N896" t="s">
        <v>108</v>
      </c>
      <c r="O896" t="s">
        <v>74</v>
      </c>
      <c r="P896" t="s">
        <v>74</v>
      </c>
      <c r="Q896" t="s">
        <v>74</v>
      </c>
      <c r="R896" t="s">
        <v>74</v>
      </c>
      <c r="S896" t="s">
        <v>74</v>
      </c>
      <c r="T896" t="s">
        <v>17267</v>
      </c>
      <c r="U896" t="s">
        <v>74</v>
      </c>
      <c r="V896" t="s">
        <v>17268</v>
      </c>
      <c r="W896" t="s">
        <v>17269</v>
      </c>
      <c r="X896" t="s">
        <v>1135</v>
      </c>
      <c r="Y896" t="s">
        <v>17270</v>
      </c>
      <c r="Z896" t="s">
        <v>17271</v>
      </c>
      <c r="AA896" t="s">
        <v>74</v>
      </c>
      <c r="AB896" t="s">
        <v>74</v>
      </c>
      <c r="AC896" t="s">
        <v>74</v>
      </c>
      <c r="AD896" t="s">
        <v>74</v>
      </c>
      <c r="AE896" t="s">
        <v>74</v>
      </c>
      <c r="AF896" t="s">
        <v>74</v>
      </c>
      <c r="AG896">
        <v>65</v>
      </c>
      <c r="AH896">
        <v>0</v>
      </c>
      <c r="AI896">
        <v>0</v>
      </c>
      <c r="AJ896">
        <v>0</v>
      </c>
      <c r="AK896">
        <v>0</v>
      </c>
      <c r="AL896" t="s">
        <v>302</v>
      </c>
      <c r="AM896" t="s">
        <v>4016</v>
      </c>
      <c r="AN896" t="s">
        <v>4542</v>
      </c>
      <c r="AO896" t="s">
        <v>8515</v>
      </c>
      <c r="AP896" t="s">
        <v>8516</v>
      </c>
      <c r="AQ896" t="s">
        <v>74</v>
      </c>
      <c r="AR896" t="s">
        <v>8517</v>
      </c>
      <c r="AS896" t="s">
        <v>8518</v>
      </c>
      <c r="AT896" t="s">
        <v>6581</v>
      </c>
      <c r="AU896">
        <v>2019</v>
      </c>
      <c r="AV896">
        <v>55</v>
      </c>
      <c r="AW896">
        <v>3</v>
      </c>
      <c r="AX896" t="s">
        <v>74</v>
      </c>
      <c r="AY896" t="s">
        <v>74</v>
      </c>
      <c r="AZ896" t="s">
        <v>74</v>
      </c>
      <c r="BA896" t="s">
        <v>74</v>
      </c>
      <c r="BB896">
        <v>169</v>
      </c>
      <c r="BC896">
        <v>176</v>
      </c>
      <c r="BD896" t="s">
        <v>74</v>
      </c>
      <c r="BE896" t="s">
        <v>17272</v>
      </c>
      <c r="BF896" t="str">
        <f>HYPERLINK("http://dx.doi.org/10.1017/S0032247419000445","http://dx.doi.org/10.1017/S0032247419000445")</f>
        <v>http://dx.doi.org/10.1017/S0032247419000445</v>
      </c>
      <c r="BG896" t="s">
        <v>74</v>
      </c>
      <c r="BH896" t="s">
        <v>74</v>
      </c>
      <c r="BI896">
        <v>8</v>
      </c>
      <c r="BJ896" t="s">
        <v>7452</v>
      </c>
      <c r="BK896" t="s">
        <v>101</v>
      </c>
      <c r="BL896" t="s">
        <v>799</v>
      </c>
      <c r="BM896" t="s">
        <v>17249</v>
      </c>
      <c r="BN896" t="s">
        <v>74</v>
      </c>
      <c r="BO896" t="s">
        <v>74</v>
      </c>
      <c r="BP896" t="s">
        <v>74</v>
      </c>
      <c r="BQ896" t="s">
        <v>74</v>
      </c>
      <c r="BR896" t="s">
        <v>103</v>
      </c>
      <c r="BS896" t="s">
        <v>17273</v>
      </c>
      <c r="BT896" t="str">
        <f>HYPERLINK("https%3A%2F%2Fwww.webofscience.com%2Fwos%2Fwoscc%2Ffull-record%2FWOS:000512995000006","View Full Record in Web of Science")</f>
        <v>View Full Record in Web of Science</v>
      </c>
    </row>
    <row r="897" spans="1:72" x14ac:dyDescent="0.15">
      <c r="A897" t="s">
        <v>72</v>
      </c>
      <c r="B897" t="s">
        <v>17274</v>
      </c>
      <c r="C897" t="s">
        <v>74</v>
      </c>
      <c r="D897" t="s">
        <v>74</v>
      </c>
      <c r="E897" t="s">
        <v>74</v>
      </c>
      <c r="F897" t="s">
        <v>17275</v>
      </c>
      <c r="G897" t="s">
        <v>74</v>
      </c>
      <c r="H897" t="s">
        <v>74</v>
      </c>
      <c r="I897" t="s">
        <v>17276</v>
      </c>
      <c r="J897" t="s">
        <v>8503</v>
      </c>
      <c r="K897" t="s">
        <v>74</v>
      </c>
      <c r="L897" t="s">
        <v>74</v>
      </c>
      <c r="M897" t="s">
        <v>78</v>
      </c>
      <c r="N897" t="s">
        <v>108</v>
      </c>
      <c r="O897" t="s">
        <v>74</v>
      </c>
      <c r="P897" t="s">
        <v>74</v>
      </c>
      <c r="Q897" t="s">
        <v>74</v>
      </c>
      <c r="R897" t="s">
        <v>74</v>
      </c>
      <c r="S897" t="s">
        <v>74</v>
      </c>
      <c r="T897" t="s">
        <v>17277</v>
      </c>
      <c r="U897" t="s">
        <v>17278</v>
      </c>
      <c r="V897" t="s">
        <v>17279</v>
      </c>
      <c r="W897" t="s">
        <v>17280</v>
      </c>
      <c r="X897" t="s">
        <v>17281</v>
      </c>
      <c r="Y897" t="s">
        <v>17282</v>
      </c>
      <c r="Z897" t="s">
        <v>17283</v>
      </c>
      <c r="AA897" t="s">
        <v>17284</v>
      </c>
      <c r="AB897" t="s">
        <v>17285</v>
      </c>
      <c r="AC897" t="s">
        <v>17286</v>
      </c>
      <c r="AD897" t="s">
        <v>17287</v>
      </c>
      <c r="AE897" t="s">
        <v>17288</v>
      </c>
      <c r="AF897" t="s">
        <v>74</v>
      </c>
      <c r="AG897">
        <v>54</v>
      </c>
      <c r="AH897">
        <v>15</v>
      </c>
      <c r="AI897">
        <v>16</v>
      </c>
      <c r="AJ897">
        <v>0</v>
      </c>
      <c r="AK897">
        <v>8</v>
      </c>
      <c r="AL897" t="s">
        <v>302</v>
      </c>
      <c r="AM897" t="s">
        <v>4016</v>
      </c>
      <c r="AN897" t="s">
        <v>4542</v>
      </c>
      <c r="AO897" t="s">
        <v>8515</v>
      </c>
      <c r="AP897" t="s">
        <v>8516</v>
      </c>
      <c r="AQ897" t="s">
        <v>74</v>
      </c>
      <c r="AR897" t="s">
        <v>8517</v>
      </c>
      <c r="AS897" t="s">
        <v>8518</v>
      </c>
      <c r="AT897" t="s">
        <v>6581</v>
      </c>
      <c r="AU897">
        <v>2019</v>
      </c>
      <c r="AV897">
        <v>55</v>
      </c>
      <c r="AW897">
        <v>3</v>
      </c>
      <c r="AX897" t="s">
        <v>74</v>
      </c>
      <c r="AY897" t="s">
        <v>74</v>
      </c>
      <c r="AZ897" t="s">
        <v>74</v>
      </c>
      <c r="BA897" t="s">
        <v>74</v>
      </c>
      <c r="BB897">
        <v>177</v>
      </c>
      <c r="BC897">
        <v>188</v>
      </c>
      <c r="BD897" t="s">
        <v>74</v>
      </c>
      <c r="BE897" t="s">
        <v>17289</v>
      </c>
      <c r="BF897" t="str">
        <f>HYPERLINK("http://dx.doi.org/10.1017/S0032247419000469","http://dx.doi.org/10.1017/S0032247419000469")</f>
        <v>http://dx.doi.org/10.1017/S0032247419000469</v>
      </c>
      <c r="BG897" t="s">
        <v>74</v>
      </c>
      <c r="BH897" t="s">
        <v>74</v>
      </c>
      <c r="BI897">
        <v>12</v>
      </c>
      <c r="BJ897" t="s">
        <v>7452</v>
      </c>
      <c r="BK897" t="s">
        <v>101</v>
      </c>
      <c r="BL897" t="s">
        <v>799</v>
      </c>
      <c r="BM897" t="s">
        <v>17249</v>
      </c>
      <c r="BN897" t="s">
        <v>74</v>
      </c>
      <c r="BO897" t="s">
        <v>1648</v>
      </c>
      <c r="BP897" t="s">
        <v>74</v>
      </c>
      <c r="BQ897" t="s">
        <v>74</v>
      </c>
      <c r="BR897" t="s">
        <v>103</v>
      </c>
      <c r="BS897" t="s">
        <v>17290</v>
      </c>
      <c r="BT897" t="str">
        <f>HYPERLINK("https%3A%2F%2Fwww.webofscience.com%2Fwos%2Fwoscc%2Ffull-record%2FWOS:000512995000007","View Full Record in Web of Science")</f>
        <v>View Full Record in Web of Science</v>
      </c>
    </row>
    <row r="898" spans="1:72" x14ac:dyDescent="0.15">
      <c r="A898" t="s">
        <v>72</v>
      </c>
      <c r="B898" t="s">
        <v>17291</v>
      </c>
      <c r="C898" t="s">
        <v>74</v>
      </c>
      <c r="D898" t="s">
        <v>74</v>
      </c>
      <c r="E898" t="s">
        <v>74</v>
      </c>
      <c r="F898" t="s">
        <v>17292</v>
      </c>
      <c r="G898" t="s">
        <v>74</v>
      </c>
      <c r="H898" t="s">
        <v>74</v>
      </c>
      <c r="I898" t="s">
        <v>17293</v>
      </c>
      <c r="J898" t="s">
        <v>17294</v>
      </c>
      <c r="K898" t="s">
        <v>74</v>
      </c>
      <c r="L898" t="s">
        <v>74</v>
      </c>
      <c r="M898" t="s">
        <v>78</v>
      </c>
      <c r="N898" t="s">
        <v>108</v>
      </c>
      <c r="O898" t="s">
        <v>74</v>
      </c>
      <c r="P898" t="s">
        <v>74</v>
      </c>
      <c r="Q898" t="s">
        <v>74</v>
      </c>
      <c r="R898" t="s">
        <v>74</v>
      </c>
      <c r="S898" t="s">
        <v>74</v>
      </c>
      <c r="T898" t="s">
        <v>17295</v>
      </c>
      <c r="U898" t="s">
        <v>17296</v>
      </c>
      <c r="V898" t="s">
        <v>17297</v>
      </c>
      <c r="W898" t="s">
        <v>17298</v>
      </c>
      <c r="X898" t="s">
        <v>17299</v>
      </c>
      <c r="Y898" t="s">
        <v>17300</v>
      </c>
      <c r="Z898" t="s">
        <v>17301</v>
      </c>
      <c r="AA898" t="s">
        <v>74</v>
      </c>
      <c r="AB898" t="s">
        <v>74</v>
      </c>
      <c r="AC898" t="s">
        <v>74</v>
      </c>
      <c r="AD898" t="s">
        <v>74</v>
      </c>
      <c r="AE898" t="s">
        <v>74</v>
      </c>
      <c r="AF898" t="s">
        <v>74</v>
      </c>
      <c r="AG898">
        <v>51</v>
      </c>
      <c r="AH898">
        <v>1</v>
      </c>
      <c r="AI898">
        <v>1</v>
      </c>
      <c r="AJ898">
        <v>0</v>
      </c>
      <c r="AK898">
        <v>9</v>
      </c>
      <c r="AL898" t="s">
        <v>1687</v>
      </c>
      <c r="AM898" t="s">
        <v>1688</v>
      </c>
      <c r="AN898" t="s">
        <v>1689</v>
      </c>
      <c r="AO898" t="s">
        <v>17302</v>
      </c>
      <c r="AP898" t="s">
        <v>17303</v>
      </c>
      <c r="AQ898" t="s">
        <v>74</v>
      </c>
      <c r="AR898" t="s">
        <v>17304</v>
      </c>
      <c r="AS898" t="s">
        <v>17305</v>
      </c>
      <c r="AT898" t="s">
        <v>6581</v>
      </c>
      <c r="AU898">
        <v>2019</v>
      </c>
      <c r="AV898">
        <v>14</v>
      </c>
      <c r="AW898">
        <v>3</v>
      </c>
      <c r="AX898" t="s">
        <v>74</v>
      </c>
      <c r="AY898" t="s">
        <v>74</v>
      </c>
      <c r="AZ898" t="s">
        <v>74</v>
      </c>
      <c r="BA898" t="s">
        <v>74</v>
      </c>
      <c r="BB898" t="s">
        <v>74</v>
      </c>
      <c r="BC898" t="s">
        <v>74</v>
      </c>
      <c r="BD898">
        <v>35001</v>
      </c>
      <c r="BE898" t="s">
        <v>17306</v>
      </c>
      <c r="BF898" t="str">
        <f>HYPERLINK("http://dx.doi.org/10.1088/1748-3190/ab0b8b","http://dx.doi.org/10.1088/1748-3190/ab0b8b")</f>
        <v>http://dx.doi.org/10.1088/1748-3190/ab0b8b</v>
      </c>
      <c r="BG898" t="s">
        <v>74</v>
      </c>
      <c r="BH898" t="s">
        <v>74</v>
      </c>
      <c r="BI898">
        <v>12</v>
      </c>
      <c r="BJ898" t="s">
        <v>17307</v>
      </c>
      <c r="BK898" t="s">
        <v>101</v>
      </c>
      <c r="BL898" t="s">
        <v>17308</v>
      </c>
      <c r="BM898" t="s">
        <v>17309</v>
      </c>
      <c r="BN898">
        <v>30818295</v>
      </c>
      <c r="BO898" t="s">
        <v>74</v>
      </c>
      <c r="BP898" t="s">
        <v>74</v>
      </c>
      <c r="BQ898" t="s">
        <v>74</v>
      </c>
      <c r="BR898" t="s">
        <v>103</v>
      </c>
      <c r="BS898" t="s">
        <v>17310</v>
      </c>
      <c r="BT898" t="str">
        <f>HYPERLINK("https%3A%2F%2Fwww.webofscience.com%2Fwos%2Fwoscc%2Ffull-record%2FWOS:000509126200001","View Full Record in Web of Science")</f>
        <v>View Full Record in Web of Science</v>
      </c>
    </row>
    <row r="899" spans="1:72" x14ac:dyDescent="0.15">
      <c r="A899" t="s">
        <v>72</v>
      </c>
      <c r="B899" t="s">
        <v>17311</v>
      </c>
      <c r="C899" t="s">
        <v>74</v>
      </c>
      <c r="D899" t="s">
        <v>74</v>
      </c>
      <c r="E899" t="s">
        <v>74</v>
      </c>
      <c r="F899" t="s">
        <v>17312</v>
      </c>
      <c r="G899" t="s">
        <v>74</v>
      </c>
      <c r="H899" t="s">
        <v>74</v>
      </c>
      <c r="I899" t="s">
        <v>17313</v>
      </c>
      <c r="J899" t="s">
        <v>17314</v>
      </c>
      <c r="K899" t="s">
        <v>74</v>
      </c>
      <c r="L899" t="s">
        <v>74</v>
      </c>
      <c r="M899" t="s">
        <v>78</v>
      </c>
      <c r="N899" t="s">
        <v>108</v>
      </c>
      <c r="O899" t="s">
        <v>74</v>
      </c>
      <c r="P899" t="s">
        <v>74</v>
      </c>
      <c r="Q899" t="s">
        <v>74</v>
      </c>
      <c r="R899" t="s">
        <v>74</v>
      </c>
      <c r="S899" t="s">
        <v>74</v>
      </c>
      <c r="T899" t="s">
        <v>17315</v>
      </c>
      <c r="U899" t="s">
        <v>17316</v>
      </c>
      <c r="V899" t="s">
        <v>17317</v>
      </c>
      <c r="W899" t="s">
        <v>17318</v>
      </c>
      <c r="X899" t="s">
        <v>17319</v>
      </c>
      <c r="Y899" t="s">
        <v>17320</v>
      </c>
      <c r="Z899" t="s">
        <v>17321</v>
      </c>
      <c r="AA899" t="s">
        <v>17322</v>
      </c>
      <c r="AB899" t="s">
        <v>17323</v>
      </c>
      <c r="AC899" t="s">
        <v>17324</v>
      </c>
      <c r="AD899" t="s">
        <v>17325</v>
      </c>
      <c r="AE899" t="s">
        <v>17326</v>
      </c>
      <c r="AF899" t="s">
        <v>74</v>
      </c>
      <c r="AG899">
        <v>17</v>
      </c>
      <c r="AH899">
        <v>2</v>
      </c>
      <c r="AI899">
        <v>2</v>
      </c>
      <c r="AJ899">
        <v>0</v>
      </c>
      <c r="AK899">
        <v>0</v>
      </c>
      <c r="AL899" t="s">
        <v>17327</v>
      </c>
      <c r="AM899" t="s">
        <v>13393</v>
      </c>
      <c r="AN899" t="s">
        <v>13394</v>
      </c>
      <c r="AO899" t="s">
        <v>17328</v>
      </c>
      <c r="AP899" t="s">
        <v>17329</v>
      </c>
      <c r="AQ899" t="s">
        <v>74</v>
      </c>
      <c r="AR899" t="s">
        <v>17330</v>
      </c>
      <c r="AS899" t="s">
        <v>17331</v>
      </c>
      <c r="AT899" t="s">
        <v>6581</v>
      </c>
      <c r="AU899">
        <v>2019</v>
      </c>
      <c r="AV899">
        <v>74</v>
      </c>
      <c r="AW899">
        <v>3</v>
      </c>
      <c r="AX899" t="s">
        <v>74</v>
      </c>
      <c r="AY899" t="s">
        <v>74</v>
      </c>
      <c r="AZ899" t="s">
        <v>74</v>
      </c>
      <c r="BA899" t="s">
        <v>74</v>
      </c>
      <c r="BB899">
        <v>316</v>
      </c>
      <c r="BC899">
        <v>320</v>
      </c>
      <c r="BD899" t="s">
        <v>74</v>
      </c>
      <c r="BE899" t="s">
        <v>17332</v>
      </c>
      <c r="BF899" t="str">
        <f>HYPERLINK("http://dx.doi.org/10.3103/S0145875219030098","http://dx.doi.org/10.3103/S0145875219030098")</f>
        <v>http://dx.doi.org/10.3103/S0145875219030098</v>
      </c>
      <c r="BG899" t="s">
        <v>74</v>
      </c>
      <c r="BH899" t="s">
        <v>74</v>
      </c>
      <c r="BI899">
        <v>5</v>
      </c>
      <c r="BJ899" t="s">
        <v>472</v>
      </c>
      <c r="BK899" t="s">
        <v>2978</v>
      </c>
      <c r="BL899" t="s">
        <v>472</v>
      </c>
      <c r="BM899" t="s">
        <v>17333</v>
      </c>
      <c r="BN899" t="s">
        <v>74</v>
      </c>
      <c r="BO899" t="s">
        <v>74</v>
      </c>
      <c r="BP899" t="s">
        <v>74</v>
      </c>
      <c r="BQ899" t="s">
        <v>74</v>
      </c>
      <c r="BR899" t="s">
        <v>103</v>
      </c>
      <c r="BS899" t="s">
        <v>17334</v>
      </c>
      <c r="BT899" t="str">
        <f>HYPERLINK("https%3A%2F%2Fwww.webofscience.com%2Fwos%2Fwoscc%2Ffull-record%2FWOS:000491575400011","View Full Record in Web of Science")</f>
        <v>View Full Record in Web of Science</v>
      </c>
    </row>
    <row r="900" spans="1:72" x14ac:dyDescent="0.15">
      <c r="A900" t="s">
        <v>72</v>
      </c>
      <c r="B900" t="s">
        <v>17335</v>
      </c>
      <c r="C900" t="s">
        <v>74</v>
      </c>
      <c r="D900" t="s">
        <v>74</v>
      </c>
      <c r="E900" t="s">
        <v>74</v>
      </c>
      <c r="F900" t="s">
        <v>17336</v>
      </c>
      <c r="G900" t="s">
        <v>74</v>
      </c>
      <c r="H900" t="s">
        <v>74</v>
      </c>
      <c r="I900" t="s">
        <v>17337</v>
      </c>
      <c r="J900" t="s">
        <v>17338</v>
      </c>
      <c r="K900" t="s">
        <v>74</v>
      </c>
      <c r="L900" t="s">
        <v>74</v>
      </c>
      <c r="M900" t="s">
        <v>78</v>
      </c>
      <c r="N900" t="s">
        <v>108</v>
      </c>
      <c r="O900" t="s">
        <v>74</v>
      </c>
      <c r="P900" t="s">
        <v>74</v>
      </c>
      <c r="Q900" t="s">
        <v>74</v>
      </c>
      <c r="R900" t="s">
        <v>74</v>
      </c>
      <c r="S900" t="s">
        <v>74</v>
      </c>
      <c r="T900" t="s">
        <v>17339</v>
      </c>
      <c r="U900" t="s">
        <v>17340</v>
      </c>
      <c r="V900" t="s">
        <v>17341</v>
      </c>
      <c r="W900" t="s">
        <v>17342</v>
      </c>
      <c r="X900" t="s">
        <v>17343</v>
      </c>
      <c r="Y900" t="s">
        <v>17344</v>
      </c>
      <c r="Z900" t="s">
        <v>17345</v>
      </c>
      <c r="AA900" t="s">
        <v>17346</v>
      </c>
      <c r="AB900" t="s">
        <v>17347</v>
      </c>
      <c r="AC900" t="s">
        <v>17348</v>
      </c>
      <c r="AD900" t="s">
        <v>17349</v>
      </c>
      <c r="AE900" t="s">
        <v>17350</v>
      </c>
      <c r="AF900" t="s">
        <v>74</v>
      </c>
      <c r="AG900">
        <v>43</v>
      </c>
      <c r="AH900">
        <v>7</v>
      </c>
      <c r="AI900">
        <v>7</v>
      </c>
      <c r="AJ900">
        <v>0</v>
      </c>
      <c r="AK900">
        <v>7</v>
      </c>
      <c r="AL900" t="s">
        <v>17351</v>
      </c>
      <c r="AM900" t="s">
        <v>17352</v>
      </c>
      <c r="AN900" t="s">
        <v>17353</v>
      </c>
      <c r="AO900" t="s">
        <v>17354</v>
      </c>
      <c r="AP900" t="s">
        <v>17355</v>
      </c>
      <c r="AQ900" t="s">
        <v>74</v>
      </c>
      <c r="AR900" t="s">
        <v>17338</v>
      </c>
      <c r="AS900" t="s">
        <v>17356</v>
      </c>
      <c r="AT900" t="s">
        <v>6581</v>
      </c>
      <c r="AU900">
        <v>2019</v>
      </c>
      <c r="AV900">
        <v>122</v>
      </c>
      <c r="AW900">
        <v>2</v>
      </c>
      <c r="AX900" t="s">
        <v>74</v>
      </c>
      <c r="AY900" t="s">
        <v>74</v>
      </c>
      <c r="AZ900" t="s">
        <v>74</v>
      </c>
      <c r="BA900" t="s">
        <v>74</v>
      </c>
      <c r="BB900">
        <v>315</v>
      </c>
      <c r="BC900">
        <v>324</v>
      </c>
      <c r="BD900" t="s">
        <v>74</v>
      </c>
      <c r="BE900" t="s">
        <v>17357</v>
      </c>
      <c r="BF900" t="str">
        <f>HYPERLINK("http://dx.doi.org/10.1639/0007-2745-122.2.315","http://dx.doi.org/10.1639/0007-2745-122.2.315")</f>
        <v>http://dx.doi.org/10.1639/0007-2745-122.2.315</v>
      </c>
      <c r="BG900" t="s">
        <v>74</v>
      </c>
      <c r="BH900" t="s">
        <v>74</v>
      </c>
      <c r="BI900">
        <v>10</v>
      </c>
      <c r="BJ900" t="s">
        <v>2907</v>
      </c>
      <c r="BK900" t="s">
        <v>101</v>
      </c>
      <c r="BL900" t="s">
        <v>2907</v>
      </c>
      <c r="BM900" t="s">
        <v>17358</v>
      </c>
      <c r="BN900" t="s">
        <v>74</v>
      </c>
      <c r="BO900" t="s">
        <v>74</v>
      </c>
      <c r="BP900" t="s">
        <v>74</v>
      </c>
      <c r="BQ900" t="s">
        <v>74</v>
      </c>
      <c r="BR900" t="s">
        <v>103</v>
      </c>
      <c r="BS900" t="s">
        <v>17359</v>
      </c>
      <c r="BT900" t="str">
        <f>HYPERLINK("https%3A%2F%2Fwww.webofscience.com%2Fwos%2Fwoscc%2Ffull-record%2FWOS:000488978100011","View Full Record in Web of Science")</f>
        <v>View Full Record in Web of Science</v>
      </c>
    </row>
    <row r="901" spans="1:72" x14ac:dyDescent="0.15">
      <c r="A901" t="s">
        <v>72</v>
      </c>
      <c r="B901" t="s">
        <v>17360</v>
      </c>
      <c r="C901" t="s">
        <v>74</v>
      </c>
      <c r="D901" t="s">
        <v>74</v>
      </c>
      <c r="E901" t="s">
        <v>74</v>
      </c>
      <c r="F901" t="s">
        <v>17361</v>
      </c>
      <c r="G901" t="s">
        <v>74</v>
      </c>
      <c r="H901" t="s">
        <v>74</v>
      </c>
      <c r="I901" t="s">
        <v>17362</v>
      </c>
      <c r="J901" t="s">
        <v>4493</v>
      </c>
      <c r="K901" t="s">
        <v>74</v>
      </c>
      <c r="L901" t="s">
        <v>74</v>
      </c>
      <c r="M901" t="s">
        <v>78</v>
      </c>
      <c r="N901" t="s">
        <v>108</v>
      </c>
      <c r="O901" t="s">
        <v>74</v>
      </c>
      <c r="P901" t="s">
        <v>74</v>
      </c>
      <c r="Q901" t="s">
        <v>74</v>
      </c>
      <c r="R901" t="s">
        <v>74</v>
      </c>
      <c r="S901" t="s">
        <v>74</v>
      </c>
      <c r="T901" t="s">
        <v>17363</v>
      </c>
      <c r="U901" t="s">
        <v>17364</v>
      </c>
      <c r="V901" t="s">
        <v>17365</v>
      </c>
      <c r="W901" t="s">
        <v>17366</v>
      </c>
      <c r="X901" t="s">
        <v>17367</v>
      </c>
      <c r="Y901" t="s">
        <v>17368</v>
      </c>
      <c r="Z901" t="s">
        <v>17369</v>
      </c>
      <c r="AA901" t="s">
        <v>17370</v>
      </c>
      <c r="AB901" t="s">
        <v>17371</v>
      </c>
      <c r="AC901" t="s">
        <v>17372</v>
      </c>
      <c r="AD901" t="s">
        <v>17373</v>
      </c>
      <c r="AE901" t="s">
        <v>17374</v>
      </c>
      <c r="AF901" t="s">
        <v>74</v>
      </c>
      <c r="AG901">
        <v>28</v>
      </c>
      <c r="AH901">
        <v>11</v>
      </c>
      <c r="AI901">
        <v>11</v>
      </c>
      <c r="AJ901">
        <v>3</v>
      </c>
      <c r="AK901">
        <v>19</v>
      </c>
      <c r="AL901" t="s">
        <v>154</v>
      </c>
      <c r="AM901" t="s">
        <v>4016</v>
      </c>
      <c r="AN901" t="s">
        <v>4040</v>
      </c>
      <c r="AO901" t="s">
        <v>4504</v>
      </c>
      <c r="AP901" t="s">
        <v>4505</v>
      </c>
      <c r="AQ901" t="s">
        <v>74</v>
      </c>
      <c r="AR901" t="s">
        <v>4506</v>
      </c>
      <c r="AS901" t="s">
        <v>4507</v>
      </c>
      <c r="AT901" t="s">
        <v>6581</v>
      </c>
      <c r="AU901">
        <v>2019</v>
      </c>
      <c r="AV901">
        <v>38</v>
      </c>
      <c r="AW901">
        <v>5</v>
      </c>
      <c r="AX901" t="s">
        <v>74</v>
      </c>
      <c r="AY901" t="s">
        <v>74</v>
      </c>
      <c r="AZ901" t="s">
        <v>74</v>
      </c>
      <c r="BA901" t="s">
        <v>74</v>
      </c>
      <c r="BB901">
        <v>51</v>
      </c>
      <c r="BC901">
        <v>61</v>
      </c>
      <c r="BD901" t="s">
        <v>74</v>
      </c>
      <c r="BE901" t="s">
        <v>17375</v>
      </c>
      <c r="BF901" t="str">
        <f>HYPERLINK("http://dx.doi.org/10.1007/s13131-018-1339-5","http://dx.doi.org/10.1007/s13131-018-1339-5")</f>
        <v>http://dx.doi.org/10.1007/s13131-018-1339-5</v>
      </c>
      <c r="BG901" t="s">
        <v>74</v>
      </c>
      <c r="BH901" t="s">
        <v>74</v>
      </c>
      <c r="BI901">
        <v>11</v>
      </c>
      <c r="BJ901" t="s">
        <v>100</v>
      </c>
      <c r="BK901" t="s">
        <v>101</v>
      </c>
      <c r="BL901" t="s">
        <v>100</v>
      </c>
      <c r="BM901" t="s">
        <v>17376</v>
      </c>
      <c r="BN901" t="s">
        <v>74</v>
      </c>
      <c r="BO901" t="s">
        <v>74</v>
      </c>
      <c r="BP901" t="s">
        <v>74</v>
      </c>
      <c r="BQ901" t="s">
        <v>74</v>
      </c>
      <c r="BR901" t="s">
        <v>103</v>
      </c>
      <c r="BS901" t="s">
        <v>17377</v>
      </c>
      <c r="BT901" t="str">
        <f>HYPERLINK("https%3A%2F%2Fwww.webofscience.com%2Fwos%2Fwoscc%2Ffull-record%2FWOS:000484973600005","View Full Record in Web of Science")</f>
        <v>View Full Record in Web of Science</v>
      </c>
    </row>
    <row r="902" spans="1:72" x14ac:dyDescent="0.15">
      <c r="A902" t="s">
        <v>72</v>
      </c>
      <c r="B902" t="s">
        <v>17378</v>
      </c>
      <c r="C902" t="s">
        <v>74</v>
      </c>
      <c r="D902" t="s">
        <v>74</v>
      </c>
      <c r="E902" t="s">
        <v>74</v>
      </c>
      <c r="F902" t="s">
        <v>17379</v>
      </c>
      <c r="G902" t="s">
        <v>74</v>
      </c>
      <c r="H902" t="s">
        <v>74</v>
      </c>
      <c r="I902" t="s">
        <v>17380</v>
      </c>
      <c r="J902" t="s">
        <v>17381</v>
      </c>
      <c r="K902" t="s">
        <v>74</v>
      </c>
      <c r="L902" t="s">
        <v>74</v>
      </c>
      <c r="M902" t="s">
        <v>78</v>
      </c>
      <c r="N902" t="s">
        <v>108</v>
      </c>
      <c r="O902" t="s">
        <v>74</v>
      </c>
      <c r="P902" t="s">
        <v>74</v>
      </c>
      <c r="Q902" t="s">
        <v>74</v>
      </c>
      <c r="R902" t="s">
        <v>74</v>
      </c>
      <c r="S902" t="s">
        <v>74</v>
      </c>
      <c r="T902" t="s">
        <v>17382</v>
      </c>
      <c r="U902" t="s">
        <v>17383</v>
      </c>
      <c r="V902" t="s">
        <v>17384</v>
      </c>
      <c r="W902" t="s">
        <v>17385</v>
      </c>
      <c r="X902" t="s">
        <v>17386</v>
      </c>
      <c r="Y902" t="s">
        <v>17387</v>
      </c>
      <c r="Z902" t="s">
        <v>17388</v>
      </c>
      <c r="AA902" t="s">
        <v>17389</v>
      </c>
      <c r="AB902" t="s">
        <v>17390</v>
      </c>
      <c r="AC902" t="s">
        <v>17391</v>
      </c>
      <c r="AD902" t="s">
        <v>17392</v>
      </c>
      <c r="AE902" t="s">
        <v>17393</v>
      </c>
      <c r="AF902" t="s">
        <v>74</v>
      </c>
      <c r="AG902">
        <v>73</v>
      </c>
      <c r="AH902">
        <v>13</v>
      </c>
      <c r="AI902">
        <v>16</v>
      </c>
      <c r="AJ902">
        <v>2</v>
      </c>
      <c r="AK902">
        <v>28</v>
      </c>
      <c r="AL902" t="s">
        <v>182</v>
      </c>
      <c r="AM902" t="s">
        <v>183</v>
      </c>
      <c r="AN902" t="s">
        <v>184</v>
      </c>
      <c r="AO902" t="s">
        <v>17394</v>
      </c>
      <c r="AP902" t="s">
        <v>17395</v>
      </c>
      <c r="AQ902" t="s">
        <v>74</v>
      </c>
      <c r="AR902" t="s">
        <v>17396</v>
      </c>
      <c r="AS902" t="s">
        <v>17397</v>
      </c>
      <c r="AT902" t="s">
        <v>6581</v>
      </c>
      <c r="AU902">
        <v>2019</v>
      </c>
      <c r="AV902">
        <v>124</v>
      </c>
      <c r="AW902">
        <v>5</v>
      </c>
      <c r="AX902" t="s">
        <v>74</v>
      </c>
      <c r="AY902" t="s">
        <v>74</v>
      </c>
      <c r="AZ902" t="s">
        <v>74</v>
      </c>
      <c r="BA902" t="s">
        <v>74</v>
      </c>
      <c r="BB902">
        <v>1181</v>
      </c>
      <c r="BC902">
        <v>1193</v>
      </c>
      <c r="BD902" t="s">
        <v>74</v>
      </c>
      <c r="BE902" t="s">
        <v>17398</v>
      </c>
      <c r="BF902" t="str">
        <f>HYPERLINK("http://dx.doi.org/10.1029/2018JG004627","http://dx.doi.org/10.1029/2018JG004627")</f>
        <v>http://dx.doi.org/10.1029/2018JG004627</v>
      </c>
      <c r="BG902" t="s">
        <v>74</v>
      </c>
      <c r="BH902" t="s">
        <v>74</v>
      </c>
      <c r="BI902">
        <v>13</v>
      </c>
      <c r="BJ902" t="s">
        <v>7509</v>
      </c>
      <c r="BK902" t="s">
        <v>101</v>
      </c>
      <c r="BL902" t="s">
        <v>848</v>
      </c>
      <c r="BM902" t="s">
        <v>17399</v>
      </c>
      <c r="BN902" t="s">
        <v>74</v>
      </c>
      <c r="BO902" t="s">
        <v>261</v>
      </c>
      <c r="BP902" t="s">
        <v>74</v>
      </c>
      <c r="BQ902" t="s">
        <v>74</v>
      </c>
      <c r="BR902" t="s">
        <v>103</v>
      </c>
      <c r="BS902" t="s">
        <v>17400</v>
      </c>
      <c r="BT902" t="str">
        <f>HYPERLINK("https%3A%2F%2Fwww.webofscience.com%2Fwos%2Fwoscc%2Ffull-record%2FWOS:000477719600010","View Full Record in Web of Science")</f>
        <v>View Full Record in Web of Science</v>
      </c>
    </row>
    <row r="903" spans="1:72" x14ac:dyDescent="0.15">
      <c r="A903" t="s">
        <v>72</v>
      </c>
      <c r="B903" t="s">
        <v>17401</v>
      </c>
      <c r="C903" t="s">
        <v>74</v>
      </c>
      <c r="D903" t="s">
        <v>74</v>
      </c>
      <c r="E903" t="s">
        <v>74</v>
      </c>
      <c r="F903" t="s">
        <v>17402</v>
      </c>
      <c r="G903" t="s">
        <v>74</v>
      </c>
      <c r="H903" t="s">
        <v>74</v>
      </c>
      <c r="I903" t="s">
        <v>17403</v>
      </c>
      <c r="J903" t="s">
        <v>17404</v>
      </c>
      <c r="K903" t="s">
        <v>74</v>
      </c>
      <c r="L903" t="s">
        <v>74</v>
      </c>
      <c r="M903" t="s">
        <v>78</v>
      </c>
      <c r="N903" t="s">
        <v>108</v>
      </c>
      <c r="O903" t="s">
        <v>74</v>
      </c>
      <c r="P903" t="s">
        <v>74</v>
      </c>
      <c r="Q903" t="s">
        <v>74</v>
      </c>
      <c r="R903" t="s">
        <v>74</v>
      </c>
      <c r="S903" t="s">
        <v>74</v>
      </c>
      <c r="T903" t="s">
        <v>17405</v>
      </c>
      <c r="U903" t="s">
        <v>17406</v>
      </c>
      <c r="V903" t="s">
        <v>17407</v>
      </c>
      <c r="W903" t="s">
        <v>17408</v>
      </c>
      <c r="X903" t="s">
        <v>17409</v>
      </c>
      <c r="Y903" t="s">
        <v>17410</v>
      </c>
      <c r="Z903" t="s">
        <v>17411</v>
      </c>
      <c r="AA903" t="s">
        <v>17412</v>
      </c>
      <c r="AB903" t="s">
        <v>17413</v>
      </c>
      <c r="AC903" t="s">
        <v>17414</v>
      </c>
      <c r="AD903" t="s">
        <v>17415</v>
      </c>
      <c r="AE903" t="s">
        <v>17416</v>
      </c>
      <c r="AF903" t="s">
        <v>74</v>
      </c>
      <c r="AG903">
        <v>47</v>
      </c>
      <c r="AH903">
        <v>9</v>
      </c>
      <c r="AI903">
        <v>9</v>
      </c>
      <c r="AJ903">
        <v>0</v>
      </c>
      <c r="AK903">
        <v>5</v>
      </c>
      <c r="AL903" t="s">
        <v>3615</v>
      </c>
      <c r="AM903" t="s">
        <v>3616</v>
      </c>
      <c r="AN903" t="s">
        <v>3617</v>
      </c>
      <c r="AO903" t="s">
        <v>17417</v>
      </c>
      <c r="AP903" t="s">
        <v>74</v>
      </c>
      <c r="AQ903" t="s">
        <v>74</v>
      </c>
      <c r="AR903" t="s">
        <v>17418</v>
      </c>
      <c r="AS903" t="s">
        <v>17419</v>
      </c>
      <c r="AT903" t="s">
        <v>6581</v>
      </c>
      <c r="AU903">
        <v>2019</v>
      </c>
      <c r="AV903">
        <v>9</v>
      </c>
      <c r="AW903">
        <v>5</v>
      </c>
      <c r="AX903" t="s">
        <v>74</v>
      </c>
      <c r="AY903" t="s">
        <v>74</v>
      </c>
      <c r="AZ903" t="s">
        <v>74</v>
      </c>
      <c r="BA903" t="s">
        <v>74</v>
      </c>
      <c r="BB903" t="s">
        <v>74</v>
      </c>
      <c r="BC903" t="s">
        <v>74</v>
      </c>
      <c r="BD903">
        <v>322</v>
      </c>
      <c r="BE903" t="s">
        <v>17420</v>
      </c>
      <c r="BF903" t="str">
        <f>HYPERLINK("http://dx.doi.org/10.3390/min9050322","http://dx.doi.org/10.3390/min9050322")</f>
        <v>http://dx.doi.org/10.3390/min9050322</v>
      </c>
      <c r="BG903" t="s">
        <v>74</v>
      </c>
      <c r="BH903" t="s">
        <v>74</v>
      </c>
      <c r="BI903">
        <v>14</v>
      </c>
      <c r="BJ903" t="s">
        <v>17421</v>
      </c>
      <c r="BK903" t="s">
        <v>101</v>
      </c>
      <c r="BL903" t="s">
        <v>17421</v>
      </c>
      <c r="BM903" t="s">
        <v>17422</v>
      </c>
      <c r="BN903" t="s">
        <v>74</v>
      </c>
      <c r="BO903" t="s">
        <v>6187</v>
      </c>
      <c r="BP903" t="s">
        <v>74</v>
      </c>
      <c r="BQ903" t="s">
        <v>74</v>
      </c>
      <c r="BR903" t="s">
        <v>103</v>
      </c>
      <c r="BS903" t="s">
        <v>17423</v>
      </c>
      <c r="BT903" t="str">
        <f>HYPERLINK("https%3A%2F%2Fwww.webofscience.com%2Fwos%2Fwoscc%2Ffull-record%2FWOS:000477902800070","View Full Record in Web of Science")</f>
        <v>View Full Record in Web of Science</v>
      </c>
    </row>
    <row r="904" spans="1:72" x14ac:dyDescent="0.15">
      <c r="A904" t="s">
        <v>72</v>
      </c>
      <c r="B904" t="s">
        <v>17424</v>
      </c>
      <c r="C904" t="s">
        <v>74</v>
      </c>
      <c r="D904" t="s">
        <v>74</v>
      </c>
      <c r="E904" t="s">
        <v>74</v>
      </c>
      <c r="F904" t="s">
        <v>17425</v>
      </c>
      <c r="G904" t="s">
        <v>74</v>
      </c>
      <c r="H904" t="s">
        <v>74</v>
      </c>
      <c r="I904" t="s">
        <v>17426</v>
      </c>
      <c r="J904" t="s">
        <v>17427</v>
      </c>
      <c r="K904" t="s">
        <v>74</v>
      </c>
      <c r="L904" t="s">
        <v>74</v>
      </c>
      <c r="M904" t="s">
        <v>78</v>
      </c>
      <c r="N904" t="s">
        <v>108</v>
      </c>
      <c r="O904" t="s">
        <v>74</v>
      </c>
      <c r="P904" t="s">
        <v>74</v>
      </c>
      <c r="Q904" t="s">
        <v>74</v>
      </c>
      <c r="R904" t="s">
        <v>74</v>
      </c>
      <c r="S904" t="s">
        <v>74</v>
      </c>
      <c r="T904" t="s">
        <v>17428</v>
      </c>
      <c r="U904" t="s">
        <v>17429</v>
      </c>
      <c r="V904" t="s">
        <v>17430</v>
      </c>
      <c r="W904" t="s">
        <v>17431</v>
      </c>
      <c r="X904" t="s">
        <v>17432</v>
      </c>
      <c r="Y904" t="s">
        <v>17433</v>
      </c>
      <c r="Z904" t="s">
        <v>17434</v>
      </c>
      <c r="AA904" t="s">
        <v>17435</v>
      </c>
      <c r="AB904" t="s">
        <v>17436</v>
      </c>
      <c r="AC904" t="s">
        <v>17437</v>
      </c>
      <c r="AD904" t="s">
        <v>17438</v>
      </c>
      <c r="AE904" t="s">
        <v>17439</v>
      </c>
      <c r="AF904" t="s">
        <v>74</v>
      </c>
      <c r="AG904">
        <v>126</v>
      </c>
      <c r="AH904">
        <v>7</v>
      </c>
      <c r="AI904">
        <v>7</v>
      </c>
      <c r="AJ904">
        <v>0</v>
      </c>
      <c r="AK904">
        <v>3</v>
      </c>
      <c r="AL904" t="s">
        <v>17440</v>
      </c>
      <c r="AM904" t="s">
        <v>17441</v>
      </c>
      <c r="AN904" t="s">
        <v>17442</v>
      </c>
      <c r="AO904" t="s">
        <v>17443</v>
      </c>
      <c r="AP904" t="s">
        <v>17444</v>
      </c>
      <c r="AQ904" t="s">
        <v>74</v>
      </c>
      <c r="AR904" t="s">
        <v>17427</v>
      </c>
      <c r="AS904" t="s">
        <v>17445</v>
      </c>
      <c r="AT904" t="s">
        <v>6581</v>
      </c>
      <c r="AU904">
        <v>2019</v>
      </c>
      <c r="AV904">
        <v>56</v>
      </c>
      <c r="AW904">
        <v>1</v>
      </c>
      <c r="AX904" t="s">
        <v>74</v>
      </c>
      <c r="AY904" t="s">
        <v>74</v>
      </c>
      <c r="AZ904" t="s">
        <v>74</v>
      </c>
      <c r="BA904" t="s">
        <v>74</v>
      </c>
      <c r="BB904">
        <v>28</v>
      </c>
      <c r="BC904">
        <v>52</v>
      </c>
      <c r="BD904" t="s">
        <v>74</v>
      </c>
      <c r="BE904" t="s">
        <v>17446</v>
      </c>
      <c r="BF904" t="str">
        <f>HYPERLINK("http://dx.doi.org/10.5710/AMGH.11.12.2018.3201","http://dx.doi.org/10.5710/AMGH.11.12.2018.3201")</f>
        <v>http://dx.doi.org/10.5710/AMGH.11.12.2018.3201</v>
      </c>
      <c r="BG904" t="s">
        <v>74</v>
      </c>
      <c r="BH904" t="s">
        <v>74</v>
      </c>
      <c r="BI904">
        <v>25</v>
      </c>
      <c r="BJ904" t="s">
        <v>9964</v>
      </c>
      <c r="BK904" t="s">
        <v>101</v>
      </c>
      <c r="BL904" t="s">
        <v>9964</v>
      </c>
      <c r="BM904" t="s">
        <v>17447</v>
      </c>
      <c r="BN904" t="s">
        <v>74</v>
      </c>
      <c r="BO904" t="s">
        <v>74</v>
      </c>
      <c r="BP904" t="s">
        <v>74</v>
      </c>
      <c r="BQ904" t="s">
        <v>74</v>
      </c>
      <c r="BR904" t="s">
        <v>103</v>
      </c>
      <c r="BS904" t="s">
        <v>17448</v>
      </c>
      <c r="BT904" t="str">
        <f>HYPERLINK("https%3A%2F%2Fwww.webofscience.com%2Fwos%2Fwoscc%2Ffull-record%2FWOS:000476924600002","View Full Record in Web of Science")</f>
        <v>View Full Record in Web of Science</v>
      </c>
    </row>
    <row r="905" spans="1:72" x14ac:dyDescent="0.15">
      <c r="A905" t="s">
        <v>72</v>
      </c>
      <c r="B905" t="s">
        <v>17449</v>
      </c>
      <c r="C905" t="s">
        <v>74</v>
      </c>
      <c r="D905" t="s">
        <v>74</v>
      </c>
      <c r="E905" t="s">
        <v>74</v>
      </c>
      <c r="F905" t="s">
        <v>17450</v>
      </c>
      <c r="G905" t="s">
        <v>74</v>
      </c>
      <c r="H905" t="s">
        <v>74</v>
      </c>
      <c r="I905" t="s">
        <v>17451</v>
      </c>
      <c r="J905" t="s">
        <v>17452</v>
      </c>
      <c r="K905" t="s">
        <v>74</v>
      </c>
      <c r="L905" t="s">
        <v>74</v>
      </c>
      <c r="M905" t="s">
        <v>78</v>
      </c>
      <c r="N905" t="s">
        <v>108</v>
      </c>
      <c r="O905" t="s">
        <v>74</v>
      </c>
      <c r="P905" t="s">
        <v>74</v>
      </c>
      <c r="Q905" t="s">
        <v>74</v>
      </c>
      <c r="R905" t="s">
        <v>74</v>
      </c>
      <c r="S905" t="s">
        <v>74</v>
      </c>
      <c r="T905" t="s">
        <v>74</v>
      </c>
      <c r="U905" t="s">
        <v>17453</v>
      </c>
      <c r="V905" t="s">
        <v>17454</v>
      </c>
      <c r="W905" t="s">
        <v>17455</v>
      </c>
      <c r="X905" t="s">
        <v>17456</v>
      </c>
      <c r="Y905" t="s">
        <v>17457</v>
      </c>
      <c r="Z905" t="s">
        <v>17458</v>
      </c>
      <c r="AA905" t="s">
        <v>17459</v>
      </c>
      <c r="AB905" t="s">
        <v>17460</v>
      </c>
      <c r="AC905" t="s">
        <v>17461</v>
      </c>
      <c r="AD905" t="s">
        <v>13330</v>
      </c>
      <c r="AE905" t="s">
        <v>17462</v>
      </c>
      <c r="AF905" t="s">
        <v>74</v>
      </c>
      <c r="AG905">
        <v>8</v>
      </c>
      <c r="AH905">
        <v>2</v>
      </c>
      <c r="AI905">
        <v>2</v>
      </c>
      <c r="AJ905">
        <v>0</v>
      </c>
      <c r="AK905">
        <v>2</v>
      </c>
      <c r="AL905" t="s">
        <v>8813</v>
      </c>
      <c r="AM905" t="s">
        <v>4016</v>
      </c>
      <c r="AN905" t="s">
        <v>8814</v>
      </c>
      <c r="AO905" t="s">
        <v>17463</v>
      </c>
      <c r="AP905" t="s">
        <v>17464</v>
      </c>
      <c r="AQ905" t="s">
        <v>74</v>
      </c>
      <c r="AR905" t="s">
        <v>17465</v>
      </c>
      <c r="AS905" t="s">
        <v>17466</v>
      </c>
      <c r="AT905" t="s">
        <v>6581</v>
      </c>
      <c r="AU905">
        <v>2019</v>
      </c>
      <c r="AV905">
        <v>59</v>
      </c>
      <c r="AW905">
        <v>3</v>
      </c>
      <c r="AX905" t="s">
        <v>74</v>
      </c>
      <c r="AY905" t="s">
        <v>74</v>
      </c>
      <c r="AZ905" t="s">
        <v>74</v>
      </c>
      <c r="BA905" t="s">
        <v>74</v>
      </c>
      <c r="BB905">
        <v>293</v>
      </c>
      <c r="BC905">
        <v>304</v>
      </c>
      <c r="BD905" t="s">
        <v>74</v>
      </c>
      <c r="BE905" t="s">
        <v>17467</v>
      </c>
      <c r="BF905" t="str">
        <f>HYPERLINK("http://dx.doi.org/10.1134/S0001437019030093","http://dx.doi.org/10.1134/S0001437019030093")</f>
        <v>http://dx.doi.org/10.1134/S0001437019030093</v>
      </c>
      <c r="BG905" t="s">
        <v>74</v>
      </c>
      <c r="BH905" t="s">
        <v>74</v>
      </c>
      <c r="BI905">
        <v>12</v>
      </c>
      <c r="BJ905" t="s">
        <v>100</v>
      </c>
      <c r="BK905" t="s">
        <v>101</v>
      </c>
      <c r="BL905" t="s">
        <v>100</v>
      </c>
      <c r="BM905" t="s">
        <v>17468</v>
      </c>
      <c r="BN905" t="s">
        <v>74</v>
      </c>
      <c r="BO905" t="s">
        <v>74</v>
      </c>
      <c r="BP905" t="s">
        <v>74</v>
      </c>
      <c r="BQ905" t="s">
        <v>74</v>
      </c>
      <c r="BR905" t="s">
        <v>103</v>
      </c>
      <c r="BS905" t="s">
        <v>17469</v>
      </c>
      <c r="BT905" t="str">
        <f>HYPERLINK("https%3A%2F%2Fwww.webofscience.com%2Fwos%2Fwoscc%2Ffull-record%2FWOS:000477037200001","View Full Record in Web of Science")</f>
        <v>View Full Record in Web of Science</v>
      </c>
    </row>
    <row r="906" spans="1:72" x14ac:dyDescent="0.15">
      <c r="A906" t="s">
        <v>72</v>
      </c>
      <c r="B906" t="s">
        <v>17470</v>
      </c>
      <c r="C906" t="s">
        <v>74</v>
      </c>
      <c r="D906" t="s">
        <v>74</v>
      </c>
      <c r="E906" t="s">
        <v>74</v>
      </c>
      <c r="F906" t="s">
        <v>17471</v>
      </c>
      <c r="G906" t="s">
        <v>74</v>
      </c>
      <c r="H906" t="s">
        <v>74</v>
      </c>
      <c r="I906" t="s">
        <v>17472</v>
      </c>
      <c r="J906" t="s">
        <v>17452</v>
      </c>
      <c r="K906" t="s">
        <v>74</v>
      </c>
      <c r="L906" t="s">
        <v>74</v>
      </c>
      <c r="M906" t="s">
        <v>78</v>
      </c>
      <c r="N906" t="s">
        <v>108</v>
      </c>
      <c r="O906" t="s">
        <v>74</v>
      </c>
      <c r="P906" t="s">
        <v>74</v>
      </c>
      <c r="Q906" t="s">
        <v>74</v>
      </c>
      <c r="R906" t="s">
        <v>74</v>
      </c>
      <c r="S906" t="s">
        <v>74</v>
      </c>
      <c r="T906" t="s">
        <v>74</v>
      </c>
      <c r="U906" t="s">
        <v>74</v>
      </c>
      <c r="V906" t="s">
        <v>17473</v>
      </c>
      <c r="W906" t="s">
        <v>17474</v>
      </c>
      <c r="X906" t="s">
        <v>17456</v>
      </c>
      <c r="Y906" t="s">
        <v>17475</v>
      </c>
      <c r="Z906" t="s">
        <v>17476</v>
      </c>
      <c r="AA906" t="s">
        <v>74</v>
      </c>
      <c r="AB906" t="s">
        <v>74</v>
      </c>
      <c r="AC906" t="s">
        <v>74</v>
      </c>
      <c r="AD906" t="s">
        <v>74</v>
      </c>
      <c r="AE906" t="s">
        <v>74</v>
      </c>
      <c r="AF906" t="s">
        <v>74</v>
      </c>
      <c r="AG906">
        <v>21</v>
      </c>
      <c r="AH906">
        <v>1</v>
      </c>
      <c r="AI906">
        <v>1</v>
      </c>
      <c r="AJ906">
        <v>0</v>
      </c>
      <c r="AK906">
        <v>0</v>
      </c>
      <c r="AL906" t="s">
        <v>8813</v>
      </c>
      <c r="AM906" t="s">
        <v>4016</v>
      </c>
      <c r="AN906" t="s">
        <v>8814</v>
      </c>
      <c r="AO906" t="s">
        <v>17463</v>
      </c>
      <c r="AP906" t="s">
        <v>17464</v>
      </c>
      <c r="AQ906" t="s">
        <v>74</v>
      </c>
      <c r="AR906" t="s">
        <v>17465</v>
      </c>
      <c r="AS906" t="s">
        <v>17466</v>
      </c>
      <c r="AT906" t="s">
        <v>6581</v>
      </c>
      <c r="AU906">
        <v>2019</v>
      </c>
      <c r="AV906">
        <v>59</v>
      </c>
      <c r="AW906">
        <v>3</v>
      </c>
      <c r="AX906" t="s">
        <v>74</v>
      </c>
      <c r="AY906" t="s">
        <v>74</v>
      </c>
      <c r="AZ906" t="s">
        <v>74</v>
      </c>
      <c r="BA906" t="s">
        <v>74</v>
      </c>
      <c r="BB906">
        <v>374</v>
      </c>
      <c r="BC906">
        <v>380</v>
      </c>
      <c r="BD906" t="s">
        <v>74</v>
      </c>
      <c r="BE906" t="s">
        <v>17477</v>
      </c>
      <c r="BF906" t="str">
        <f>HYPERLINK("http://dx.doi.org/10.1134/S0001437019030068","http://dx.doi.org/10.1134/S0001437019030068")</f>
        <v>http://dx.doi.org/10.1134/S0001437019030068</v>
      </c>
      <c r="BG906" t="s">
        <v>74</v>
      </c>
      <c r="BH906" t="s">
        <v>74</v>
      </c>
      <c r="BI906">
        <v>7</v>
      </c>
      <c r="BJ906" t="s">
        <v>100</v>
      </c>
      <c r="BK906" t="s">
        <v>101</v>
      </c>
      <c r="BL906" t="s">
        <v>100</v>
      </c>
      <c r="BM906" t="s">
        <v>17468</v>
      </c>
      <c r="BN906" t="s">
        <v>74</v>
      </c>
      <c r="BO906" t="s">
        <v>74</v>
      </c>
      <c r="BP906" t="s">
        <v>74</v>
      </c>
      <c r="BQ906" t="s">
        <v>74</v>
      </c>
      <c r="BR906" t="s">
        <v>103</v>
      </c>
      <c r="BS906" t="s">
        <v>17478</v>
      </c>
      <c r="BT906" t="str">
        <f>HYPERLINK("https%3A%2F%2Fwww.webofscience.com%2Fwos%2Fwoscc%2Ffull-record%2FWOS:000477037200009","View Full Record in Web of Science")</f>
        <v>View Full Record in Web of Science</v>
      </c>
    </row>
    <row r="907" spans="1:72" x14ac:dyDescent="0.15">
      <c r="A907" t="s">
        <v>72</v>
      </c>
      <c r="B907" t="s">
        <v>17479</v>
      </c>
      <c r="C907" t="s">
        <v>74</v>
      </c>
      <c r="D907" t="s">
        <v>74</v>
      </c>
      <c r="E907" t="s">
        <v>74</v>
      </c>
      <c r="F907" t="s">
        <v>17480</v>
      </c>
      <c r="G907" t="s">
        <v>74</v>
      </c>
      <c r="H907" t="s">
        <v>74</v>
      </c>
      <c r="I907" t="s">
        <v>17481</v>
      </c>
      <c r="J907" t="s">
        <v>3808</v>
      </c>
      <c r="K907" t="s">
        <v>74</v>
      </c>
      <c r="L907" t="s">
        <v>74</v>
      </c>
      <c r="M907" t="s">
        <v>78</v>
      </c>
      <c r="N907" t="s">
        <v>108</v>
      </c>
      <c r="O907" t="s">
        <v>74</v>
      </c>
      <c r="P907" t="s">
        <v>74</v>
      </c>
      <c r="Q907" t="s">
        <v>74</v>
      </c>
      <c r="R907" t="s">
        <v>74</v>
      </c>
      <c r="S907" t="s">
        <v>74</v>
      </c>
      <c r="T907" t="s">
        <v>17482</v>
      </c>
      <c r="U907" t="s">
        <v>17483</v>
      </c>
      <c r="V907" t="s">
        <v>17484</v>
      </c>
      <c r="W907" t="s">
        <v>17485</v>
      </c>
      <c r="X907" t="s">
        <v>17486</v>
      </c>
      <c r="Y907" t="s">
        <v>17487</v>
      </c>
      <c r="Z907" t="s">
        <v>17488</v>
      </c>
      <c r="AA907" t="s">
        <v>17489</v>
      </c>
      <c r="AB907" t="s">
        <v>17490</v>
      </c>
      <c r="AC907" t="s">
        <v>17491</v>
      </c>
      <c r="AD907" t="s">
        <v>17492</v>
      </c>
      <c r="AE907" t="s">
        <v>17493</v>
      </c>
      <c r="AF907" t="s">
        <v>74</v>
      </c>
      <c r="AG907">
        <v>31</v>
      </c>
      <c r="AH907">
        <v>3</v>
      </c>
      <c r="AI907">
        <v>3</v>
      </c>
      <c r="AJ907">
        <v>2</v>
      </c>
      <c r="AK907">
        <v>19</v>
      </c>
      <c r="AL907" t="s">
        <v>3615</v>
      </c>
      <c r="AM907" t="s">
        <v>3616</v>
      </c>
      <c r="AN907" t="s">
        <v>3617</v>
      </c>
      <c r="AO907" t="s">
        <v>74</v>
      </c>
      <c r="AP907" t="s">
        <v>3821</v>
      </c>
      <c r="AQ907" t="s">
        <v>74</v>
      </c>
      <c r="AR907" t="s">
        <v>3822</v>
      </c>
      <c r="AS907" t="s">
        <v>3823</v>
      </c>
      <c r="AT907" t="s">
        <v>6581</v>
      </c>
      <c r="AU907">
        <v>2019</v>
      </c>
      <c r="AV907">
        <v>7</v>
      </c>
      <c r="AW907">
        <v>5</v>
      </c>
      <c r="AX907" t="s">
        <v>74</v>
      </c>
      <c r="AY907" t="s">
        <v>74</v>
      </c>
      <c r="AZ907" t="s">
        <v>74</v>
      </c>
      <c r="BA907" t="s">
        <v>74</v>
      </c>
      <c r="BB907" t="s">
        <v>74</v>
      </c>
      <c r="BC907" t="s">
        <v>74</v>
      </c>
      <c r="BD907">
        <v>153</v>
      </c>
      <c r="BE907" t="s">
        <v>17494</v>
      </c>
      <c r="BF907" t="str">
        <f>HYPERLINK("http://dx.doi.org/10.3390/jmse7050153","http://dx.doi.org/10.3390/jmse7050153")</f>
        <v>http://dx.doi.org/10.3390/jmse7050153</v>
      </c>
      <c r="BG907" t="s">
        <v>74</v>
      </c>
      <c r="BH907" t="s">
        <v>74</v>
      </c>
      <c r="BI907">
        <v>18</v>
      </c>
      <c r="BJ907" t="s">
        <v>3825</v>
      </c>
      <c r="BK907" t="s">
        <v>101</v>
      </c>
      <c r="BL907" t="s">
        <v>3826</v>
      </c>
      <c r="BM907" t="s">
        <v>17495</v>
      </c>
      <c r="BN907" t="s">
        <v>74</v>
      </c>
      <c r="BO907" t="s">
        <v>366</v>
      </c>
      <c r="BP907" t="s">
        <v>74</v>
      </c>
      <c r="BQ907" t="s">
        <v>74</v>
      </c>
      <c r="BR907" t="s">
        <v>103</v>
      </c>
      <c r="BS907" t="s">
        <v>17496</v>
      </c>
      <c r="BT907" t="str">
        <f>HYPERLINK("https%3A%2F%2Fwww.webofscience.com%2Fwos%2Fwoscc%2Ffull-record%2FWOS:000470965000033","View Full Record in Web of Science")</f>
        <v>View Full Record in Web of Science</v>
      </c>
    </row>
    <row r="908" spans="1:72" x14ac:dyDescent="0.15">
      <c r="A908" t="s">
        <v>72</v>
      </c>
      <c r="B908" t="s">
        <v>17497</v>
      </c>
      <c r="C908" t="s">
        <v>74</v>
      </c>
      <c r="D908" t="s">
        <v>74</v>
      </c>
      <c r="E908" t="s">
        <v>74</v>
      </c>
      <c r="F908" t="s">
        <v>17498</v>
      </c>
      <c r="G908" t="s">
        <v>74</v>
      </c>
      <c r="H908" t="s">
        <v>74</v>
      </c>
      <c r="I908" t="s">
        <v>17499</v>
      </c>
      <c r="J908" t="s">
        <v>17500</v>
      </c>
      <c r="K908" t="s">
        <v>74</v>
      </c>
      <c r="L908" t="s">
        <v>74</v>
      </c>
      <c r="M908" t="s">
        <v>78</v>
      </c>
      <c r="N908" t="s">
        <v>108</v>
      </c>
      <c r="O908" t="s">
        <v>74</v>
      </c>
      <c r="P908" t="s">
        <v>74</v>
      </c>
      <c r="Q908" t="s">
        <v>74</v>
      </c>
      <c r="R908" t="s">
        <v>74</v>
      </c>
      <c r="S908" t="s">
        <v>74</v>
      </c>
      <c r="T908" t="s">
        <v>17501</v>
      </c>
      <c r="U908" t="s">
        <v>74</v>
      </c>
      <c r="V908" t="s">
        <v>17502</v>
      </c>
      <c r="W908" t="s">
        <v>17503</v>
      </c>
      <c r="X908" t="s">
        <v>17504</v>
      </c>
      <c r="Y908" t="s">
        <v>17505</v>
      </c>
      <c r="Z908" t="s">
        <v>17506</v>
      </c>
      <c r="AA908" t="s">
        <v>74</v>
      </c>
      <c r="AB908" t="s">
        <v>17507</v>
      </c>
      <c r="AC908" t="s">
        <v>17508</v>
      </c>
      <c r="AD908" t="s">
        <v>17509</v>
      </c>
      <c r="AE908" t="s">
        <v>17510</v>
      </c>
      <c r="AF908" t="s">
        <v>74</v>
      </c>
      <c r="AG908">
        <v>15</v>
      </c>
      <c r="AH908">
        <v>1</v>
      </c>
      <c r="AI908">
        <v>2</v>
      </c>
      <c r="AJ908">
        <v>6</v>
      </c>
      <c r="AK908">
        <v>67</v>
      </c>
      <c r="AL908" t="s">
        <v>17511</v>
      </c>
      <c r="AM908" t="s">
        <v>17512</v>
      </c>
      <c r="AN908" t="s">
        <v>17513</v>
      </c>
      <c r="AO908" t="s">
        <v>17514</v>
      </c>
      <c r="AP908" t="s">
        <v>17515</v>
      </c>
      <c r="AQ908" t="s">
        <v>74</v>
      </c>
      <c r="AR908" t="s">
        <v>17516</v>
      </c>
      <c r="AS908" t="s">
        <v>17517</v>
      </c>
      <c r="AT908" t="s">
        <v>17518</v>
      </c>
      <c r="AU908">
        <v>2019</v>
      </c>
      <c r="AV908">
        <v>53</v>
      </c>
      <c r="AW908">
        <v>3</v>
      </c>
      <c r="AX908" t="s">
        <v>74</v>
      </c>
      <c r="AY908" t="s">
        <v>74</v>
      </c>
      <c r="AZ908" t="s">
        <v>74</v>
      </c>
      <c r="BA908" t="s">
        <v>74</v>
      </c>
      <c r="BB908">
        <v>23</v>
      </c>
      <c r="BC908">
        <v>29</v>
      </c>
      <c r="BD908" t="s">
        <v>74</v>
      </c>
      <c r="BE908" t="s">
        <v>17519</v>
      </c>
      <c r="BF908" t="str">
        <f>HYPERLINK("http://dx.doi.org/10.4031/MTSJ.53.3.4","http://dx.doi.org/10.4031/MTSJ.53.3.4")</f>
        <v>http://dx.doi.org/10.4031/MTSJ.53.3.4</v>
      </c>
      <c r="BG908" t="s">
        <v>74</v>
      </c>
      <c r="BH908" t="s">
        <v>74</v>
      </c>
      <c r="BI908">
        <v>7</v>
      </c>
      <c r="BJ908" t="s">
        <v>15086</v>
      </c>
      <c r="BK908" t="s">
        <v>101</v>
      </c>
      <c r="BL908" t="s">
        <v>3826</v>
      </c>
      <c r="BM908" t="s">
        <v>17520</v>
      </c>
      <c r="BN908" t="s">
        <v>74</v>
      </c>
      <c r="BO908" t="s">
        <v>74</v>
      </c>
      <c r="BP908" t="s">
        <v>74</v>
      </c>
      <c r="BQ908" t="s">
        <v>74</v>
      </c>
      <c r="BR908" t="s">
        <v>103</v>
      </c>
      <c r="BS908" t="s">
        <v>17521</v>
      </c>
      <c r="BT908" t="str">
        <f>HYPERLINK("https%3A%2F%2Fwww.webofscience.com%2Fwos%2Fwoscc%2Ffull-record%2FWOS:000475720500004","View Full Record in Web of Science")</f>
        <v>View Full Record in Web of Science</v>
      </c>
    </row>
    <row r="909" spans="1:72" x14ac:dyDescent="0.15">
      <c r="A909" t="s">
        <v>72</v>
      </c>
      <c r="B909" t="s">
        <v>17522</v>
      </c>
      <c r="C909" t="s">
        <v>74</v>
      </c>
      <c r="D909" t="s">
        <v>74</v>
      </c>
      <c r="E909" t="s">
        <v>74</v>
      </c>
      <c r="F909" t="s">
        <v>17523</v>
      </c>
      <c r="G909" t="s">
        <v>74</v>
      </c>
      <c r="H909" t="s">
        <v>74</v>
      </c>
      <c r="I909" t="s">
        <v>17524</v>
      </c>
      <c r="J909" t="s">
        <v>10345</v>
      </c>
      <c r="K909" t="s">
        <v>74</v>
      </c>
      <c r="L909" t="s">
        <v>74</v>
      </c>
      <c r="M909" t="s">
        <v>78</v>
      </c>
      <c r="N909" t="s">
        <v>79</v>
      </c>
      <c r="O909" t="s">
        <v>74</v>
      </c>
      <c r="P909" t="s">
        <v>74</v>
      </c>
      <c r="Q909" t="s">
        <v>74</v>
      </c>
      <c r="R909" t="s">
        <v>74</v>
      </c>
      <c r="S909" t="s">
        <v>74</v>
      </c>
      <c r="T909" t="s">
        <v>74</v>
      </c>
      <c r="U909" t="s">
        <v>17525</v>
      </c>
      <c r="V909" t="s">
        <v>17526</v>
      </c>
      <c r="W909" t="s">
        <v>17527</v>
      </c>
      <c r="X909" t="s">
        <v>17528</v>
      </c>
      <c r="Y909" t="s">
        <v>17529</v>
      </c>
      <c r="Z909" t="s">
        <v>17530</v>
      </c>
      <c r="AA909" t="s">
        <v>17531</v>
      </c>
      <c r="AB909" t="s">
        <v>17532</v>
      </c>
      <c r="AC909" t="s">
        <v>17533</v>
      </c>
      <c r="AD909" t="s">
        <v>17534</v>
      </c>
      <c r="AE909" t="s">
        <v>17535</v>
      </c>
      <c r="AF909" t="s">
        <v>74</v>
      </c>
      <c r="AG909">
        <v>222</v>
      </c>
      <c r="AH909">
        <v>41</v>
      </c>
      <c r="AI909">
        <v>44</v>
      </c>
      <c r="AJ909">
        <v>4</v>
      </c>
      <c r="AK909">
        <v>26</v>
      </c>
      <c r="AL909" t="s">
        <v>438</v>
      </c>
      <c r="AM909" t="s">
        <v>439</v>
      </c>
      <c r="AN909" t="s">
        <v>440</v>
      </c>
      <c r="AO909" t="s">
        <v>10356</v>
      </c>
      <c r="AP909" t="s">
        <v>10357</v>
      </c>
      <c r="AQ909" t="s">
        <v>74</v>
      </c>
      <c r="AR909" t="s">
        <v>10358</v>
      </c>
      <c r="AS909" t="s">
        <v>10359</v>
      </c>
      <c r="AT909" t="s">
        <v>6581</v>
      </c>
      <c r="AU909">
        <v>2019</v>
      </c>
      <c r="AV909">
        <v>192</v>
      </c>
      <c r="AW909" t="s">
        <v>74</v>
      </c>
      <c r="AX909" t="s">
        <v>74</v>
      </c>
      <c r="AY909" t="s">
        <v>74</v>
      </c>
      <c r="AZ909" t="s">
        <v>74</v>
      </c>
      <c r="BA909" t="s">
        <v>74</v>
      </c>
      <c r="BB909">
        <v>285</v>
      </c>
      <c r="BC909">
        <v>316</v>
      </c>
      <c r="BD909" t="s">
        <v>74</v>
      </c>
      <c r="BE909" t="s">
        <v>17536</v>
      </c>
      <c r="BF909" t="str">
        <f>HYPERLINK("http://dx.doi.org/10.1016/j.earscirev.2019.01.014","http://dx.doi.org/10.1016/j.earscirev.2019.01.014")</f>
        <v>http://dx.doi.org/10.1016/j.earscirev.2019.01.014</v>
      </c>
      <c r="BG909" t="s">
        <v>74</v>
      </c>
      <c r="BH909" t="s">
        <v>74</v>
      </c>
      <c r="BI909">
        <v>32</v>
      </c>
      <c r="BJ909" t="s">
        <v>471</v>
      </c>
      <c r="BK909" t="s">
        <v>101</v>
      </c>
      <c r="BL909" t="s">
        <v>472</v>
      </c>
      <c r="BM909" t="s">
        <v>17537</v>
      </c>
      <c r="BN909" t="s">
        <v>74</v>
      </c>
      <c r="BO909" t="s">
        <v>74</v>
      </c>
      <c r="BP909" t="s">
        <v>74</v>
      </c>
      <c r="BQ909" t="s">
        <v>74</v>
      </c>
      <c r="BR909" t="s">
        <v>103</v>
      </c>
      <c r="BS909" t="s">
        <v>17538</v>
      </c>
      <c r="BT909" t="str">
        <f>HYPERLINK("https%3A%2F%2Fwww.webofscience.com%2Fwos%2Fwoscc%2Ffull-record%2FWOS:000474499500011","View Full Record in Web of Science")</f>
        <v>View Full Record in Web of Science</v>
      </c>
    </row>
    <row r="910" spans="1:72" x14ac:dyDescent="0.15">
      <c r="A910" t="s">
        <v>72</v>
      </c>
      <c r="B910" t="s">
        <v>17539</v>
      </c>
      <c r="C910" t="s">
        <v>74</v>
      </c>
      <c r="D910" t="s">
        <v>74</v>
      </c>
      <c r="E910" t="s">
        <v>74</v>
      </c>
      <c r="F910" t="s">
        <v>17540</v>
      </c>
      <c r="G910" t="s">
        <v>74</v>
      </c>
      <c r="H910" t="s">
        <v>74</v>
      </c>
      <c r="I910" t="s">
        <v>17541</v>
      </c>
      <c r="J910" t="s">
        <v>10345</v>
      </c>
      <c r="K910" t="s">
        <v>74</v>
      </c>
      <c r="L910" t="s">
        <v>74</v>
      </c>
      <c r="M910" t="s">
        <v>78</v>
      </c>
      <c r="N910" t="s">
        <v>79</v>
      </c>
      <c r="O910" t="s">
        <v>74</v>
      </c>
      <c r="P910" t="s">
        <v>74</v>
      </c>
      <c r="Q910" t="s">
        <v>74</v>
      </c>
      <c r="R910" t="s">
        <v>74</v>
      </c>
      <c r="S910" t="s">
        <v>74</v>
      </c>
      <c r="T910" t="s">
        <v>17542</v>
      </c>
      <c r="U910" t="s">
        <v>17543</v>
      </c>
      <c r="V910" t="s">
        <v>17544</v>
      </c>
      <c r="W910" t="s">
        <v>17545</v>
      </c>
      <c r="X910" t="s">
        <v>17546</v>
      </c>
      <c r="Y910" t="s">
        <v>17547</v>
      </c>
      <c r="Z910" t="s">
        <v>17548</v>
      </c>
      <c r="AA910" t="s">
        <v>17549</v>
      </c>
      <c r="AB910" t="s">
        <v>17550</v>
      </c>
      <c r="AC910" t="s">
        <v>17551</v>
      </c>
      <c r="AD910" t="s">
        <v>17552</v>
      </c>
      <c r="AE910" t="s">
        <v>17553</v>
      </c>
      <c r="AF910" t="s">
        <v>74</v>
      </c>
      <c r="AG910">
        <v>239</v>
      </c>
      <c r="AH910">
        <v>26</v>
      </c>
      <c r="AI910">
        <v>27</v>
      </c>
      <c r="AJ910">
        <v>1</v>
      </c>
      <c r="AK910">
        <v>38</v>
      </c>
      <c r="AL910" t="s">
        <v>438</v>
      </c>
      <c r="AM910" t="s">
        <v>439</v>
      </c>
      <c r="AN910" t="s">
        <v>440</v>
      </c>
      <c r="AO910" t="s">
        <v>10356</v>
      </c>
      <c r="AP910" t="s">
        <v>10357</v>
      </c>
      <c r="AQ910" t="s">
        <v>74</v>
      </c>
      <c r="AR910" t="s">
        <v>10358</v>
      </c>
      <c r="AS910" t="s">
        <v>10359</v>
      </c>
      <c r="AT910" t="s">
        <v>6581</v>
      </c>
      <c r="AU910">
        <v>2019</v>
      </c>
      <c r="AV910">
        <v>192</v>
      </c>
      <c r="AW910" t="s">
        <v>74</v>
      </c>
      <c r="AX910" t="s">
        <v>74</v>
      </c>
      <c r="AY910" t="s">
        <v>74</v>
      </c>
      <c r="AZ910" t="s">
        <v>74</v>
      </c>
      <c r="BA910" t="s">
        <v>74</v>
      </c>
      <c r="BB910">
        <v>379</v>
      </c>
      <c r="BC910">
        <v>402</v>
      </c>
      <c r="BD910" t="s">
        <v>74</v>
      </c>
      <c r="BE910" t="s">
        <v>17554</v>
      </c>
      <c r="BF910" t="str">
        <f>HYPERLINK("http://dx.doi.org/10.1016/j.earscirev.2019.03.014","http://dx.doi.org/10.1016/j.earscirev.2019.03.014")</f>
        <v>http://dx.doi.org/10.1016/j.earscirev.2019.03.014</v>
      </c>
      <c r="BG910" t="s">
        <v>74</v>
      </c>
      <c r="BH910" t="s">
        <v>74</v>
      </c>
      <c r="BI910">
        <v>24</v>
      </c>
      <c r="BJ910" t="s">
        <v>471</v>
      </c>
      <c r="BK910" t="s">
        <v>101</v>
      </c>
      <c r="BL910" t="s">
        <v>472</v>
      </c>
      <c r="BM910" t="s">
        <v>17537</v>
      </c>
      <c r="BN910" t="s">
        <v>74</v>
      </c>
      <c r="BO910" t="s">
        <v>1648</v>
      </c>
      <c r="BP910" t="s">
        <v>74</v>
      </c>
      <c r="BQ910" t="s">
        <v>74</v>
      </c>
      <c r="BR910" t="s">
        <v>103</v>
      </c>
      <c r="BS910" t="s">
        <v>17555</v>
      </c>
      <c r="BT910" t="str">
        <f>HYPERLINK("https%3A%2F%2Fwww.webofscience.com%2Fwos%2Fwoscc%2Ffull-record%2FWOS:000474499500015","View Full Record in Web of Science")</f>
        <v>View Full Record in Web of Science</v>
      </c>
    </row>
    <row r="911" spans="1:72" x14ac:dyDescent="0.15">
      <c r="A911" t="s">
        <v>72</v>
      </c>
      <c r="B911" t="s">
        <v>17556</v>
      </c>
      <c r="C911" t="s">
        <v>74</v>
      </c>
      <c r="D911" t="s">
        <v>74</v>
      </c>
      <c r="E911" t="s">
        <v>74</v>
      </c>
      <c r="F911" t="s">
        <v>17557</v>
      </c>
      <c r="G911" t="s">
        <v>74</v>
      </c>
      <c r="H911" t="s">
        <v>74</v>
      </c>
      <c r="I911" t="s">
        <v>17558</v>
      </c>
      <c r="J911" t="s">
        <v>10345</v>
      </c>
      <c r="K911" t="s">
        <v>74</v>
      </c>
      <c r="L911" t="s">
        <v>74</v>
      </c>
      <c r="M911" t="s">
        <v>78</v>
      </c>
      <c r="N911" t="s">
        <v>79</v>
      </c>
      <c r="O911" t="s">
        <v>74</v>
      </c>
      <c r="P911" t="s">
        <v>74</v>
      </c>
      <c r="Q911" t="s">
        <v>74</v>
      </c>
      <c r="R911" t="s">
        <v>74</v>
      </c>
      <c r="S911" t="s">
        <v>74</v>
      </c>
      <c r="T911" t="s">
        <v>17559</v>
      </c>
      <c r="U911" t="s">
        <v>17560</v>
      </c>
      <c r="V911" t="s">
        <v>17561</v>
      </c>
      <c r="W911" t="s">
        <v>17562</v>
      </c>
      <c r="X911" t="s">
        <v>17563</v>
      </c>
      <c r="Y911" t="s">
        <v>17564</v>
      </c>
      <c r="Z911" t="s">
        <v>17565</v>
      </c>
      <c r="AA911" t="s">
        <v>17566</v>
      </c>
      <c r="AB911" t="s">
        <v>17567</v>
      </c>
      <c r="AC911" t="s">
        <v>17568</v>
      </c>
      <c r="AD911" t="s">
        <v>17569</v>
      </c>
      <c r="AE911" t="s">
        <v>17570</v>
      </c>
      <c r="AF911" t="s">
        <v>74</v>
      </c>
      <c r="AG911">
        <v>130</v>
      </c>
      <c r="AH911">
        <v>24</v>
      </c>
      <c r="AI911">
        <v>24</v>
      </c>
      <c r="AJ911">
        <v>6</v>
      </c>
      <c r="AK911">
        <v>78</v>
      </c>
      <c r="AL911" t="s">
        <v>438</v>
      </c>
      <c r="AM911" t="s">
        <v>439</v>
      </c>
      <c r="AN911" t="s">
        <v>440</v>
      </c>
      <c r="AO911" t="s">
        <v>10356</v>
      </c>
      <c r="AP911" t="s">
        <v>10357</v>
      </c>
      <c r="AQ911" t="s">
        <v>74</v>
      </c>
      <c r="AR911" t="s">
        <v>10358</v>
      </c>
      <c r="AS911" t="s">
        <v>10359</v>
      </c>
      <c r="AT911" t="s">
        <v>6581</v>
      </c>
      <c r="AU911">
        <v>2019</v>
      </c>
      <c r="AV911">
        <v>192</v>
      </c>
      <c r="AW911" t="s">
        <v>74</v>
      </c>
      <c r="AX911" t="s">
        <v>74</v>
      </c>
      <c r="AY911" t="s">
        <v>74</v>
      </c>
      <c r="AZ911" t="s">
        <v>74</v>
      </c>
      <c r="BA911" t="s">
        <v>74</v>
      </c>
      <c r="BB911">
        <v>631</v>
      </c>
      <c r="BC911">
        <v>649</v>
      </c>
      <c r="BD911" t="s">
        <v>74</v>
      </c>
      <c r="BE911" t="s">
        <v>17571</v>
      </c>
      <c r="BF911" t="str">
        <f>HYPERLINK("http://dx.doi.org/10.1016/j.earscirev.2019.03.007","http://dx.doi.org/10.1016/j.earscirev.2019.03.007")</f>
        <v>http://dx.doi.org/10.1016/j.earscirev.2019.03.007</v>
      </c>
      <c r="BG911" t="s">
        <v>74</v>
      </c>
      <c r="BH911" t="s">
        <v>74</v>
      </c>
      <c r="BI911">
        <v>19</v>
      </c>
      <c r="BJ911" t="s">
        <v>471</v>
      </c>
      <c r="BK911" t="s">
        <v>101</v>
      </c>
      <c r="BL911" t="s">
        <v>472</v>
      </c>
      <c r="BM911" t="s">
        <v>17537</v>
      </c>
      <c r="BN911" t="s">
        <v>74</v>
      </c>
      <c r="BO911" t="s">
        <v>74</v>
      </c>
      <c r="BP911" t="s">
        <v>74</v>
      </c>
      <c r="BQ911" t="s">
        <v>74</v>
      </c>
      <c r="BR911" t="s">
        <v>103</v>
      </c>
      <c r="BS911" t="s">
        <v>17572</v>
      </c>
      <c r="BT911" t="str">
        <f>HYPERLINK("https%3A%2F%2Fwww.webofscience.com%2Fwos%2Fwoscc%2Ffull-record%2FWOS:000474499500026","View Full Record in Web of Science")</f>
        <v>View Full Record in Web of Science</v>
      </c>
    </row>
    <row r="912" spans="1:72" x14ac:dyDescent="0.15">
      <c r="A912" t="s">
        <v>72</v>
      </c>
      <c r="B912" t="s">
        <v>17573</v>
      </c>
      <c r="C912" t="s">
        <v>74</v>
      </c>
      <c r="D912" t="s">
        <v>74</v>
      </c>
      <c r="E912" t="s">
        <v>74</v>
      </c>
      <c r="F912" t="s">
        <v>17574</v>
      </c>
      <c r="G912" t="s">
        <v>74</v>
      </c>
      <c r="H912" t="s">
        <v>74</v>
      </c>
      <c r="I912" t="s">
        <v>17575</v>
      </c>
      <c r="J912" t="s">
        <v>17576</v>
      </c>
      <c r="K912" t="s">
        <v>74</v>
      </c>
      <c r="L912" t="s">
        <v>74</v>
      </c>
      <c r="M912" t="s">
        <v>78</v>
      </c>
      <c r="N912" t="s">
        <v>108</v>
      </c>
      <c r="O912" t="s">
        <v>74</v>
      </c>
      <c r="P912" t="s">
        <v>74</v>
      </c>
      <c r="Q912" t="s">
        <v>74</v>
      </c>
      <c r="R912" t="s">
        <v>74</v>
      </c>
      <c r="S912" t="s">
        <v>74</v>
      </c>
      <c r="T912" t="s">
        <v>17577</v>
      </c>
      <c r="U912" t="s">
        <v>17578</v>
      </c>
      <c r="V912" t="s">
        <v>17579</v>
      </c>
      <c r="W912" t="s">
        <v>17580</v>
      </c>
      <c r="X912" t="s">
        <v>17581</v>
      </c>
      <c r="Y912" t="s">
        <v>17582</v>
      </c>
      <c r="Z912" t="s">
        <v>17583</v>
      </c>
      <c r="AA912" t="s">
        <v>74</v>
      </c>
      <c r="AB912" t="s">
        <v>17584</v>
      </c>
      <c r="AC912" t="s">
        <v>17585</v>
      </c>
      <c r="AD912" t="s">
        <v>17586</v>
      </c>
      <c r="AE912" t="s">
        <v>17587</v>
      </c>
      <c r="AF912" t="s">
        <v>74</v>
      </c>
      <c r="AG912">
        <v>50</v>
      </c>
      <c r="AH912">
        <v>5</v>
      </c>
      <c r="AI912">
        <v>6</v>
      </c>
      <c r="AJ912">
        <v>0</v>
      </c>
      <c r="AK912">
        <v>1</v>
      </c>
      <c r="AL912" t="s">
        <v>302</v>
      </c>
      <c r="AM912" t="s">
        <v>303</v>
      </c>
      <c r="AN912" t="s">
        <v>304</v>
      </c>
      <c r="AO912" t="s">
        <v>17588</v>
      </c>
      <c r="AP912" t="s">
        <v>17589</v>
      </c>
      <c r="AQ912" t="s">
        <v>74</v>
      </c>
      <c r="AR912" t="s">
        <v>17576</v>
      </c>
      <c r="AS912" t="s">
        <v>17590</v>
      </c>
      <c r="AT912" t="s">
        <v>6581</v>
      </c>
      <c r="AU912">
        <v>2019</v>
      </c>
      <c r="AV912">
        <v>51</v>
      </c>
      <c r="AW912">
        <v>3</v>
      </c>
      <c r="AX912" t="s">
        <v>74</v>
      </c>
      <c r="AY912" t="s">
        <v>74</v>
      </c>
      <c r="AZ912" t="s">
        <v>74</v>
      </c>
      <c r="BA912" t="s">
        <v>74</v>
      </c>
      <c r="BB912">
        <v>235</v>
      </c>
      <c r="BC912">
        <v>267</v>
      </c>
      <c r="BD912" t="s">
        <v>74</v>
      </c>
      <c r="BE912" t="s">
        <v>17591</v>
      </c>
      <c r="BF912" t="str">
        <f>HYPERLINK("http://dx.doi.org/10.1017/S0024282919000185","http://dx.doi.org/10.1017/S0024282919000185")</f>
        <v>http://dx.doi.org/10.1017/S0024282919000185</v>
      </c>
      <c r="BG912" t="s">
        <v>74</v>
      </c>
      <c r="BH912" t="s">
        <v>74</v>
      </c>
      <c r="BI912">
        <v>33</v>
      </c>
      <c r="BJ912" t="s">
        <v>17592</v>
      </c>
      <c r="BK912" t="s">
        <v>101</v>
      </c>
      <c r="BL912" t="s">
        <v>17592</v>
      </c>
      <c r="BM912" t="s">
        <v>17593</v>
      </c>
      <c r="BN912" t="s">
        <v>74</v>
      </c>
      <c r="BO912" t="s">
        <v>74</v>
      </c>
      <c r="BP912" t="s">
        <v>74</v>
      </c>
      <c r="BQ912" t="s">
        <v>74</v>
      </c>
      <c r="BR912" t="s">
        <v>103</v>
      </c>
      <c r="BS912" t="s">
        <v>17594</v>
      </c>
      <c r="BT912" t="str">
        <f>HYPERLINK("https%3A%2F%2Fwww.webofscience.com%2Fwos%2Fwoscc%2Ffull-record%2FWOS:000474844500005","View Full Record in Web of Science")</f>
        <v>View Full Record in Web of Science</v>
      </c>
    </row>
    <row r="913" spans="1:72" x14ac:dyDescent="0.15">
      <c r="A913" t="s">
        <v>72</v>
      </c>
      <c r="B913" t="s">
        <v>17595</v>
      </c>
      <c r="C913" t="s">
        <v>74</v>
      </c>
      <c r="D913" t="s">
        <v>74</v>
      </c>
      <c r="E913" t="s">
        <v>74</v>
      </c>
      <c r="F913" t="s">
        <v>17596</v>
      </c>
      <c r="G913" t="s">
        <v>74</v>
      </c>
      <c r="H913" t="s">
        <v>74</v>
      </c>
      <c r="I913" t="s">
        <v>17597</v>
      </c>
      <c r="J913" t="s">
        <v>3857</v>
      </c>
      <c r="K913" t="s">
        <v>74</v>
      </c>
      <c r="L913" t="s">
        <v>74</v>
      </c>
      <c r="M913" t="s">
        <v>78</v>
      </c>
      <c r="N913" t="s">
        <v>108</v>
      </c>
      <c r="O913" t="s">
        <v>74</v>
      </c>
      <c r="P913" t="s">
        <v>74</v>
      </c>
      <c r="Q913" t="s">
        <v>74</v>
      </c>
      <c r="R913" t="s">
        <v>74</v>
      </c>
      <c r="S913" t="s">
        <v>74</v>
      </c>
      <c r="T913" t="s">
        <v>17598</v>
      </c>
      <c r="U913" t="s">
        <v>17599</v>
      </c>
      <c r="V913" t="s">
        <v>17600</v>
      </c>
      <c r="W913" t="s">
        <v>17601</v>
      </c>
      <c r="X913" t="s">
        <v>17602</v>
      </c>
      <c r="Y913" t="s">
        <v>5916</v>
      </c>
      <c r="Z913" t="s">
        <v>5917</v>
      </c>
      <c r="AA913" t="s">
        <v>17603</v>
      </c>
      <c r="AB913" t="s">
        <v>17604</v>
      </c>
      <c r="AC913" t="s">
        <v>17605</v>
      </c>
      <c r="AD913" t="s">
        <v>17605</v>
      </c>
      <c r="AE913" t="s">
        <v>17606</v>
      </c>
      <c r="AF913" t="s">
        <v>74</v>
      </c>
      <c r="AG913">
        <v>90</v>
      </c>
      <c r="AH913">
        <v>2</v>
      </c>
      <c r="AI913">
        <v>2</v>
      </c>
      <c r="AJ913">
        <v>0</v>
      </c>
      <c r="AK913">
        <v>10</v>
      </c>
      <c r="AL913" t="s">
        <v>92</v>
      </c>
      <c r="AM913" t="s">
        <v>93</v>
      </c>
      <c r="AN913" t="s">
        <v>94</v>
      </c>
      <c r="AO913" t="s">
        <v>3870</v>
      </c>
      <c r="AP913" t="s">
        <v>3871</v>
      </c>
      <c r="AQ913" t="s">
        <v>74</v>
      </c>
      <c r="AR913" t="s">
        <v>3872</v>
      </c>
      <c r="AS913" t="s">
        <v>3873</v>
      </c>
      <c r="AT913" t="s">
        <v>6581</v>
      </c>
      <c r="AU913">
        <v>2019</v>
      </c>
      <c r="AV913">
        <v>142</v>
      </c>
      <c r="AW913" t="s">
        <v>74</v>
      </c>
      <c r="AX913" t="s">
        <v>74</v>
      </c>
      <c r="AY913" t="s">
        <v>74</v>
      </c>
      <c r="AZ913" t="s">
        <v>74</v>
      </c>
      <c r="BA913" t="s">
        <v>74</v>
      </c>
      <c r="BB913">
        <v>282</v>
      </c>
      <c r="BC913">
        <v>289</v>
      </c>
      <c r="BD913" t="s">
        <v>74</v>
      </c>
      <c r="BE913" t="s">
        <v>17607</v>
      </c>
      <c r="BF913" t="str">
        <f>HYPERLINK("http://dx.doi.org/10.1016/j.marpolbul.2019.03.051","http://dx.doi.org/10.1016/j.marpolbul.2019.03.051")</f>
        <v>http://dx.doi.org/10.1016/j.marpolbul.2019.03.051</v>
      </c>
      <c r="BG913" t="s">
        <v>74</v>
      </c>
      <c r="BH913" t="s">
        <v>74</v>
      </c>
      <c r="BI913">
        <v>8</v>
      </c>
      <c r="BJ913" t="s">
        <v>876</v>
      </c>
      <c r="BK913" t="s">
        <v>101</v>
      </c>
      <c r="BL913" t="s">
        <v>877</v>
      </c>
      <c r="BM913" t="s">
        <v>17608</v>
      </c>
      <c r="BN913">
        <v>31232305</v>
      </c>
      <c r="BO913" t="s">
        <v>74</v>
      </c>
      <c r="BP913" t="s">
        <v>74</v>
      </c>
      <c r="BQ913" t="s">
        <v>74</v>
      </c>
      <c r="BR913" t="s">
        <v>103</v>
      </c>
      <c r="BS913" t="s">
        <v>17609</v>
      </c>
      <c r="BT913" t="str">
        <f>HYPERLINK("https%3A%2F%2Fwww.webofscience.com%2Fwos%2Fwoscc%2Ffull-record%2FWOS:000474319500034","View Full Record in Web of Science")</f>
        <v>View Full Record in Web of Science</v>
      </c>
    </row>
    <row r="914" spans="1:72" x14ac:dyDescent="0.15">
      <c r="A914" t="s">
        <v>72</v>
      </c>
      <c r="B914" t="s">
        <v>17610</v>
      </c>
      <c r="C914" t="s">
        <v>74</v>
      </c>
      <c r="D914" t="s">
        <v>74</v>
      </c>
      <c r="E914" t="s">
        <v>74</v>
      </c>
      <c r="F914" t="s">
        <v>17611</v>
      </c>
      <c r="G914" t="s">
        <v>74</v>
      </c>
      <c r="H914" t="s">
        <v>74</v>
      </c>
      <c r="I914" t="s">
        <v>17612</v>
      </c>
      <c r="J914" t="s">
        <v>3857</v>
      </c>
      <c r="K914" t="s">
        <v>74</v>
      </c>
      <c r="L914" t="s">
        <v>74</v>
      </c>
      <c r="M914" t="s">
        <v>78</v>
      </c>
      <c r="N914" t="s">
        <v>108</v>
      </c>
      <c r="O914" t="s">
        <v>74</v>
      </c>
      <c r="P914" t="s">
        <v>74</v>
      </c>
      <c r="Q914" t="s">
        <v>74</v>
      </c>
      <c r="R914" t="s">
        <v>74</v>
      </c>
      <c r="S914" t="s">
        <v>74</v>
      </c>
      <c r="T914" t="s">
        <v>17613</v>
      </c>
      <c r="U914" t="s">
        <v>17614</v>
      </c>
      <c r="V914" t="s">
        <v>17615</v>
      </c>
      <c r="W914" t="s">
        <v>17616</v>
      </c>
      <c r="X914" t="s">
        <v>16561</v>
      </c>
      <c r="Y914" t="s">
        <v>13629</v>
      </c>
      <c r="Z914" t="s">
        <v>2614</v>
      </c>
      <c r="AA914" t="s">
        <v>2615</v>
      </c>
      <c r="AB914" t="s">
        <v>16636</v>
      </c>
      <c r="AC914" t="s">
        <v>17617</v>
      </c>
      <c r="AD914" t="s">
        <v>17617</v>
      </c>
      <c r="AE914" t="s">
        <v>17618</v>
      </c>
      <c r="AF914" t="s">
        <v>74</v>
      </c>
      <c r="AG914">
        <v>46</v>
      </c>
      <c r="AH914">
        <v>20</v>
      </c>
      <c r="AI914">
        <v>24</v>
      </c>
      <c r="AJ914">
        <v>2</v>
      </c>
      <c r="AK914">
        <v>72</v>
      </c>
      <c r="AL914" t="s">
        <v>92</v>
      </c>
      <c r="AM914" t="s">
        <v>93</v>
      </c>
      <c r="AN914" t="s">
        <v>94</v>
      </c>
      <c r="AO914" t="s">
        <v>3870</v>
      </c>
      <c r="AP914" t="s">
        <v>3871</v>
      </c>
      <c r="AQ914" t="s">
        <v>74</v>
      </c>
      <c r="AR914" t="s">
        <v>3872</v>
      </c>
      <c r="AS914" t="s">
        <v>3873</v>
      </c>
      <c r="AT914" t="s">
        <v>6581</v>
      </c>
      <c r="AU914">
        <v>2019</v>
      </c>
      <c r="AV914">
        <v>142</v>
      </c>
      <c r="AW914" t="s">
        <v>74</v>
      </c>
      <c r="AX914" t="s">
        <v>74</v>
      </c>
      <c r="AY914" t="s">
        <v>74</v>
      </c>
      <c r="AZ914" t="s">
        <v>74</v>
      </c>
      <c r="BA914" t="s">
        <v>74</v>
      </c>
      <c r="BB914">
        <v>470</v>
      </c>
      <c r="BC914">
        <v>474</v>
      </c>
      <c r="BD914" t="s">
        <v>74</v>
      </c>
      <c r="BE914" t="s">
        <v>17619</v>
      </c>
      <c r="BF914" t="str">
        <f>HYPERLINK("http://dx.doi.org/10.1016/j.marpolbul.2019.04.001","http://dx.doi.org/10.1016/j.marpolbul.2019.04.001")</f>
        <v>http://dx.doi.org/10.1016/j.marpolbul.2019.04.001</v>
      </c>
      <c r="BG914" t="s">
        <v>74</v>
      </c>
      <c r="BH914" t="s">
        <v>74</v>
      </c>
      <c r="BI914">
        <v>5</v>
      </c>
      <c r="BJ914" t="s">
        <v>876</v>
      </c>
      <c r="BK914" t="s">
        <v>101</v>
      </c>
      <c r="BL914" t="s">
        <v>877</v>
      </c>
      <c r="BM914" t="s">
        <v>17608</v>
      </c>
      <c r="BN914">
        <v>31232326</v>
      </c>
      <c r="BO914" t="s">
        <v>1648</v>
      </c>
      <c r="BP914" t="s">
        <v>74</v>
      </c>
      <c r="BQ914" t="s">
        <v>74</v>
      </c>
      <c r="BR914" t="s">
        <v>103</v>
      </c>
      <c r="BS914" t="s">
        <v>17620</v>
      </c>
      <c r="BT914" t="str">
        <f>HYPERLINK("https%3A%2F%2Fwww.webofscience.com%2Fwos%2Fwoscc%2Ffull-record%2FWOS:000474319500053","View Full Record in Web of Science")</f>
        <v>View Full Record in Web of Science</v>
      </c>
    </row>
    <row r="915" spans="1:72" x14ac:dyDescent="0.15">
      <c r="A915" t="s">
        <v>72</v>
      </c>
      <c r="B915" t="s">
        <v>17621</v>
      </c>
      <c r="C915" t="s">
        <v>74</v>
      </c>
      <c r="D915" t="s">
        <v>74</v>
      </c>
      <c r="E915" t="s">
        <v>74</v>
      </c>
      <c r="F915" t="s">
        <v>17622</v>
      </c>
      <c r="G915" t="s">
        <v>74</v>
      </c>
      <c r="H915" t="s">
        <v>74</v>
      </c>
      <c r="I915" t="s">
        <v>17623</v>
      </c>
      <c r="J915" t="s">
        <v>3857</v>
      </c>
      <c r="K915" t="s">
        <v>74</v>
      </c>
      <c r="L915" t="s">
        <v>74</v>
      </c>
      <c r="M915" t="s">
        <v>78</v>
      </c>
      <c r="N915" t="s">
        <v>108</v>
      </c>
      <c r="O915" t="s">
        <v>74</v>
      </c>
      <c r="P915" t="s">
        <v>74</v>
      </c>
      <c r="Q915" t="s">
        <v>74</v>
      </c>
      <c r="R915" t="s">
        <v>74</v>
      </c>
      <c r="S915" t="s">
        <v>74</v>
      </c>
      <c r="T915" t="s">
        <v>17624</v>
      </c>
      <c r="U915" t="s">
        <v>17625</v>
      </c>
      <c r="V915" t="s">
        <v>17626</v>
      </c>
      <c r="W915" t="s">
        <v>17627</v>
      </c>
      <c r="X915" t="s">
        <v>17628</v>
      </c>
      <c r="Y915" t="s">
        <v>17629</v>
      </c>
      <c r="Z915" t="s">
        <v>16913</v>
      </c>
      <c r="AA915" t="s">
        <v>17630</v>
      </c>
      <c r="AB915" t="s">
        <v>17631</v>
      </c>
      <c r="AC915" t="s">
        <v>17632</v>
      </c>
      <c r="AD915" t="s">
        <v>17632</v>
      </c>
      <c r="AE915" t="s">
        <v>17633</v>
      </c>
      <c r="AF915" t="s">
        <v>74</v>
      </c>
      <c r="AG915">
        <v>23</v>
      </c>
      <c r="AH915">
        <v>15</v>
      </c>
      <c r="AI915">
        <v>16</v>
      </c>
      <c r="AJ915">
        <v>1</v>
      </c>
      <c r="AK915">
        <v>26</v>
      </c>
      <c r="AL915" t="s">
        <v>92</v>
      </c>
      <c r="AM915" t="s">
        <v>93</v>
      </c>
      <c r="AN915" t="s">
        <v>94</v>
      </c>
      <c r="AO915" t="s">
        <v>3870</v>
      </c>
      <c r="AP915" t="s">
        <v>3871</v>
      </c>
      <c r="AQ915" t="s">
        <v>74</v>
      </c>
      <c r="AR915" t="s">
        <v>3872</v>
      </c>
      <c r="AS915" t="s">
        <v>3873</v>
      </c>
      <c r="AT915" t="s">
        <v>6581</v>
      </c>
      <c r="AU915">
        <v>2019</v>
      </c>
      <c r="AV915">
        <v>142</v>
      </c>
      <c r="AW915" t="s">
        <v>74</v>
      </c>
      <c r="AX915" t="s">
        <v>74</v>
      </c>
      <c r="AY915" t="s">
        <v>74</v>
      </c>
      <c r="AZ915" t="s">
        <v>74</v>
      </c>
      <c r="BA915" t="s">
        <v>74</v>
      </c>
      <c r="BB915">
        <v>569</v>
      </c>
      <c r="BC915">
        <v>575</v>
      </c>
      <c r="BD915" t="s">
        <v>74</v>
      </c>
      <c r="BE915" t="s">
        <v>17634</v>
      </c>
      <c r="BF915" t="str">
        <f>HYPERLINK("http://dx.doi.org/10.1016/j.marpolbul.2019.04.021","http://dx.doi.org/10.1016/j.marpolbul.2019.04.021")</f>
        <v>http://dx.doi.org/10.1016/j.marpolbul.2019.04.021</v>
      </c>
      <c r="BG915" t="s">
        <v>74</v>
      </c>
      <c r="BH915" t="s">
        <v>74</v>
      </c>
      <c r="BI915">
        <v>7</v>
      </c>
      <c r="BJ915" t="s">
        <v>876</v>
      </c>
      <c r="BK915" t="s">
        <v>101</v>
      </c>
      <c r="BL915" t="s">
        <v>877</v>
      </c>
      <c r="BM915" t="s">
        <v>17608</v>
      </c>
      <c r="BN915">
        <v>31232340</v>
      </c>
      <c r="BO915" t="s">
        <v>74</v>
      </c>
      <c r="BP915" t="s">
        <v>74</v>
      </c>
      <c r="BQ915" t="s">
        <v>74</v>
      </c>
      <c r="BR915" t="s">
        <v>103</v>
      </c>
      <c r="BS915" t="s">
        <v>17635</v>
      </c>
      <c r="BT915" t="str">
        <f>HYPERLINK("https%3A%2F%2Fwww.webofscience.com%2Fwos%2Fwoscc%2Ffull-record%2FWOS:000474319500066","View Full Record in Web of Science")</f>
        <v>View Full Record in Web of Science</v>
      </c>
    </row>
    <row r="916" spans="1:72" x14ac:dyDescent="0.15">
      <c r="A916" t="s">
        <v>72</v>
      </c>
      <c r="B916" t="s">
        <v>17636</v>
      </c>
      <c r="C916" t="s">
        <v>74</v>
      </c>
      <c r="D916" t="s">
        <v>74</v>
      </c>
      <c r="E916" t="s">
        <v>74</v>
      </c>
      <c r="F916" t="s">
        <v>17637</v>
      </c>
      <c r="G916" t="s">
        <v>74</v>
      </c>
      <c r="H916" t="s">
        <v>74</v>
      </c>
      <c r="I916" t="s">
        <v>17638</v>
      </c>
      <c r="J916" t="s">
        <v>9709</v>
      </c>
      <c r="K916" t="s">
        <v>74</v>
      </c>
      <c r="L916" t="s">
        <v>74</v>
      </c>
      <c r="M916" t="s">
        <v>78</v>
      </c>
      <c r="N916" t="s">
        <v>108</v>
      </c>
      <c r="O916" t="s">
        <v>74</v>
      </c>
      <c r="P916" t="s">
        <v>74</v>
      </c>
      <c r="Q916" t="s">
        <v>74</v>
      </c>
      <c r="R916" t="s">
        <v>74</v>
      </c>
      <c r="S916" t="s">
        <v>74</v>
      </c>
      <c r="T916" t="s">
        <v>17639</v>
      </c>
      <c r="U916" t="s">
        <v>17640</v>
      </c>
      <c r="V916" t="s">
        <v>17641</v>
      </c>
      <c r="W916" t="s">
        <v>17642</v>
      </c>
      <c r="X916" t="s">
        <v>17643</v>
      </c>
      <c r="Y916" t="s">
        <v>17644</v>
      </c>
      <c r="Z916" t="s">
        <v>17645</v>
      </c>
      <c r="AA916" t="s">
        <v>74</v>
      </c>
      <c r="AB916" t="s">
        <v>74</v>
      </c>
      <c r="AC916" t="s">
        <v>17646</v>
      </c>
      <c r="AD916" t="s">
        <v>17647</v>
      </c>
      <c r="AE916" t="s">
        <v>17648</v>
      </c>
      <c r="AF916" t="s">
        <v>74</v>
      </c>
      <c r="AG916">
        <v>63</v>
      </c>
      <c r="AH916">
        <v>6</v>
      </c>
      <c r="AI916">
        <v>6</v>
      </c>
      <c r="AJ916">
        <v>0</v>
      </c>
      <c r="AK916">
        <v>3</v>
      </c>
      <c r="AL916" t="s">
        <v>438</v>
      </c>
      <c r="AM916" t="s">
        <v>439</v>
      </c>
      <c r="AN916" t="s">
        <v>440</v>
      </c>
      <c r="AO916" t="s">
        <v>9722</v>
      </c>
      <c r="AP916" t="s">
        <v>74</v>
      </c>
      <c r="AQ916" t="s">
        <v>74</v>
      </c>
      <c r="AR916" t="s">
        <v>9723</v>
      </c>
      <c r="AS916" t="s">
        <v>9724</v>
      </c>
      <c r="AT916" t="s">
        <v>6581</v>
      </c>
      <c r="AU916">
        <v>2019</v>
      </c>
      <c r="AV916">
        <v>29</v>
      </c>
      <c r="AW916" t="s">
        <v>74</v>
      </c>
      <c r="AX916" t="s">
        <v>74</v>
      </c>
      <c r="AY916" t="s">
        <v>74</v>
      </c>
      <c r="AZ916" t="s">
        <v>74</v>
      </c>
      <c r="BA916" t="s">
        <v>74</v>
      </c>
      <c r="BB916" t="s">
        <v>74</v>
      </c>
      <c r="BC916" t="s">
        <v>74</v>
      </c>
      <c r="BD916">
        <v>100653</v>
      </c>
      <c r="BE916" t="s">
        <v>17649</v>
      </c>
      <c r="BF916" t="str">
        <f>HYPERLINK("http://dx.doi.org/10.1016/j.rsma.2019.100653","http://dx.doi.org/10.1016/j.rsma.2019.100653")</f>
        <v>http://dx.doi.org/10.1016/j.rsma.2019.100653</v>
      </c>
      <c r="BG916" t="s">
        <v>74</v>
      </c>
      <c r="BH916" t="s">
        <v>74</v>
      </c>
      <c r="BI916">
        <v>9</v>
      </c>
      <c r="BJ916" t="s">
        <v>5077</v>
      </c>
      <c r="BK916" t="s">
        <v>101</v>
      </c>
      <c r="BL916" t="s">
        <v>877</v>
      </c>
      <c r="BM916" t="s">
        <v>17650</v>
      </c>
      <c r="BN916" t="s">
        <v>74</v>
      </c>
      <c r="BO916" t="s">
        <v>74</v>
      </c>
      <c r="BP916" t="s">
        <v>74</v>
      </c>
      <c r="BQ916" t="s">
        <v>74</v>
      </c>
      <c r="BR916" t="s">
        <v>103</v>
      </c>
      <c r="BS916" t="s">
        <v>17651</v>
      </c>
      <c r="BT916" t="str">
        <f>HYPERLINK("https%3A%2F%2Fwww.webofscience.com%2Fwos%2Fwoscc%2Ffull-record%2FWOS:000474363400019","View Full Record in Web of Science")</f>
        <v>View Full Record in Web of Science</v>
      </c>
    </row>
    <row r="917" spans="1:72" x14ac:dyDescent="0.15">
      <c r="A917" t="s">
        <v>72</v>
      </c>
      <c r="B917" t="s">
        <v>17652</v>
      </c>
      <c r="C917" t="s">
        <v>74</v>
      </c>
      <c r="D917" t="s">
        <v>74</v>
      </c>
      <c r="E917" t="s">
        <v>74</v>
      </c>
      <c r="F917" t="s">
        <v>17653</v>
      </c>
      <c r="G917" t="s">
        <v>74</v>
      </c>
      <c r="H917" t="s">
        <v>74</v>
      </c>
      <c r="I917" t="s">
        <v>17654</v>
      </c>
      <c r="J917" t="s">
        <v>3380</v>
      </c>
      <c r="K917" t="s">
        <v>74</v>
      </c>
      <c r="L917" t="s">
        <v>74</v>
      </c>
      <c r="M917" t="s">
        <v>78</v>
      </c>
      <c r="N917" t="s">
        <v>108</v>
      </c>
      <c r="O917" t="s">
        <v>74</v>
      </c>
      <c r="P917" t="s">
        <v>74</v>
      </c>
      <c r="Q917" t="s">
        <v>74</v>
      </c>
      <c r="R917" t="s">
        <v>74</v>
      </c>
      <c r="S917" t="s">
        <v>74</v>
      </c>
      <c r="T917" t="s">
        <v>17655</v>
      </c>
      <c r="U917" t="s">
        <v>17656</v>
      </c>
      <c r="V917" t="s">
        <v>17657</v>
      </c>
      <c r="W917" t="s">
        <v>17658</v>
      </c>
      <c r="X917" t="s">
        <v>17659</v>
      </c>
      <c r="Y917" t="s">
        <v>17660</v>
      </c>
      <c r="Z917" t="s">
        <v>17661</v>
      </c>
      <c r="AA917" t="s">
        <v>17662</v>
      </c>
      <c r="AB917" t="s">
        <v>17663</v>
      </c>
      <c r="AC917" t="s">
        <v>17664</v>
      </c>
      <c r="AD917" t="s">
        <v>17665</v>
      </c>
      <c r="AE917" t="s">
        <v>17666</v>
      </c>
      <c r="AF917" t="s">
        <v>74</v>
      </c>
      <c r="AG917">
        <v>111</v>
      </c>
      <c r="AH917">
        <v>28</v>
      </c>
      <c r="AI917">
        <v>30</v>
      </c>
      <c r="AJ917">
        <v>0</v>
      </c>
      <c r="AK917">
        <v>31</v>
      </c>
      <c r="AL917" t="s">
        <v>182</v>
      </c>
      <c r="AM917" t="s">
        <v>183</v>
      </c>
      <c r="AN917" t="s">
        <v>184</v>
      </c>
      <c r="AO917" t="s">
        <v>3393</v>
      </c>
      <c r="AP917" t="s">
        <v>3394</v>
      </c>
      <c r="AQ917" t="s">
        <v>74</v>
      </c>
      <c r="AR917" t="s">
        <v>3395</v>
      </c>
      <c r="AS917" t="s">
        <v>3396</v>
      </c>
      <c r="AT917" t="s">
        <v>6581</v>
      </c>
      <c r="AU917">
        <v>2019</v>
      </c>
      <c r="AV917">
        <v>124</v>
      </c>
      <c r="AW917">
        <v>5</v>
      </c>
      <c r="AX917" t="s">
        <v>74</v>
      </c>
      <c r="AY917" t="s">
        <v>74</v>
      </c>
      <c r="AZ917" t="s">
        <v>74</v>
      </c>
      <c r="BA917" t="s">
        <v>74</v>
      </c>
      <c r="BB917">
        <v>2943</v>
      </c>
      <c r="BC917">
        <v>2968</v>
      </c>
      <c r="BD917" t="s">
        <v>74</v>
      </c>
      <c r="BE917" t="s">
        <v>17667</v>
      </c>
      <c r="BF917" t="str">
        <f>HYPERLINK("http://dx.doi.org/10.1029/2019JC015071","http://dx.doi.org/10.1029/2019JC015071")</f>
        <v>http://dx.doi.org/10.1029/2019JC015071</v>
      </c>
      <c r="BG917" t="s">
        <v>74</v>
      </c>
      <c r="BH917" t="s">
        <v>74</v>
      </c>
      <c r="BI917">
        <v>26</v>
      </c>
      <c r="BJ917" t="s">
        <v>100</v>
      </c>
      <c r="BK917" t="s">
        <v>101</v>
      </c>
      <c r="BL917" t="s">
        <v>100</v>
      </c>
      <c r="BM917" t="s">
        <v>17668</v>
      </c>
      <c r="BN917" t="s">
        <v>74</v>
      </c>
      <c r="BO917" t="s">
        <v>17669</v>
      </c>
      <c r="BP917" t="s">
        <v>74</v>
      </c>
      <c r="BQ917" t="s">
        <v>74</v>
      </c>
      <c r="BR917" t="s">
        <v>103</v>
      </c>
      <c r="BS917" t="s">
        <v>17670</v>
      </c>
      <c r="BT917" t="str">
        <f>HYPERLINK("https%3A%2F%2Fwww.webofscience.com%2Fwos%2Fwoscc%2Ffull-record%2FWOS:000472819700001","View Full Record in Web of Science")</f>
        <v>View Full Record in Web of Science</v>
      </c>
    </row>
    <row r="918" spans="1:72" x14ac:dyDescent="0.15">
      <c r="A918" t="s">
        <v>72</v>
      </c>
      <c r="B918" t="s">
        <v>17671</v>
      </c>
      <c r="C918" t="s">
        <v>74</v>
      </c>
      <c r="D918" t="s">
        <v>74</v>
      </c>
      <c r="E918" t="s">
        <v>74</v>
      </c>
      <c r="F918" t="s">
        <v>17672</v>
      </c>
      <c r="G918" t="s">
        <v>74</v>
      </c>
      <c r="H918" t="s">
        <v>74</v>
      </c>
      <c r="I918" t="s">
        <v>17673</v>
      </c>
      <c r="J918" t="s">
        <v>3380</v>
      </c>
      <c r="K918" t="s">
        <v>74</v>
      </c>
      <c r="L918" t="s">
        <v>74</v>
      </c>
      <c r="M918" t="s">
        <v>78</v>
      </c>
      <c r="N918" t="s">
        <v>108</v>
      </c>
      <c r="O918" t="s">
        <v>74</v>
      </c>
      <c r="P918" t="s">
        <v>74</v>
      </c>
      <c r="Q918" t="s">
        <v>74</v>
      </c>
      <c r="R918" t="s">
        <v>74</v>
      </c>
      <c r="S918" t="s">
        <v>74</v>
      </c>
      <c r="T918" t="s">
        <v>17674</v>
      </c>
      <c r="U918" t="s">
        <v>17675</v>
      </c>
      <c r="V918" t="s">
        <v>17676</v>
      </c>
      <c r="W918" t="s">
        <v>17677</v>
      </c>
      <c r="X918" t="s">
        <v>17678</v>
      </c>
      <c r="Y918" t="s">
        <v>12463</v>
      </c>
      <c r="Z918" t="s">
        <v>12464</v>
      </c>
      <c r="AA918" t="s">
        <v>17679</v>
      </c>
      <c r="AB918" t="s">
        <v>17680</v>
      </c>
      <c r="AC918" t="s">
        <v>7236</v>
      </c>
      <c r="AD918" t="s">
        <v>4459</v>
      </c>
      <c r="AE918" t="s">
        <v>17681</v>
      </c>
      <c r="AF918" t="s">
        <v>74</v>
      </c>
      <c r="AG918">
        <v>91</v>
      </c>
      <c r="AH918">
        <v>50</v>
      </c>
      <c r="AI918">
        <v>51</v>
      </c>
      <c r="AJ918">
        <v>3</v>
      </c>
      <c r="AK918">
        <v>26</v>
      </c>
      <c r="AL918" t="s">
        <v>182</v>
      </c>
      <c r="AM918" t="s">
        <v>183</v>
      </c>
      <c r="AN918" t="s">
        <v>184</v>
      </c>
      <c r="AO918" t="s">
        <v>3393</v>
      </c>
      <c r="AP918" t="s">
        <v>3394</v>
      </c>
      <c r="AQ918" t="s">
        <v>74</v>
      </c>
      <c r="AR918" t="s">
        <v>3395</v>
      </c>
      <c r="AS918" t="s">
        <v>3396</v>
      </c>
      <c r="AT918" t="s">
        <v>6581</v>
      </c>
      <c r="AU918">
        <v>2019</v>
      </c>
      <c r="AV918">
        <v>124</v>
      </c>
      <c r="AW918">
        <v>5</v>
      </c>
      <c r="AX918" t="s">
        <v>74</v>
      </c>
      <c r="AY918" t="s">
        <v>74</v>
      </c>
      <c r="AZ918" t="s">
        <v>74</v>
      </c>
      <c r="BA918" t="s">
        <v>74</v>
      </c>
      <c r="BB918">
        <v>3036</v>
      </c>
      <c r="BC918">
        <v>3057</v>
      </c>
      <c r="BD918" t="s">
        <v>74</v>
      </c>
      <c r="BE918" t="s">
        <v>17682</v>
      </c>
      <c r="BF918" t="str">
        <f>HYPERLINK("http://dx.doi.org/10.1029/2018JC014716","http://dx.doi.org/10.1029/2018JC014716")</f>
        <v>http://dx.doi.org/10.1029/2018JC014716</v>
      </c>
      <c r="BG918" t="s">
        <v>74</v>
      </c>
      <c r="BH918" t="s">
        <v>74</v>
      </c>
      <c r="BI918">
        <v>22</v>
      </c>
      <c r="BJ918" t="s">
        <v>100</v>
      </c>
      <c r="BK918" t="s">
        <v>101</v>
      </c>
      <c r="BL918" t="s">
        <v>100</v>
      </c>
      <c r="BM918" t="s">
        <v>17668</v>
      </c>
      <c r="BN918" t="s">
        <v>74</v>
      </c>
      <c r="BO918" t="s">
        <v>74</v>
      </c>
      <c r="BP918" t="s">
        <v>74</v>
      </c>
      <c r="BQ918" t="s">
        <v>74</v>
      </c>
      <c r="BR918" t="s">
        <v>103</v>
      </c>
      <c r="BS918" t="s">
        <v>17683</v>
      </c>
      <c r="BT918" t="str">
        <f>HYPERLINK("https%3A%2F%2Fwww.webofscience.com%2Fwos%2Fwoscc%2Ffull-record%2FWOS:000472819700006","View Full Record in Web of Science")</f>
        <v>View Full Record in Web of Science</v>
      </c>
    </row>
    <row r="919" spans="1:72" x14ac:dyDescent="0.15">
      <c r="A919" t="s">
        <v>72</v>
      </c>
      <c r="B919" t="s">
        <v>17684</v>
      </c>
      <c r="C919" t="s">
        <v>74</v>
      </c>
      <c r="D919" t="s">
        <v>74</v>
      </c>
      <c r="E919" t="s">
        <v>74</v>
      </c>
      <c r="F919" t="s">
        <v>17685</v>
      </c>
      <c r="G919" t="s">
        <v>74</v>
      </c>
      <c r="H919" t="s">
        <v>74</v>
      </c>
      <c r="I919" t="s">
        <v>17686</v>
      </c>
      <c r="J919" t="s">
        <v>3380</v>
      </c>
      <c r="K919" t="s">
        <v>74</v>
      </c>
      <c r="L919" t="s">
        <v>74</v>
      </c>
      <c r="M919" t="s">
        <v>78</v>
      </c>
      <c r="N919" t="s">
        <v>108</v>
      </c>
      <c r="O919" t="s">
        <v>74</v>
      </c>
      <c r="P919" t="s">
        <v>74</v>
      </c>
      <c r="Q919" t="s">
        <v>74</v>
      </c>
      <c r="R919" t="s">
        <v>74</v>
      </c>
      <c r="S919" t="s">
        <v>74</v>
      </c>
      <c r="T919" t="s">
        <v>17687</v>
      </c>
      <c r="U919" t="s">
        <v>17688</v>
      </c>
      <c r="V919" t="s">
        <v>17689</v>
      </c>
      <c r="W919" t="s">
        <v>17690</v>
      </c>
      <c r="X919" t="s">
        <v>17691</v>
      </c>
      <c r="Y919" t="s">
        <v>17692</v>
      </c>
      <c r="Z919" t="s">
        <v>17693</v>
      </c>
      <c r="AA919" t="s">
        <v>17694</v>
      </c>
      <c r="AB919" t="s">
        <v>17695</v>
      </c>
      <c r="AC919" t="s">
        <v>17696</v>
      </c>
      <c r="AD919" t="s">
        <v>17697</v>
      </c>
      <c r="AE919" t="s">
        <v>17698</v>
      </c>
      <c r="AF919" t="s">
        <v>74</v>
      </c>
      <c r="AG919">
        <v>63</v>
      </c>
      <c r="AH919">
        <v>33</v>
      </c>
      <c r="AI919">
        <v>35</v>
      </c>
      <c r="AJ919">
        <v>1</v>
      </c>
      <c r="AK919">
        <v>11</v>
      </c>
      <c r="AL919" t="s">
        <v>182</v>
      </c>
      <c r="AM919" t="s">
        <v>183</v>
      </c>
      <c r="AN919" t="s">
        <v>184</v>
      </c>
      <c r="AO919" t="s">
        <v>3393</v>
      </c>
      <c r="AP919" t="s">
        <v>3394</v>
      </c>
      <c r="AQ919" t="s">
        <v>74</v>
      </c>
      <c r="AR919" t="s">
        <v>3395</v>
      </c>
      <c r="AS919" t="s">
        <v>3396</v>
      </c>
      <c r="AT919" t="s">
        <v>6581</v>
      </c>
      <c r="AU919">
        <v>2019</v>
      </c>
      <c r="AV919">
        <v>124</v>
      </c>
      <c r="AW919">
        <v>5</v>
      </c>
      <c r="AX919" t="s">
        <v>74</v>
      </c>
      <c r="AY919" t="s">
        <v>74</v>
      </c>
      <c r="AZ919" t="s">
        <v>74</v>
      </c>
      <c r="BA919" t="s">
        <v>74</v>
      </c>
      <c r="BB919">
        <v>3107</v>
      </c>
      <c r="BC919">
        <v>3124</v>
      </c>
      <c r="BD919" t="s">
        <v>74</v>
      </c>
      <c r="BE919" t="s">
        <v>17699</v>
      </c>
      <c r="BF919" t="str">
        <f>HYPERLINK("http://dx.doi.org/10.1029/2018JC014897","http://dx.doi.org/10.1029/2018JC014897")</f>
        <v>http://dx.doi.org/10.1029/2018JC014897</v>
      </c>
      <c r="BG919" t="s">
        <v>74</v>
      </c>
      <c r="BH919" t="s">
        <v>74</v>
      </c>
      <c r="BI919">
        <v>18</v>
      </c>
      <c r="BJ919" t="s">
        <v>100</v>
      </c>
      <c r="BK919" t="s">
        <v>101</v>
      </c>
      <c r="BL919" t="s">
        <v>100</v>
      </c>
      <c r="BM919" t="s">
        <v>17668</v>
      </c>
      <c r="BN919" t="s">
        <v>74</v>
      </c>
      <c r="BO919" t="s">
        <v>1125</v>
      </c>
      <c r="BP919" t="s">
        <v>74</v>
      </c>
      <c r="BQ919" t="s">
        <v>74</v>
      </c>
      <c r="BR919" t="s">
        <v>103</v>
      </c>
      <c r="BS919" t="s">
        <v>17700</v>
      </c>
      <c r="BT919" t="str">
        <f>HYPERLINK("https%3A%2F%2Fwww.webofscience.com%2Fwos%2Fwoscc%2Ffull-record%2FWOS:000472819700010","View Full Record in Web of Science")</f>
        <v>View Full Record in Web of Science</v>
      </c>
    </row>
    <row r="920" spans="1:72" x14ac:dyDescent="0.15">
      <c r="A920" t="s">
        <v>72</v>
      </c>
      <c r="B920" t="s">
        <v>17701</v>
      </c>
      <c r="C920" t="s">
        <v>74</v>
      </c>
      <c r="D920" t="s">
        <v>74</v>
      </c>
      <c r="E920" t="s">
        <v>74</v>
      </c>
      <c r="F920" t="s">
        <v>17702</v>
      </c>
      <c r="G920" t="s">
        <v>74</v>
      </c>
      <c r="H920" t="s">
        <v>74</v>
      </c>
      <c r="I920" t="s">
        <v>17703</v>
      </c>
      <c r="J920" t="s">
        <v>3380</v>
      </c>
      <c r="K920" t="s">
        <v>74</v>
      </c>
      <c r="L920" t="s">
        <v>74</v>
      </c>
      <c r="M920" t="s">
        <v>78</v>
      </c>
      <c r="N920" t="s">
        <v>108</v>
      </c>
      <c r="O920" t="s">
        <v>74</v>
      </c>
      <c r="P920" t="s">
        <v>74</v>
      </c>
      <c r="Q920" t="s">
        <v>74</v>
      </c>
      <c r="R920" t="s">
        <v>74</v>
      </c>
      <c r="S920" t="s">
        <v>74</v>
      </c>
      <c r="T920" t="s">
        <v>17704</v>
      </c>
      <c r="U920" t="s">
        <v>17705</v>
      </c>
      <c r="V920" t="s">
        <v>17706</v>
      </c>
      <c r="W920" t="s">
        <v>17707</v>
      </c>
      <c r="X920" t="s">
        <v>17708</v>
      </c>
      <c r="Y920" t="s">
        <v>17709</v>
      </c>
      <c r="Z920" t="s">
        <v>17710</v>
      </c>
      <c r="AA920" t="s">
        <v>74</v>
      </c>
      <c r="AB920" t="s">
        <v>17711</v>
      </c>
      <c r="AC920" t="s">
        <v>17712</v>
      </c>
      <c r="AD920" t="s">
        <v>17713</v>
      </c>
      <c r="AE920" t="s">
        <v>17714</v>
      </c>
      <c r="AF920" t="s">
        <v>74</v>
      </c>
      <c r="AG920">
        <v>87</v>
      </c>
      <c r="AH920">
        <v>8</v>
      </c>
      <c r="AI920">
        <v>8</v>
      </c>
      <c r="AJ920">
        <v>0</v>
      </c>
      <c r="AK920">
        <v>8</v>
      </c>
      <c r="AL920" t="s">
        <v>182</v>
      </c>
      <c r="AM920" t="s">
        <v>183</v>
      </c>
      <c r="AN920" t="s">
        <v>184</v>
      </c>
      <c r="AO920" t="s">
        <v>3393</v>
      </c>
      <c r="AP920" t="s">
        <v>3394</v>
      </c>
      <c r="AQ920" t="s">
        <v>74</v>
      </c>
      <c r="AR920" t="s">
        <v>3395</v>
      </c>
      <c r="AS920" t="s">
        <v>3396</v>
      </c>
      <c r="AT920" t="s">
        <v>6581</v>
      </c>
      <c r="AU920">
        <v>2019</v>
      </c>
      <c r="AV920">
        <v>124</v>
      </c>
      <c r="AW920">
        <v>5</v>
      </c>
      <c r="AX920" t="s">
        <v>74</v>
      </c>
      <c r="AY920" t="s">
        <v>74</v>
      </c>
      <c r="AZ920" t="s">
        <v>74</v>
      </c>
      <c r="BA920" t="s">
        <v>74</v>
      </c>
      <c r="BB920">
        <v>3125</v>
      </c>
      <c r="BC920">
        <v>3148</v>
      </c>
      <c r="BD920" t="s">
        <v>74</v>
      </c>
      <c r="BE920" t="s">
        <v>17715</v>
      </c>
      <c r="BF920" t="str">
        <f>HYPERLINK("http://dx.doi.org/10.1029/2019JC015037","http://dx.doi.org/10.1029/2019JC015037")</f>
        <v>http://dx.doi.org/10.1029/2019JC015037</v>
      </c>
      <c r="BG920" t="s">
        <v>74</v>
      </c>
      <c r="BH920" t="s">
        <v>74</v>
      </c>
      <c r="BI920">
        <v>24</v>
      </c>
      <c r="BJ920" t="s">
        <v>100</v>
      </c>
      <c r="BK920" t="s">
        <v>101</v>
      </c>
      <c r="BL920" t="s">
        <v>100</v>
      </c>
      <c r="BM920" t="s">
        <v>17668</v>
      </c>
      <c r="BN920" t="s">
        <v>74</v>
      </c>
      <c r="BO920" t="s">
        <v>261</v>
      </c>
      <c r="BP920" t="s">
        <v>74</v>
      </c>
      <c r="BQ920" t="s">
        <v>74</v>
      </c>
      <c r="BR920" t="s">
        <v>103</v>
      </c>
      <c r="BS920" t="s">
        <v>17716</v>
      </c>
      <c r="BT920" t="str">
        <f>HYPERLINK("https%3A%2F%2Fwww.webofscience.com%2Fwos%2Fwoscc%2Ffull-record%2FWOS:000472819700011","View Full Record in Web of Science")</f>
        <v>View Full Record in Web of Science</v>
      </c>
    </row>
    <row r="921" spans="1:72" x14ac:dyDescent="0.15">
      <c r="A921" t="s">
        <v>72</v>
      </c>
      <c r="B921" t="s">
        <v>17717</v>
      </c>
      <c r="C921" t="s">
        <v>74</v>
      </c>
      <c r="D921" t="s">
        <v>74</v>
      </c>
      <c r="E921" t="s">
        <v>74</v>
      </c>
      <c r="F921" t="s">
        <v>17718</v>
      </c>
      <c r="G921" t="s">
        <v>74</v>
      </c>
      <c r="H921" t="s">
        <v>74</v>
      </c>
      <c r="I921" t="s">
        <v>17719</v>
      </c>
      <c r="J921" t="s">
        <v>3380</v>
      </c>
      <c r="K921" t="s">
        <v>74</v>
      </c>
      <c r="L921" t="s">
        <v>74</v>
      </c>
      <c r="M921" t="s">
        <v>78</v>
      </c>
      <c r="N921" t="s">
        <v>108</v>
      </c>
      <c r="O921" t="s">
        <v>74</v>
      </c>
      <c r="P921" t="s">
        <v>74</v>
      </c>
      <c r="Q921" t="s">
        <v>74</v>
      </c>
      <c r="R921" t="s">
        <v>74</v>
      </c>
      <c r="S921" t="s">
        <v>74</v>
      </c>
      <c r="T921" t="s">
        <v>17720</v>
      </c>
      <c r="U921" t="s">
        <v>17721</v>
      </c>
      <c r="V921" t="s">
        <v>17722</v>
      </c>
      <c r="W921" t="s">
        <v>17723</v>
      </c>
      <c r="X921" t="s">
        <v>17724</v>
      </c>
      <c r="Y921" t="s">
        <v>17725</v>
      </c>
      <c r="Z921" t="s">
        <v>17726</v>
      </c>
      <c r="AA921" t="s">
        <v>17727</v>
      </c>
      <c r="AB921" t="s">
        <v>17728</v>
      </c>
      <c r="AC921" t="s">
        <v>17729</v>
      </c>
      <c r="AD921" t="s">
        <v>17730</v>
      </c>
      <c r="AE921" t="s">
        <v>17731</v>
      </c>
      <c r="AF921" t="s">
        <v>74</v>
      </c>
      <c r="AG921">
        <v>38</v>
      </c>
      <c r="AH921">
        <v>4</v>
      </c>
      <c r="AI921">
        <v>5</v>
      </c>
      <c r="AJ921">
        <v>2</v>
      </c>
      <c r="AK921">
        <v>9</v>
      </c>
      <c r="AL921" t="s">
        <v>182</v>
      </c>
      <c r="AM921" t="s">
        <v>183</v>
      </c>
      <c r="AN921" t="s">
        <v>184</v>
      </c>
      <c r="AO921" t="s">
        <v>3393</v>
      </c>
      <c r="AP921" t="s">
        <v>3394</v>
      </c>
      <c r="AQ921" t="s">
        <v>74</v>
      </c>
      <c r="AR921" t="s">
        <v>3395</v>
      </c>
      <c r="AS921" t="s">
        <v>3396</v>
      </c>
      <c r="AT921" t="s">
        <v>6581</v>
      </c>
      <c r="AU921">
        <v>2019</v>
      </c>
      <c r="AV921">
        <v>124</v>
      </c>
      <c r="AW921">
        <v>5</v>
      </c>
      <c r="AX921" t="s">
        <v>74</v>
      </c>
      <c r="AY921" t="s">
        <v>74</v>
      </c>
      <c r="AZ921" t="s">
        <v>74</v>
      </c>
      <c r="BA921" t="s">
        <v>74</v>
      </c>
      <c r="BB921">
        <v>3378</v>
      </c>
      <c r="BC921">
        <v>3392</v>
      </c>
      <c r="BD921" t="s">
        <v>74</v>
      </c>
      <c r="BE921" t="s">
        <v>17732</v>
      </c>
      <c r="BF921" t="str">
        <f>HYPERLINK("http://dx.doi.org/10.1029/2018JC014876","http://dx.doi.org/10.1029/2018JC014876")</f>
        <v>http://dx.doi.org/10.1029/2018JC014876</v>
      </c>
      <c r="BG921" t="s">
        <v>74</v>
      </c>
      <c r="BH921" t="s">
        <v>74</v>
      </c>
      <c r="BI921">
        <v>15</v>
      </c>
      <c r="BJ921" t="s">
        <v>100</v>
      </c>
      <c r="BK921" t="s">
        <v>101</v>
      </c>
      <c r="BL921" t="s">
        <v>100</v>
      </c>
      <c r="BM921" t="s">
        <v>17668</v>
      </c>
      <c r="BN921" t="s">
        <v>74</v>
      </c>
      <c r="BO921" t="s">
        <v>74</v>
      </c>
      <c r="BP921" t="s">
        <v>74</v>
      </c>
      <c r="BQ921" t="s">
        <v>74</v>
      </c>
      <c r="BR921" t="s">
        <v>103</v>
      </c>
      <c r="BS921" t="s">
        <v>17733</v>
      </c>
      <c r="BT921" t="str">
        <f>HYPERLINK("https%3A%2F%2Fwww.webofscience.com%2Fwos%2Fwoscc%2Ffull-record%2FWOS:000472819700023","View Full Record in Web of Science")</f>
        <v>View Full Record in Web of Science</v>
      </c>
    </row>
    <row r="922" spans="1:72" x14ac:dyDescent="0.15">
      <c r="A922" t="s">
        <v>72</v>
      </c>
      <c r="B922" t="s">
        <v>17734</v>
      </c>
      <c r="C922" t="s">
        <v>74</v>
      </c>
      <c r="D922" t="s">
        <v>74</v>
      </c>
      <c r="E922" t="s">
        <v>74</v>
      </c>
      <c r="F922" t="s">
        <v>17735</v>
      </c>
      <c r="G922" t="s">
        <v>74</v>
      </c>
      <c r="H922" t="s">
        <v>74</v>
      </c>
      <c r="I922" t="s">
        <v>17736</v>
      </c>
      <c r="J922" t="s">
        <v>3380</v>
      </c>
      <c r="K922" t="s">
        <v>74</v>
      </c>
      <c r="L922" t="s">
        <v>74</v>
      </c>
      <c r="M922" t="s">
        <v>78</v>
      </c>
      <c r="N922" t="s">
        <v>108</v>
      </c>
      <c r="O922" t="s">
        <v>74</v>
      </c>
      <c r="P922" t="s">
        <v>74</v>
      </c>
      <c r="Q922" t="s">
        <v>74</v>
      </c>
      <c r="R922" t="s">
        <v>74</v>
      </c>
      <c r="S922" t="s">
        <v>74</v>
      </c>
      <c r="T922" t="s">
        <v>74</v>
      </c>
      <c r="U922" t="s">
        <v>17737</v>
      </c>
      <c r="V922" t="s">
        <v>17738</v>
      </c>
      <c r="W922" t="s">
        <v>17739</v>
      </c>
      <c r="X922" t="s">
        <v>17740</v>
      </c>
      <c r="Y922" t="s">
        <v>17741</v>
      </c>
      <c r="Z922" t="s">
        <v>17742</v>
      </c>
      <c r="AA922" t="s">
        <v>74</v>
      </c>
      <c r="AB922" t="s">
        <v>17743</v>
      </c>
      <c r="AC922" t="s">
        <v>17744</v>
      </c>
      <c r="AD922" t="s">
        <v>17745</v>
      </c>
      <c r="AE922" t="s">
        <v>17746</v>
      </c>
      <c r="AF922" t="s">
        <v>74</v>
      </c>
      <c r="AG922">
        <v>48</v>
      </c>
      <c r="AH922">
        <v>2</v>
      </c>
      <c r="AI922">
        <v>3</v>
      </c>
      <c r="AJ922">
        <v>2</v>
      </c>
      <c r="AK922">
        <v>22</v>
      </c>
      <c r="AL922" t="s">
        <v>182</v>
      </c>
      <c r="AM922" t="s">
        <v>183</v>
      </c>
      <c r="AN922" t="s">
        <v>184</v>
      </c>
      <c r="AO922" t="s">
        <v>3393</v>
      </c>
      <c r="AP922" t="s">
        <v>3394</v>
      </c>
      <c r="AQ922" t="s">
        <v>74</v>
      </c>
      <c r="AR922" t="s">
        <v>3395</v>
      </c>
      <c r="AS922" t="s">
        <v>3396</v>
      </c>
      <c r="AT922" t="s">
        <v>6581</v>
      </c>
      <c r="AU922">
        <v>2019</v>
      </c>
      <c r="AV922">
        <v>124</v>
      </c>
      <c r="AW922">
        <v>5</v>
      </c>
      <c r="AX922" t="s">
        <v>74</v>
      </c>
      <c r="AY922" t="s">
        <v>74</v>
      </c>
      <c r="AZ922" t="s">
        <v>74</v>
      </c>
      <c r="BA922" t="s">
        <v>74</v>
      </c>
      <c r="BB922">
        <v>3393</v>
      </c>
      <c r="BC922">
        <v>3410</v>
      </c>
      <c r="BD922" t="s">
        <v>74</v>
      </c>
      <c r="BE922" t="s">
        <v>17747</v>
      </c>
      <c r="BF922" t="str">
        <f>HYPERLINK("http://dx.doi.org/10.1029/2018JC014470","http://dx.doi.org/10.1029/2018JC014470")</f>
        <v>http://dx.doi.org/10.1029/2018JC014470</v>
      </c>
      <c r="BG922" t="s">
        <v>74</v>
      </c>
      <c r="BH922" t="s">
        <v>74</v>
      </c>
      <c r="BI922">
        <v>18</v>
      </c>
      <c r="BJ922" t="s">
        <v>100</v>
      </c>
      <c r="BK922" t="s">
        <v>101</v>
      </c>
      <c r="BL922" t="s">
        <v>100</v>
      </c>
      <c r="BM922" t="s">
        <v>17668</v>
      </c>
      <c r="BN922" t="s">
        <v>74</v>
      </c>
      <c r="BO922" t="s">
        <v>164</v>
      </c>
      <c r="BP922" t="s">
        <v>74</v>
      </c>
      <c r="BQ922" t="s">
        <v>74</v>
      </c>
      <c r="BR922" t="s">
        <v>103</v>
      </c>
      <c r="BS922" t="s">
        <v>17748</v>
      </c>
      <c r="BT922" t="str">
        <f>HYPERLINK("https%3A%2F%2Fwww.webofscience.com%2Fwos%2Fwoscc%2Ffull-record%2FWOS:000472819700024","View Full Record in Web of Science")</f>
        <v>View Full Record in Web of Science</v>
      </c>
    </row>
    <row r="923" spans="1:72" x14ac:dyDescent="0.15">
      <c r="A923" t="s">
        <v>72</v>
      </c>
      <c r="B923" t="s">
        <v>17749</v>
      </c>
      <c r="C923" t="s">
        <v>74</v>
      </c>
      <c r="D923" t="s">
        <v>74</v>
      </c>
      <c r="E923" t="s">
        <v>74</v>
      </c>
      <c r="F923" t="s">
        <v>17750</v>
      </c>
      <c r="G923" t="s">
        <v>74</v>
      </c>
      <c r="H923" t="s">
        <v>74</v>
      </c>
      <c r="I923" t="s">
        <v>17751</v>
      </c>
      <c r="J923" t="s">
        <v>17752</v>
      </c>
      <c r="K923" t="s">
        <v>74</v>
      </c>
      <c r="L923" t="s">
        <v>74</v>
      </c>
      <c r="M923" t="s">
        <v>78</v>
      </c>
      <c r="N923" t="s">
        <v>108</v>
      </c>
      <c r="O923" t="s">
        <v>74</v>
      </c>
      <c r="P923" t="s">
        <v>74</v>
      </c>
      <c r="Q923" t="s">
        <v>74</v>
      </c>
      <c r="R923" t="s">
        <v>74</v>
      </c>
      <c r="S923" t="s">
        <v>74</v>
      </c>
      <c r="T923" t="s">
        <v>17753</v>
      </c>
      <c r="U923" t="s">
        <v>17754</v>
      </c>
      <c r="V923" t="s">
        <v>17755</v>
      </c>
      <c r="W923" t="s">
        <v>17756</v>
      </c>
      <c r="X923" t="s">
        <v>17757</v>
      </c>
      <c r="Y923" t="s">
        <v>17758</v>
      </c>
      <c r="Z923" t="s">
        <v>17759</v>
      </c>
      <c r="AA923" t="s">
        <v>17760</v>
      </c>
      <c r="AB923" t="s">
        <v>17761</v>
      </c>
      <c r="AC923" t="s">
        <v>17762</v>
      </c>
      <c r="AD923" t="s">
        <v>17763</v>
      </c>
      <c r="AE923" t="s">
        <v>17764</v>
      </c>
      <c r="AF923" t="s">
        <v>74</v>
      </c>
      <c r="AG923">
        <v>35</v>
      </c>
      <c r="AH923">
        <v>10</v>
      </c>
      <c r="AI923">
        <v>10</v>
      </c>
      <c r="AJ923">
        <v>1</v>
      </c>
      <c r="AK923">
        <v>11</v>
      </c>
      <c r="AL923" t="s">
        <v>8813</v>
      </c>
      <c r="AM923" t="s">
        <v>4016</v>
      </c>
      <c r="AN923" t="s">
        <v>8814</v>
      </c>
      <c r="AO923" t="s">
        <v>17765</v>
      </c>
      <c r="AP923" t="s">
        <v>17766</v>
      </c>
      <c r="AQ923" t="s">
        <v>74</v>
      </c>
      <c r="AR923" t="s">
        <v>17767</v>
      </c>
      <c r="AS923" t="s">
        <v>1514</v>
      </c>
      <c r="AT923" t="s">
        <v>6581</v>
      </c>
      <c r="AU923">
        <v>2019</v>
      </c>
      <c r="AV923">
        <v>88</v>
      </c>
      <c r="AW923">
        <v>3</v>
      </c>
      <c r="AX923" t="s">
        <v>74</v>
      </c>
      <c r="AY923" t="s">
        <v>74</v>
      </c>
      <c r="AZ923" t="s">
        <v>74</v>
      </c>
      <c r="BA923" t="s">
        <v>74</v>
      </c>
      <c r="BB923">
        <v>282</v>
      </c>
      <c r="BC923">
        <v>291</v>
      </c>
      <c r="BD923" t="s">
        <v>74</v>
      </c>
      <c r="BE923" t="s">
        <v>17768</v>
      </c>
      <c r="BF923" t="str">
        <f>HYPERLINK("http://dx.doi.org/10.1134/S0026261719030111","http://dx.doi.org/10.1134/S0026261719030111")</f>
        <v>http://dx.doi.org/10.1134/S0026261719030111</v>
      </c>
      <c r="BG923" t="s">
        <v>74</v>
      </c>
      <c r="BH923" t="s">
        <v>74</v>
      </c>
      <c r="BI923">
        <v>10</v>
      </c>
      <c r="BJ923" t="s">
        <v>1514</v>
      </c>
      <c r="BK923" t="s">
        <v>101</v>
      </c>
      <c r="BL923" t="s">
        <v>1514</v>
      </c>
      <c r="BM923" t="s">
        <v>17769</v>
      </c>
      <c r="BN923" t="s">
        <v>74</v>
      </c>
      <c r="BO923" t="s">
        <v>74</v>
      </c>
      <c r="BP923" t="s">
        <v>74</v>
      </c>
      <c r="BQ923" t="s">
        <v>74</v>
      </c>
      <c r="BR923" t="s">
        <v>103</v>
      </c>
      <c r="BS923" t="s">
        <v>17770</v>
      </c>
      <c r="BT923" t="str">
        <f>HYPERLINK("https%3A%2F%2Fwww.webofscience.com%2Fwos%2Fwoscc%2Ffull-record%2FWOS:000471971900004","View Full Record in Web of Science")</f>
        <v>View Full Record in Web of Science</v>
      </c>
    </row>
    <row r="924" spans="1:72" x14ac:dyDescent="0.15">
      <c r="A924" t="s">
        <v>72</v>
      </c>
      <c r="B924" t="s">
        <v>17771</v>
      </c>
      <c r="C924" t="s">
        <v>74</v>
      </c>
      <c r="D924" t="s">
        <v>74</v>
      </c>
      <c r="E924" t="s">
        <v>74</v>
      </c>
      <c r="F924" t="s">
        <v>17772</v>
      </c>
      <c r="G924" t="s">
        <v>74</v>
      </c>
      <c r="H924" t="s">
        <v>74</v>
      </c>
      <c r="I924" t="s">
        <v>17773</v>
      </c>
      <c r="J924" t="s">
        <v>7942</v>
      </c>
      <c r="K924" t="s">
        <v>74</v>
      </c>
      <c r="L924" t="s">
        <v>74</v>
      </c>
      <c r="M924" t="s">
        <v>78</v>
      </c>
      <c r="N924" t="s">
        <v>108</v>
      </c>
      <c r="O924" t="s">
        <v>74</v>
      </c>
      <c r="P924" t="s">
        <v>74</v>
      </c>
      <c r="Q924" t="s">
        <v>74</v>
      </c>
      <c r="R924" t="s">
        <v>74</v>
      </c>
      <c r="S924" t="s">
        <v>74</v>
      </c>
      <c r="T924" t="s">
        <v>17774</v>
      </c>
      <c r="U924" t="s">
        <v>17775</v>
      </c>
      <c r="V924" t="s">
        <v>17776</v>
      </c>
      <c r="W924" t="s">
        <v>17777</v>
      </c>
      <c r="X924" t="s">
        <v>17778</v>
      </c>
      <c r="Y924" t="s">
        <v>17779</v>
      </c>
      <c r="Z924" t="s">
        <v>17780</v>
      </c>
      <c r="AA924" t="s">
        <v>17781</v>
      </c>
      <c r="AB924" t="s">
        <v>17782</v>
      </c>
      <c r="AC924" t="s">
        <v>17783</v>
      </c>
      <c r="AD924" t="s">
        <v>17784</v>
      </c>
      <c r="AE924" t="s">
        <v>17785</v>
      </c>
      <c r="AF924" t="s">
        <v>74</v>
      </c>
      <c r="AG924">
        <v>48</v>
      </c>
      <c r="AH924">
        <v>22</v>
      </c>
      <c r="AI924">
        <v>27</v>
      </c>
      <c r="AJ924">
        <v>4</v>
      </c>
      <c r="AK924">
        <v>62</v>
      </c>
      <c r="AL924" t="s">
        <v>1140</v>
      </c>
      <c r="AM924" t="s">
        <v>1141</v>
      </c>
      <c r="AN924" t="s">
        <v>1142</v>
      </c>
      <c r="AO924" t="s">
        <v>7955</v>
      </c>
      <c r="AP924" t="s">
        <v>7956</v>
      </c>
      <c r="AQ924" t="s">
        <v>74</v>
      </c>
      <c r="AR924" t="s">
        <v>7957</v>
      </c>
      <c r="AS924" t="s">
        <v>7958</v>
      </c>
      <c r="AT924" t="s">
        <v>6581</v>
      </c>
      <c r="AU924">
        <v>2019</v>
      </c>
      <c r="AV924">
        <v>28</v>
      </c>
      <c r="AW924">
        <v>10</v>
      </c>
      <c r="AX924" t="s">
        <v>74</v>
      </c>
      <c r="AY924" t="s">
        <v>74</v>
      </c>
      <c r="AZ924" t="s">
        <v>74</v>
      </c>
      <c r="BA924" t="s">
        <v>74</v>
      </c>
      <c r="BB924">
        <v>2476</v>
      </c>
      <c r="BC924">
        <v>2485</v>
      </c>
      <c r="BD924" t="s">
        <v>74</v>
      </c>
      <c r="BE924" t="s">
        <v>17786</v>
      </c>
      <c r="BF924" t="str">
        <f>HYPERLINK("http://dx.doi.org/10.1111/mec.15055","http://dx.doi.org/10.1111/mec.15055")</f>
        <v>http://dx.doi.org/10.1111/mec.15055</v>
      </c>
      <c r="BG924" t="s">
        <v>74</v>
      </c>
      <c r="BH924" t="s">
        <v>74</v>
      </c>
      <c r="BI924">
        <v>10</v>
      </c>
      <c r="BJ924" t="s">
        <v>5789</v>
      </c>
      <c r="BK924" t="s">
        <v>101</v>
      </c>
      <c r="BL924" t="s">
        <v>5790</v>
      </c>
      <c r="BM924" t="s">
        <v>17787</v>
      </c>
      <c r="BN924">
        <v>30793442</v>
      </c>
      <c r="BO924" t="s">
        <v>74</v>
      </c>
      <c r="BP924" t="s">
        <v>74</v>
      </c>
      <c r="BQ924" t="s">
        <v>74</v>
      </c>
      <c r="BR924" t="s">
        <v>103</v>
      </c>
      <c r="BS924" t="s">
        <v>17788</v>
      </c>
      <c r="BT924" t="str">
        <f>HYPERLINK("https%3A%2F%2Fwww.webofscience.com%2Fwos%2Fwoscc%2Ffull-record%2FWOS:000472237600004","View Full Record in Web of Science")</f>
        <v>View Full Record in Web of Science</v>
      </c>
    </row>
    <row r="925" spans="1:72" x14ac:dyDescent="0.15">
      <c r="A925" t="s">
        <v>72</v>
      </c>
      <c r="B925" t="s">
        <v>17789</v>
      </c>
      <c r="C925" t="s">
        <v>74</v>
      </c>
      <c r="D925" t="s">
        <v>74</v>
      </c>
      <c r="E925" t="s">
        <v>74</v>
      </c>
      <c r="F925" t="s">
        <v>17790</v>
      </c>
      <c r="G925" t="s">
        <v>74</v>
      </c>
      <c r="H925" t="s">
        <v>74</v>
      </c>
      <c r="I925" t="s">
        <v>17791</v>
      </c>
      <c r="J925" t="s">
        <v>9995</v>
      </c>
      <c r="K925" t="s">
        <v>74</v>
      </c>
      <c r="L925" t="s">
        <v>74</v>
      </c>
      <c r="M925" t="s">
        <v>78</v>
      </c>
      <c r="N925" t="s">
        <v>108</v>
      </c>
      <c r="O925" t="s">
        <v>74</v>
      </c>
      <c r="P925" t="s">
        <v>74</v>
      </c>
      <c r="Q925" t="s">
        <v>74</v>
      </c>
      <c r="R925" t="s">
        <v>74</v>
      </c>
      <c r="S925" t="s">
        <v>74</v>
      </c>
      <c r="T925" t="s">
        <v>74</v>
      </c>
      <c r="U925" t="s">
        <v>17792</v>
      </c>
      <c r="V925" t="s">
        <v>17793</v>
      </c>
      <c r="W925" t="s">
        <v>17794</v>
      </c>
      <c r="X925" t="s">
        <v>17795</v>
      </c>
      <c r="Y925" t="s">
        <v>17796</v>
      </c>
      <c r="Z925" t="s">
        <v>17797</v>
      </c>
      <c r="AA925" t="s">
        <v>74</v>
      </c>
      <c r="AB925" t="s">
        <v>17798</v>
      </c>
      <c r="AC925" t="s">
        <v>17799</v>
      </c>
      <c r="AD925" t="s">
        <v>17800</v>
      </c>
      <c r="AE925" t="s">
        <v>17801</v>
      </c>
      <c r="AF925" t="s">
        <v>74</v>
      </c>
      <c r="AG925">
        <v>63</v>
      </c>
      <c r="AH925">
        <v>24</v>
      </c>
      <c r="AI925">
        <v>28</v>
      </c>
      <c r="AJ925">
        <v>1</v>
      </c>
      <c r="AK925">
        <v>18</v>
      </c>
      <c r="AL925" t="s">
        <v>1140</v>
      </c>
      <c r="AM925" t="s">
        <v>1141</v>
      </c>
      <c r="AN925" t="s">
        <v>1142</v>
      </c>
      <c r="AO925" t="s">
        <v>10007</v>
      </c>
      <c r="AP925" t="s">
        <v>10008</v>
      </c>
      <c r="AQ925" t="s">
        <v>74</v>
      </c>
      <c r="AR925" t="s">
        <v>10009</v>
      </c>
      <c r="AS925" t="s">
        <v>10010</v>
      </c>
      <c r="AT925" t="s">
        <v>6581</v>
      </c>
      <c r="AU925">
        <v>2019</v>
      </c>
      <c r="AV925">
        <v>21</v>
      </c>
      <c r="AW925">
        <v>5</v>
      </c>
      <c r="AX925" t="s">
        <v>74</v>
      </c>
      <c r="AY925" t="s">
        <v>74</v>
      </c>
      <c r="AZ925" t="s">
        <v>74</v>
      </c>
      <c r="BA925" t="s">
        <v>74</v>
      </c>
      <c r="BB925">
        <v>1586</v>
      </c>
      <c r="BC925">
        <v>1596</v>
      </c>
      <c r="BD925" t="s">
        <v>74</v>
      </c>
      <c r="BE925" t="s">
        <v>17802</v>
      </c>
      <c r="BF925" t="str">
        <f>HYPERLINK("http://dx.doi.org/10.1111/1462-2920.14533","http://dx.doi.org/10.1111/1462-2920.14533")</f>
        <v>http://dx.doi.org/10.1111/1462-2920.14533</v>
      </c>
      <c r="BG925" t="s">
        <v>74</v>
      </c>
      <c r="BH925" t="s">
        <v>74</v>
      </c>
      <c r="BI925">
        <v>11</v>
      </c>
      <c r="BJ925" t="s">
        <v>1514</v>
      </c>
      <c r="BK925" t="s">
        <v>101</v>
      </c>
      <c r="BL925" t="s">
        <v>1514</v>
      </c>
      <c r="BM925" t="s">
        <v>17803</v>
      </c>
      <c r="BN925">
        <v>30652397</v>
      </c>
      <c r="BO925" t="s">
        <v>3117</v>
      </c>
      <c r="BP925" t="s">
        <v>74</v>
      </c>
      <c r="BQ925" t="s">
        <v>74</v>
      </c>
      <c r="BR925" t="s">
        <v>103</v>
      </c>
      <c r="BS925" t="s">
        <v>17804</v>
      </c>
      <c r="BT925" t="str">
        <f>HYPERLINK("https%3A%2F%2Fwww.webofscience.com%2Fwos%2Fwoscc%2Ffull-record%2FWOS:000471715900006","View Full Record in Web of Science")</f>
        <v>View Full Record in Web of Science</v>
      </c>
    </row>
    <row r="926" spans="1:72" x14ac:dyDescent="0.15">
      <c r="A926" t="s">
        <v>72</v>
      </c>
      <c r="B926" t="s">
        <v>17805</v>
      </c>
      <c r="C926" t="s">
        <v>74</v>
      </c>
      <c r="D926" t="s">
        <v>74</v>
      </c>
      <c r="E926" t="s">
        <v>74</v>
      </c>
      <c r="F926" t="s">
        <v>17806</v>
      </c>
      <c r="G926" t="s">
        <v>74</v>
      </c>
      <c r="H926" t="s">
        <v>74</v>
      </c>
      <c r="I926" t="s">
        <v>17807</v>
      </c>
      <c r="J926" t="s">
        <v>17808</v>
      </c>
      <c r="K926" t="s">
        <v>74</v>
      </c>
      <c r="L926" t="s">
        <v>74</v>
      </c>
      <c r="M926" t="s">
        <v>78</v>
      </c>
      <c r="N926" t="s">
        <v>108</v>
      </c>
      <c r="O926" t="s">
        <v>74</v>
      </c>
      <c r="P926" t="s">
        <v>74</v>
      </c>
      <c r="Q926" t="s">
        <v>74</v>
      </c>
      <c r="R926" t="s">
        <v>74</v>
      </c>
      <c r="S926" t="s">
        <v>74</v>
      </c>
      <c r="T926" t="s">
        <v>17809</v>
      </c>
      <c r="U926" t="s">
        <v>17810</v>
      </c>
      <c r="V926" t="s">
        <v>17811</v>
      </c>
      <c r="W926" t="s">
        <v>17812</v>
      </c>
      <c r="X926" t="s">
        <v>17813</v>
      </c>
      <c r="Y926" t="s">
        <v>17814</v>
      </c>
      <c r="Z926" t="s">
        <v>17815</v>
      </c>
      <c r="AA926" t="s">
        <v>17816</v>
      </c>
      <c r="AB926" t="s">
        <v>17817</v>
      </c>
      <c r="AC926" t="s">
        <v>17818</v>
      </c>
      <c r="AD926" t="s">
        <v>17819</v>
      </c>
      <c r="AE926" t="s">
        <v>17820</v>
      </c>
      <c r="AF926" t="s">
        <v>74</v>
      </c>
      <c r="AG926">
        <v>45</v>
      </c>
      <c r="AH926">
        <v>2</v>
      </c>
      <c r="AI926">
        <v>2</v>
      </c>
      <c r="AJ926">
        <v>1</v>
      </c>
      <c r="AK926">
        <v>8</v>
      </c>
      <c r="AL926" t="s">
        <v>17821</v>
      </c>
      <c r="AM926" t="s">
        <v>17822</v>
      </c>
      <c r="AN926" t="s">
        <v>17823</v>
      </c>
      <c r="AO926" t="s">
        <v>17824</v>
      </c>
      <c r="AP926" t="s">
        <v>74</v>
      </c>
      <c r="AQ926" t="s">
        <v>74</v>
      </c>
      <c r="AR926" t="s">
        <v>17825</v>
      </c>
      <c r="AS926" t="s">
        <v>17826</v>
      </c>
      <c r="AT926" t="s">
        <v>6581</v>
      </c>
      <c r="AU926">
        <v>2019</v>
      </c>
      <c r="AV926">
        <v>14</v>
      </c>
      <c r="AW926">
        <v>2</v>
      </c>
      <c r="AX926" t="s">
        <v>74</v>
      </c>
      <c r="AY926" t="s">
        <v>74</v>
      </c>
      <c r="AZ926" t="s">
        <v>74</v>
      </c>
      <c r="BA926" t="s">
        <v>74</v>
      </c>
      <c r="BB926">
        <v>62</v>
      </c>
      <c r="BC926">
        <v>70</v>
      </c>
      <c r="BD926" t="s">
        <v>74</v>
      </c>
      <c r="BE926" t="s">
        <v>17827</v>
      </c>
      <c r="BF926" t="str">
        <f>HYPERLINK("http://dx.doi.org/10.3800/pbr.14.62","http://dx.doi.org/10.3800/pbr.14.62")</f>
        <v>http://dx.doi.org/10.3800/pbr.14.62</v>
      </c>
      <c r="BG926" t="s">
        <v>74</v>
      </c>
      <c r="BH926" t="s">
        <v>74</v>
      </c>
      <c r="BI926">
        <v>9</v>
      </c>
      <c r="BJ926" t="s">
        <v>3596</v>
      </c>
      <c r="BK926" t="s">
        <v>101</v>
      </c>
      <c r="BL926" t="s">
        <v>3596</v>
      </c>
      <c r="BM926" t="s">
        <v>17828</v>
      </c>
      <c r="BN926" t="s">
        <v>74</v>
      </c>
      <c r="BO926" t="s">
        <v>366</v>
      </c>
      <c r="BP926" t="s">
        <v>74</v>
      </c>
      <c r="BQ926" t="s">
        <v>74</v>
      </c>
      <c r="BR926" t="s">
        <v>103</v>
      </c>
      <c r="BS926" t="s">
        <v>17829</v>
      </c>
      <c r="BT926" t="str">
        <f>HYPERLINK("https%3A%2F%2Fwww.webofscience.com%2Fwos%2Fwoscc%2Ffull-record%2FWOS:000471741600002","View Full Record in Web of Science")</f>
        <v>View Full Record in Web of Science</v>
      </c>
    </row>
    <row r="927" spans="1:72" x14ac:dyDescent="0.15">
      <c r="A927" t="s">
        <v>72</v>
      </c>
      <c r="B927" t="s">
        <v>17830</v>
      </c>
      <c r="C927" t="s">
        <v>74</v>
      </c>
      <c r="D927" t="s">
        <v>74</v>
      </c>
      <c r="E927" t="s">
        <v>74</v>
      </c>
      <c r="F927" t="s">
        <v>17831</v>
      </c>
      <c r="G927" t="s">
        <v>74</v>
      </c>
      <c r="H927" t="s">
        <v>74</v>
      </c>
      <c r="I927" t="s">
        <v>17832</v>
      </c>
      <c r="J927" t="s">
        <v>10667</v>
      </c>
      <c r="K927" t="s">
        <v>74</v>
      </c>
      <c r="L927" t="s">
        <v>74</v>
      </c>
      <c r="M927" t="s">
        <v>78</v>
      </c>
      <c r="N927" t="s">
        <v>108</v>
      </c>
      <c r="O927" t="s">
        <v>74</v>
      </c>
      <c r="P927" t="s">
        <v>74</v>
      </c>
      <c r="Q927" t="s">
        <v>74</v>
      </c>
      <c r="R927" t="s">
        <v>74</v>
      </c>
      <c r="S927" t="s">
        <v>74</v>
      </c>
      <c r="T927" t="s">
        <v>17833</v>
      </c>
      <c r="U927" t="s">
        <v>17834</v>
      </c>
      <c r="V927" t="s">
        <v>17835</v>
      </c>
      <c r="W927" t="s">
        <v>17836</v>
      </c>
      <c r="X927" t="s">
        <v>17837</v>
      </c>
      <c r="Y927" t="s">
        <v>17838</v>
      </c>
      <c r="Z927" t="s">
        <v>17839</v>
      </c>
      <c r="AA927" t="s">
        <v>17840</v>
      </c>
      <c r="AB927" t="s">
        <v>17841</v>
      </c>
      <c r="AC927" t="s">
        <v>17842</v>
      </c>
      <c r="AD927" t="s">
        <v>17843</v>
      </c>
      <c r="AE927" t="s">
        <v>17844</v>
      </c>
      <c r="AF927" t="s">
        <v>74</v>
      </c>
      <c r="AG927">
        <v>117</v>
      </c>
      <c r="AH927">
        <v>50</v>
      </c>
      <c r="AI927">
        <v>52</v>
      </c>
      <c r="AJ927">
        <v>1</v>
      </c>
      <c r="AK927">
        <v>21</v>
      </c>
      <c r="AL927" t="s">
        <v>182</v>
      </c>
      <c r="AM927" t="s">
        <v>183</v>
      </c>
      <c r="AN927" t="s">
        <v>184</v>
      </c>
      <c r="AO927" t="s">
        <v>10679</v>
      </c>
      <c r="AP927" t="s">
        <v>74</v>
      </c>
      <c r="AQ927" t="s">
        <v>74</v>
      </c>
      <c r="AR927" t="s">
        <v>10680</v>
      </c>
      <c r="AS927" t="s">
        <v>10681</v>
      </c>
      <c r="AT927" t="s">
        <v>6581</v>
      </c>
      <c r="AU927">
        <v>2019</v>
      </c>
      <c r="AV927">
        <v>20</v>
      </c>
      <c r="AW927">
        <v>5</v>
      </c>
      <c r="AX927" t="s">
        <v>74</v>
      </c>
      <c r="AY927" t="s">
        <v>74</v>
      </c>
      <c r="AZ927" t="s">
        <v>74</v>
      </c>
      <c r="BA927" t="s">
        <v>74</v>
      </c>
      <c r="BB927">
        <v>2214</v>
      </c>
      <c r="BC927">
        <v>2234</v>
      </c>
      <c r="BD927" t="s">
        <v>74</v>
      </c>
      <c r="BE927" t="s">
        <v>17845</v>
      </c>
      <c r="BF927" t="str">
        <f>HYPERLINK("http://dx.doi.org/10.1029/2019GC008182","http://dx.doi.org/10.1029/2019GC008182")</f>
        <v>http://dx.doi.org/10.1029/2019GC008182</v>
      </c>
      <c r="BG927" t="s">
        <v>74</v>
      </c>
      <c r="BH927" t="s">
        <v>74</v>
      </c>
      <c r="BI927">
        <v>21</v>
      </c>
      <c r="BJ927" t="s">
        <v>190</v>
      </c>
      <c r="BK927" t="s">
        <v>101</v>
      </c>
      <c r="BL927" t="s">
        <v>190</v>
      </c>
      <c r="BM927" t="s">
        <v>17846</v>
      </c>
      <c r="BN927" t="s">
        <v>74</v>
      </c>
      <c r="BO927" t="s">
        <v>261</v>
      </c>
      <c r="BP927" t="s">
        <v>74</v>
      </c>
      <c r="BQ927" t="s">
        <v>74</v>
      </c>
      <c r="BR927" t="s">
        <v>103</v>
      </c>
      <c r="BS927" t="s">
        <v>17847</v>
      </c>
      <c r="BT927" t="str">
        <f>HYPERLINK("https%3A%2F%2Fwww.webofscience.com%2Fwos%2Fwoscc%2Ffull-record%2FWOS:000471599700003","View Full Record in Web of Science")</f>
        <v>View Full Record in Web of Science</v>
      </c>
    </row>
    <row r="928" spans="1:72" x14ac:dyDescent="0.15">
      <c r="A928" t="s">
        <v>72</v>
      </c>
      <c r="B928" t="s">
        <v>17848</v>
      </c>
      <c r="C928" t="s">
        <v>74</v>
      </c>
      <c r="D928" t="s">
        <v>74</v>
      </c>
      <c r="E928" t="s">
        <v>74</v>
      </c>
      <c r="F928" t="s">
        <v>17849</v>
      </c>
      <c r="G928" t="s">
        <v>74</v>
      </c>
      <c r="H928" t="s">
        <v>74</v>
      </c>
      <c r="I928" t="s">
        <v>17850</v>
      </c>
      <c r="J928" t="s">
        <v>77</v>
      </c>
      <c r="K928" t="s">
        <v>74</v>
      </c>
      <c r="L928" t="s">
        <v>74</v>
      </c>
      <c r="M928" t="s">
        <v>78</v>
      </c>
      <c r="N928" t="s">
        <v>108</v>
      </c>
      <c r="O928" t="s">
        <v>74</v>
      </c>
      <c r="P928" t="s">
        <v>74</v>
      </c>
      <c r="Q928" t="s">
        <v>74</v>
      </c>
      <c r="R928" t="s">
        <v>74</v>
      </c>
      <c r="S928" t="s">
        <v>74</v>
      </c>
      <c r="T928" t="s">
        <v>17851</v>
      </c>
      <c r="U928" t="s">
        <v>17852</v>
      </c>
      <c r="V928" t="s">
        <v>17853</v>
      </c>
      <c r="W928" t="s">
        <v>17854</v>
      </c>
      <c r="X928" t="s">
        <v>17855</v>
      </c>
      <c r="Y928" t="s">
        <v>17856</v>
      </c>
      <c r="Z928" t="s">
        <v>17857</v>
      </c>
      <c r="AA928" t="s">
        <v>17858</v>
      </c>
      <c r="AB928" t="s">
        <v>17859</v>
      </c>
      <c r="AC928" t="s">
        <v>17860</v>
      </c>
      <c r="AD928" t="s">
        <v>17861</v>
      </c>
      <c r="AE928" t="s">
        <v>17862</v>
      </c>
      <c r="AF928" t="s">
        <v>74</v>
      </c>
      <c r="AG928">
        <v>87</v>
      </c>
      <c r="AH928">
        <v>6</v>
      </c>
      <c r="AI928">
        <v>6</v>
      </c>
      <c r="AJ928">
        <v>0</v>
      </c>
      <c r="AK928">
        <v>15</v>
      </c>
      <c r="AL928" t="s">
        <v>92</v>
      </c>
      <c r="AM928" t="s">
        <v>93</v>
      </c>
      <c r="AN928" t="s">
        <v>94</v>
      </c>
      <c r="AO928" t="s">
        <v>95</v>
      </c>
      <c r="AP928" t="s">
        <v>17863</v>
      </c>
      <c r="AQ928" t="s">
        <v>74</v>
      </c>
      <c r="AR928" t="s">
        <v>96</v>
      </c>
      <c r="AS928" t="s">
        <v>97</v>
      </c>
      <c r="AT928" t="s">
        <v>17518</v>
      </c>
      <c r="AU928">
        <v>2019</v>
      </c>
      <c r="AV928">
        <v>174</v>
      </c>
      <c r="AW928" t="s">
        <v>74</v>
      </c>
      <c r="AX928" t="s">
        <v>74</v>
      </c>
      <c r="AY928" t="s">
        <v>74</v>
      </c>
      <c r="AZ928" t="s">
        <v>730</v>
      </c>
      <c r="BA928" t="s">
        <v>74</v>
      </c>
      <c r="BB928">
        <v>7</v>
      </c>
      <c r="BC928">
        <v>16</v>
      </c>
      <c r="BD928" t="s">
        <v>74</v>
      </c>
      <c r="BE928" t="s">
        <v>17864</v>
      </c>
      <c r="BF928" t="str">
        <f>HYPERLINK("http://dx.doi.org/10.1016/j.pocean.2018.01.008","http://dx.doi.org/10.1016/j.pocean.2018.01.008")</f>
        <v>http://dx.doi.org/10.1016/j.pocean.2018.01.008</v>
      </c>
      <c r="BG928" t="s">
        <v>74</v>
      </c>
      <c r="BH928" t="s">
        <v>74</v>
      </c>
      <c r="BI928">
        <v>10</v>
      </c>
      <c r="BJ928" t="s">
        <v>100</v>
      </c>
      <c r="BK928" t="s">
        <v>101</v>
      </c>
      <c r="BL928" t="s">
        <v>100</v>
      </c>
      <c r="BM928" t="s">
        <v>17865</v>
      </c>
      <c r="BN928" t="s">
        <v>74</v>
      </c>
      <c r="BO928" t="s">
        <v>74</v>
      </c>
      <c r="BP928" t="s">
        <v>74</v>
      </c>
      <c r="BQ928" t="s">
        <v>74</v>
      </c>
      <c r="BR928" t="s">
        <v>103</v>
      </c>
      <c r="BS928" t="s">
        <v>17866</v>
      </c>
      <c r="BT928" t="str">
        <f>HYPERLINK("https%3A%2F%2Fwww.webofscience.com%2Fwos%2Fwoscc%2Ffull-record%2FWOS:000471364200002","View Full Record in Web of Science")</f>
        <v>View Full Record in Web of Science</v>
      </c>
    </row>
    <row r="929" spans="1:72" x14ac:dyDescent="0.15">
      <c r="A929" t="s">
        <v>72</v>
      </c>
      <c r="B929" t="s">
        <v>17867</v>
      </c>
      <c r="C929" t="s">
        <v>74</v>
      </c>
      <c r="D929" t="s">
        <v>74</v>
      </c>
      <c r="E929" t="s">
        <v>74</v>
      </c>
      <c r="F929" t="s">
        <v>17868</v>
      </c>
      <c r="G929" t="s">
        <v>74</v>
      </c>
      <c r="H929" t="s">
        <v>74</v>
      </c>
      <c r="I929" t="s">
        <v>17869</v>
      </c>
      <c r="J929" t="s">
        <v>77</v>
      </c>
      <c r="K929" t="s">
        <v>74</v>
      </c>
      <c r="L929" t="s">
        <v>74</v>
      </c>
      <c r="M929" t="s">
        <v>78</v>
      </c>
      <c r="N929" t="s">
        <v>108</v>
      </c>
      <c r="O929" t="s">
        <v>74</v>
      </c>
      <c r="P929" t="s">
        <v>74</v>
      </c>
      <c r="Q929" t="s">
        <v>74</v>
      </c>
      <c r="R929" t="s">
        <v>74</v>
      </c>
      <c r="S929" t="s">
        <v>74</v>
      </c>
      <c r="T929" t="s">
        <v>74</v>
      </c>
      <c r="U929" t="s">
        <v>17870</v>
      </c>
      <c r="V929" t="s">
        <v>17871</v>
      </c>
      <c r="W929" t="s">
        <v>17872</v>
      </c>
      <c r="X929" t="s">
        <v>17873</v>
      </c>
      <c r="Y929" t="s">
        <v>17874</v>
      </c>
      <c r="Z929" t="s">
        <v>17875</v>
      </c>
      <c r="AA929" t="s">
        <v>17876</v>
      </c>
      <c r="AB929" t="s">
        <v>17877</v>
      </c>
      <c r="AC929" t="s">
        <v>17878</v>
      </c>
      <c r="AD929" t="s">
        <v>17879</v>
      </c>
      <c r="AE929" t="s">
        <v>17880</v>
      </c>
      <c r="AF929" t="s">
        <v>74</v>
      </c>
      <c r="AG929">
        <v>81</v>
      </c>
      <c r="AH929">
        <v>8</v>
      </c>
      <c r="AI929">
        <v>8</v>
      </c>
      <c r="AJ929">
        <v>2</v>
      </c>
      <c r="AK929">
        <v>28</v>
      </c>
      <c r="AL929" t="s">
        <v>92</v>
      </c>
      <c r="AM929" t="s">
        <v>93</v>
      </c>
      <c r="AN929" t="s">
        <v>94</v>
      </c>
      <c r="AO929" t="s">
        <v>95</v>
      </c>
      <c r="AP929" t="s">
        <v>74</v>
      </c>
      <c r="AQ929" t="s">
        <v>74</v>
      </c>
      <c r="AR929" t="s">
        <v>96</v>
      </c>
      <c r="AS929" t="s">
        <v>97</v>
      </c>
      <c r="AT929" t="s">
        <v>17518</v>
      </c>
      <c r="AU929">
        <v>2019</v>
      </c>
      <c r="AV929">
        <v>174</v>
      </c>
      <c r="AW929" t="s">
        <v>74</v>
      </c>
      <c r="AX929" t="s">
        <v>74</v>
      </c>
      <c r="AY929" t="s">
        <v>74</v>
      </c>
      <c r="AZ929" t="s">
        <v>730</v>
      </c>
      <c r="BA929" t="s">
        <v>74</v>
      </c>
      <c r="BB929">
        <v>17</v>
      </c>
      <c r="BC929">
        <v>27</v>
      </c>
      <c r="BD929" t="s">
        <v>74</v>
      </c>
      <c r="BE929" t="s">
        <v>17881</v>
      </c>
      <c r="BF929" t="str">
        <f>HYPERLINK("http://dx.doi.org/10.1016/j.pocean.2018.03.013","http://dx.doi.org/10.1016/j.pocean.2018.03.013")</f>
        <v>http://dx.doi.org/10.1016/j.pocean.2018.03.013</v>
      </c>
      <c r="BG929" t="s">
        <v>74</v>
      </c>
      <c r="BH929" t="s">
        <v>74</v>
      </c>
      <c r="BI929">
        <v>11</v>
      </c>
      <c r="BJ929" t="s">
        <v>100</v>
      </c>
      <c r="BK929" t="s">
        <v>101</v>
      </c>
      <c r="BL929" t="s">
        <v>100</v>
      </c>
      <c r="BM929" t="s">
        <v>17865</v>
      </c>
      <c r="BN929" t="s">
        <v>74</v>
      </c>
      <c r="BO929" t="s">
        <v>74</v>
      </c>
      <c r="BP929" t="s">
        <v>74</v>
      </c>
      <c r="BQ929" t="s">
        <v>74</v>
      </c>
      <c r="BR929" t="s">
        <v>103</v>
      </c>
      <c r="BS929" t="s">
        <v>17882</v>
      </c>
      <c r="BT929" t="str">
        <f>HYPERLINK("https%3A%2F%2Fwww.webofscience.com%2Fwos%2Fwoscc%2Ffull-record%2FWOS:000471364200003","View Full Record in Web of Science")</f>
        <v>View Full Record in Web of Science</v>
      </c>
    </row>
    <row r="930" spans="1:72" x14ac:dyDescent="0.15">
      <c r="A930" t="s">
        <v>72</v>
      </c>
      <c r="B930" t="s">
        <v>17883</v>
      </c>
      <c r="C930" t="s">
        <v>74</v>
      </c>
      <c r="D930" t="s">
        <v>74</v>
      </c>
      <c r="E930" t="s">
        <v>74</v>
      </c>
      <c r="F930" t="s">
        <v>17884</v>
      </c>
      <c r="G930" t="s">
        <v>74</v>
      </c>
      <c r="H930" t="s">
        <v>74</v>
      </c>
      <c r="I930" t="s">
        <v>17885</v>
      </c>
      <c r="J930" t="s">
        <v>77</v>
      </c>
      <c r="K930" t="s">
        <v>74</v>
      </c>
      <c r="L930" t="s">
        <v>74</v>
      </c>
      <c r="M930" t="s">
        <v>78</v>
      </c>
      <c r="N930" t="s">
        <v>108</v>
      </c>
      <c r="O930" t="s">
        <v>74</v>
      </c>
      <c r="P930" t="s">
        <v>74</v>
      </c>
      <c r="Q930" t="s">
        <v>74</v>
      </c>
      <c r="R930" t="s">
        <v>74</v>
      </c>
      <c r="S930" t="s">
        <v>74</v>
      </c>
      <c r="T930" t="s">
        <v>74</v>
      </c>
      <c r="U930" t="s">
        <v>17886</v>
      </c>
      <c r="V930" t="s">
        <v>17887</v>
      </c>
      <c r="W930" t="s">
        <v>17888</v>
      </c>
      <c r="X930" t="s">
        <v>17889</v>
      </c>
      <c r="Y930" t="s">
        <v>17890</v>
      </c>
      <c r="Z930" t="s">
        <v>17891</v>
      </c>
      <c r="AA930" t="s">
        <v>74</v>
      </c>
      <c r="AB930" t="s">
        <v>17877</v>
      </c>
      <c r="AC930" t="s">
        <v>17892</v>
      </c>
      <c r="AD930" t="s">
        <v>17893</v>
      </c>
      <c r="AE930" t="s">
        <v>17894</v>
      </c>
      <c r="AF930" t="s">
        <v>74</v>
      </c>
      <c r="AG930">
        <v>50</v>
      </c>
      <c r="AH930">
        <v>4</v>
      </c>
      <c r="AI930">
        <v>4</v>
      </c>
      <c r="AJ930">
        <v>0</v>
      </c>
      <c r="AK930">
        <v>10</v>
      </c>
      <c r="AL930" t="s">
        <v>92</v>
      </c>
      <c r="AM930" t="s">
        <v>93</v>
      </c>
      <c r="AN930" t="s">
        <v>94</v>
      </c>
      <c r="AO930" t="s">
        <v>95</v>
      </c>
      <c r="AP930" t="s">
        <v>74</v>
      </c>
      <c r="AQ930" t="s">
        <v>74</v>
      </c>
      <c r="AR930" t="s">
        <v>96</v>
      </c>
      <c r="AS930" t="s">
        <v>97</v>
      </c>
      <c r="AT930" t="s">
        <v>17518</v>
      </c>
      <c r="AU930">
        <v>2019</v>
      </c>
      <c r="AV930">
        <v>174</v>
      </c>
      <c r="AW930" t="s">
        <v>74</v>
      </c>
      <c r="AX930" t="s">
        <v>74</v>
      </c>
      <c r="AY930" t="s">
        <v>74</v>
      </c>
      <c r="AZ930" t="s">
        <v>730</v>
      </c>
      <c r="BA930" t="s">
        <v>74</v>
      </c>
      <c r="BB930">
        <v>28</v>
      </c>
      <c r="BC930">
        <v>36</v>
      </c>
      <c r="BD930" t="s">
        <v>74</v>
      </c>
      <c r="BE930" t="s">
        <v>17895</v>
      </c>
      <c r="BF930" t="str">
        <f>HYPERLINK("http://dx.doi.org/10.1016/j.pocean.2018.11.001","http://dx.doi.org/10.1016/j.pocean.2018.11.001")</f>
        <v>http://dx.doi.org/10.1016/j.pocean.2018.11.001</v>
      </c>
      <c r="BG930" t="s">
        <v>74</v>
      </c>
      <c r="BH930" t="s">
        <v>74</v>
      </c>
      <c r="BI930">
        <v>9</v>
      </c>
      <c r="BJ930" t="s">
        <v>100</v>
      </c>
      <c r="BK930" t="s">
        <v>101</v>
      </c>
      <c r="BL930" t="s">
        <v>100</v>
      </c>
      <c r="BM930" t="s">
        <v>17865</v>
      </c>
      <c r="BN930" t="s">
        <v>74</v>
      </c>
      <c r="BO930" t="s">
        <v>74</v>
      </c>
      <c r="BP930" t="s">
        <v>74</v>
      </c>
      <c r="BQ930" t="s">
        <v>74</v>
      </c>
      <c r="BR930" t="s">
        <v>103</v>
      </c>
      <c r="BS930" t="s">
        <v>17896</v>
      </c>
      <c r="BT930" t="str">
        <f>HYPERLINK("https%3A%2F%2Fwww.webofscience.com%2Fwos%2Fwoscc%2Ffull-record%2FWOS:000471364200004","View Full Record in Web of Science")</f>
        <v>View Full Record in Web of Science</v>
      </c>
    </row>
    <row r="931" spans="1:72" x14ac:dyDescent="0.15">
      <c r="A931" t="s">
        <v>72</v>
      </c>
      <c r="B931" t="s">
        <v>17897</v>
      </c>
      <c r="C931" t="s">
        <v>74</v>
      </c>
      <c r="D931" t="s">
        <v>74</v>
      </c>
      <c r="E931" t="s">
        <v>74</v>
      </c>
      <c r="F931" t="s">
        <v>17898</v>
      </c>
      <c r="G931" t="s">
        <v>74</v>
      </c>
      <c r="H931" t="s">
        <v>74</v>
      </c>
      <c r="I931" t="s">
        <v>17899</v>
      </c>
      <c r="J931" t="s">
        <v>77</v>
      </c>
      <c r="K931" t="s">
        <v>74</v>
      </c>
      <c r="L931" t="s">
        <v>74</v>
      </c>
      <c r="M931" t="s">
        <v>78</v>
      </c>
      <c r="N931" t="s">
        <v>108</v>
      </c>
      <c r="O931" t="s">
        <v>74</v>
      </c>
      <c r="P931" t="s">
        <v>74</v>
      </c>
      <c r="Q931" t="s">
        <v>74</v>
      </c>
      <c r="R931" t="s">
        <v>74</v>
      </c>
      <c r="S931" t="s">
        <v>74</v>
      </c>
      <c r="T931" t="s">
        <v>17900</v>
      </c>
      <c r="U931" t="s">
        <v>17901</v>
      </c>
      <c r="V931" t="s">
        <v>17902</v>
      </c>
      <c r="W931" t="s">
        <v>17903</v>
      </c>
      <c r="X931" t="s">
        <v>17904</v>
      </c>
      <c r="Y931" t="s">
        <v>17905</v>
      </c>
      <c r="Z931" t="s">
        <v>17906</v>
      </c>
      <c r="AA931" t="s">
        <v>17907</v>
      </c>
      <c r="AB931" t="s">
        <v>17908</v>
      </c>
      <c r="AC931" t="s">
        <v>17909</v>
      </c>
      <c r="AD931" t="s">
        <v>17910</v>
      </c>
      <c r="AE931" t="s">
        <v>17911</v>
      </c>
      <c r="AF931" t="s">
        <v>74</v>
      </c>
      <c r="AG931">
        <v>55</v>
      </c>
      <c r="AH931">
        <v>31</v>
      </c>
      <c r="AI931">
        <v>32</v>
      </c>
      <c r="AJ931">
        <v>2</v>
      </c>
      <c r="AK931">
        <v>22</v>
      </c>
      <c r="AL931" t="s">
        <v>92</v>
      </c>
      <c r="AM931" t="s">
        <v>93</v>
      </c>
      <c r="AN931" t="s">
        <v>94</v>
      </c>
      <c r="AO931" t="s">
        <v>95</v>
      </c>
      <c r="AP931" t="s">
        <v>74</v>
      </c>
      <c r="AQ931" t="s">
        <v>74</v>
      </c>
      <c r="AR931" t="s">
        <v>96</v>
      </c>
      <c r="AS931" t="s">
        <v>97</v>
      </c>
      <c r="AT931" t="s">
        <v>17518</v>
      </c>
      <c r="AU931">
        <v>2019</v>
      </c>
      <c r="AV931">
        <v>174</v>
      </c>
      <c r="AW931" t="s">
        <v>74</v>
      </c>
      <c r="AX931" t="s">
        <v>74</v>
      </c>
      <c r="AY931" t="s">
        <v>74</v>
      </c>
      <c r="AZ931" t="s">
        <v>730</v>
      </c>
      <c r="BA931" t="s">
        <v>74</v>
      </c>
      <c r="BB931">
        <v>37</v>
      </c>
      <c r="BC931">
        <v>43</v>
      </c>
      <c r="BD931" t="s">
        <v>74</v>
      </c>
      <c r="BE931" t="s">
        <v>17912</v>
      </c>
      <c r="BF931" t="str">
        <f>HYPERLINK("http://dx.doi.org/10.1016/j.pocean.2018.09.001","http://dx.doi.org/10.1016/j.pocean.2018.09.001")</f>
        <v>http://dx.doi.org/10.1016/j.pocean.2018.09.001</v>
      </c>
      <c r="BG931" t="s">
        <v>74</v>
      </c>
      <c r="BH931" t="s">
        <v>74</v>
      </c>
      <c r="BI931">
        <v>7</v>
      </c>
      <c r="BJ931" t="s">
        <v>100</v>
      </c>
      <c r="BK931" t="s">
        <v>101</v>
      </c>
      <c r="BL931" t="s">
        <v>100</v>
      </c>
      <c r="BM931" t="s">
        <v>17865</v>
      </c>
      <c r="BN931" t="s">
        <v>74</v>
      </c>
      <c r="BO931" t="s">
        <v>74</v>
      </c>
      <c r="BP931" t="s">
        <v>74</v>
      </c>
      <c r="BQ931" t="s">
        <v>74</v>
      </c>
      <c r="BR931" t="s">
        <v>103</v>
      </c>
      <c r="BS931" t="s">
        <v>17913</v>
      </c>
      <c r="BT931" t="str">
        <f>HYPERLINK("https%3A%2F%2Fwww.webofscience.com%2Fwos%2Fwoscc%2Ffull-record%2FWOS:000471364200005","View Full Record in Web of Science")</f>
        <v>View Full Record in Web of Science</v>
      </c>
    </row>
    <row r="932" spans="1:72" x14ac:dyDescent="0.15">
      <c r="A932" t="s">
        <v>72</v>
      </c>
      <c r="B932" t="s">
        <v>17914</v>
      </c>
      <c r="C932" t="s">
        <v>74</v>
      </c>
      <c r="D932" t="s">
        <v>74</v>
      </c>
      <c r="E932" t="s">
        <v>74</v>
      </c>
      <c r="F932" t="s">
        <v>17915</v>
      </c>
      <c r="G932" t="s">
        <v>74</v>
      </c>
      <c r="H932" t="s">
        <v>74</v>
      </c>
      <c r="I932" t="s">
        <v>17916</v>
      </c>
      <c r="J932" t="s">
        <v>77</v>
      </c>
      <c r="K932" t="s">
        <v>74</v>
      </c>
      <c r="L932" t="s">
        <v>74</v>
      </c>
      <c r="M932" t="s">
        <v>78</v>
      </c>
      <c r="N932" t="s">
        <v>108</v>
      </c>
      <c r="O932" t="s">
        <v>74</v>
      </c>
      <c r="P932" t="s">
        <v>74</v>
      </c>
      <c r="Q932" t="s">
        <v>74</v>
      </c>
      <c r="R932" t="s">
        <v>74</v>
      </c>
      <c r="S932" t="s">
        <v>74</v>
      </c>
      <c r="T932" t="s">
        <v>17917</v>
      </c>
      <c r="U932" t="s">
        <v>17918</v>
      </c>
      <c r="V932" t="s">
        <v>17919</v>
      </c>
      <c r="W932" t="s">
        <v>17920</v>
      </c>
      <c r="X932" t="s">
        <v>17921</v>
      </c>
      <c r="Y932" t="s">
        <v>17922</v>
      </c>
      <c r="Z932" t="s">
        <v>17923</v>
      </c>
      <c r="AA932" t="s">
        <v>17924</v>
      </c>
      <c r="AB932" t="s">
        <v>17925</v>
      </c>
      <c r="AC932" t="s">
        <v>17926</v>
      </c>
      <c r="AD932" t="s">
        <v>17927</v>
      </c>
      <c r="AE932" t="s">
        <v>17928</v>
      </c>
      <c r="AF932" t="s">
        <v>74</v>
      </c>
      <c r="AG932">
        <v>80</v>
      </c>
      <c r="AH932">
        <v>18</v>
      </c>
      <c r="AI932">
        <v>20</v>
      </c>
      <c r="AJ932">
        <v>2</v>
      </c>
      <c r="AK932">
        <v>19</v>
      </c>
      <c r="AL932" t="s">
        <v>92</v>
      </c>
      <c r="AM932" t="s">
        <v>93</v>
      </c>
      <c r="AN932" t="s">
        <v>94</v>
      </c>
      <c r="AO932" t="s">
        <v>95</v>
      </c>
      <c r="AP932" t="s">
        <v>74</v>
      </c>
      <c r="AQ932" t="s">
        <v>74</v>
      </c>
      <c r="AR932" t="s">
        <v>96</v>
      </c>
      <c r="AS932" t="s">
        <v>97</v>
      </c>
      <c r="AT932" t="s">
        <v>17518</v>
      </c>
      <c r="AU932">
        <v>2019</v>
      </c>
      <c r="AV932">
        <v>174</v>
      </c>
      <c r="AW932" t="s">
        <v>74</v>
      </c>
      <c r="AX932" t="s">
        <v>74</v>
      </c>
      <c r="AY932" t="s">
        <v>74</v>
      </c>
      <c r="AZ932" t="s">
        <v>730</v>
      </c>
      <c r="BA932" t="s">
        <v>74</v>
      </c>
      <c r="BB932">
        <v>55</v>
      </c>
      <c r="BC932">
        <v>63</v>
      </c>
      <c r="BD932" t="s">
        <v>74</v>
      </c>
      <c r="BE932" t="s">
        <v>17929</v>
      </c>
      <c r="BF932" t="str">
        <f>HYPERLINK("http://dx.doi.org/10.1016/j.pocean.2018.10.016","http://dx.doi.org/10.1016/j.pocean.2018.10.016")</f>
        <v>http://dx.doi.org/10.1016/j.pocean.2018.10.016</v>
      </c>
      <c r="BG932" t="s">
        <v>74</v>
      </c>
      <c r="BH932" t="s">
        <v>74</v>
      </c>
      <c r="BI932">
        <v>9</v>
      </c>
      <c r="BJ932" t="s">
        <v>100</v>
      </c>
      <c r="BK932" t="s">
        <v>101</v>
      </c>
      <c r="BL932" t="s">
        <v>100</v>
      </c>
      <c r="BM932" t="s">
        <v>17865</v>
      </c>
      <c r="BN932" t="s">
        <v>74</v>
      </c>
      <c r="BO932" t="s">
        <v>74</v>
      </c>
      <c r="BP932" t="s">
        <v>74</v>
      </c>
      <c r="BQ932" t="s">
        <v>74</v>
      </c>
      <c r="BR932" t="s">
        <v>103</v>
      </c>
      <c r="BS932" t="s">
        <v>17930</v>
      </c>
      <c r="BT932" t="str">
        <f>HYPERLINK("https%3A%2F%2Fwww.webofscience.com%2Fwos%2Fwoscc%2Ffull-record%2FWOS:000471364200007","View Full Record in Web of Science")</f>
        <v>View Full Record in Web of Science</v>
      </c>
    </row>
    <row r="933" spans="1:72" x14ac:dyDescent="0.15">
      <c r="A933" t="s">
        <v>72</v>
      </c>
      <c r="B933" t="s">
        <v>17931</v>
      </c>
      <c r="C933" t="s">
        <v>74</v>
      </c>
      <c r="D933" t="s">
        <v>74</v>
      </c>
      <c r="E933" t="s">
        <v>74</v>
      </c>
      <c r="F933" t="s">
        <v>17932</v>
      </c>
      <c r="G933" t="s">
        <v>74</v>
      </c>
      <c r="H933" t="s">
        <v>74</v>
      </c>
      <c r="I933" t="s">
        <v>17933</v>
      </c>
      <c r="J933" t="s">
        <v>77</v>
      </c>
      <c r="K933" t="s">
        <v>74</v>
      </c>
      <c r="L933" t="s">
        <v>74</v>
      </c>
      <c r="M933" t="s">
        <v>78</v>
      </c>
      <c r="N933" t="s">
        <v>108</v>
      </c>
      <c r="O933" t="s">
        <v>74</v>
      </c>
      <c r="P933" t="s">
        <v>74</v>
      </c>
      <c r="Q933" t="s">
        <v>74</v>
      </c>
      <c r="R933" t="s">
        <v>74</v>
      </c>
      <c r="S933" t="s">
        <v>74</v>
      </c>
      <c r="T933" t="s">
        <v>17934</v>
      </c>
      <c r="U933" t="s">
        <v>17935</v>
      </c>
      <c r="V933" t="s">
        <v>17936</v>
      </c>
      <c r="W933" t="s">
        <v>17937</v>
      </c>
      <c r="X933" t="s">
        <v>2346</v>
      </c>
      <c r="Y933" t="s">
        <v>17938</v>
      </c>
      <c r="Z933" t="s">
        <v>17939</v>
      </c>
      <c r="AA933" t="s">
        <v>74</v>
      </c>
      <c r="AB933" t="s">
        <v>17940</v>
      </c>
      <c r="AC933" t="s">
        <v>17941</v>
      </c>
      <c r="AD933" t="s">
        <v>17942</v>
      </c>
      <c r="AE933" t="s">
        <v>17943</v>
      </c>
      <c r="AF933" t="s">
        <v>74</v>
      </c>
      <c r="AG933">
        <v>83</v>
      </c>
      <c r="AH933">
        <v>15</v>
      </c>
      <c r="AI933">
        <v>18</v>
      </c>
      <c r="AJ933">
        <v>1</v>
      </c>
      <c r="AK933">
        <v>28</v>
      </c>
      <c r="AL933" t="s">
        <v>92</v>
      </c>
      <c r="AM933" t="s">
        <v>93</v>
      </c>
      <c r="AN933" t="s">
        <v>94</v>
      </c>
      <c r="AO933" t="s">
        <v>95</v>
      </c>
      <c r="AP933" t="s">
        <v>74</v>
      </c>
      <c r="AQ933" t="s">
        <v>74</v>
      </c>
      <c r="AR933" t="s">
        <v>96</v>
      </c>
      <c r="AS933" t="s">
        <v>97</v>
      </c>
      <c r="AT933" t="s">
        <v>17518</v>
      </c>
      <c r="AU933">
        <v>2019</v>
      </c>
      <c r="AV933">
        <v>174</v>
      </c>
      <c r="AW933" t="s">
        <v>74</v>
      </c>
      <c r="AX933" t="s">
        <v>74</v>
      </c>
      <c r="AY933" t="s">
        <v>74</v>
      </c>
      <c r="AZ933" t="s">
        <v>730</v>
      </c>
      <c r="BA933" t="s">
        <v>74</v>
      </c>
      <c r="BB933">
        <v>117</v>
      </c>
      <c r="BC933">
        <v>130</v>
      </c>
      <c r="BD933" t="s">
        <v>74</v>
      </c>
      <c r="BE933" t="s">
        <v>17944</v>
      </c>
      <c r="BF933" t="str">
        <f>HYPERLINK("http://dx.doi.org/10.1016/j.pocean.2018.12.003","http://dx.doi.org/10.1016/j.pocean.2018.12.003")</f>
        <v>http://dx.doi.org/10.1016/j.pocean.2018.12.003</v>
      </c>
      <c r="BG933" t="s">
        <v>74</v>
      </c>
      <c r="BH933" t="s">
        <v>74</v>
      </c>
      <c r="BI933">
        <v>14</v>
      </c>
      <c r="BJ933" t="s">
        <v>100</v>
      </c>
      <c r="BK933" t="s">
        <v>101</v>
      </c>
      <c r="BL933" t="s">
        <v>100</v>
      </c>
      <c r="BM933" t="s">
        <v>17865</v>
      </c>
      <c r="BN933" t="s">
        <v>74</v>
      </c>
      <c r="BO933" t="s">
        <v>74</v>
      </c>
      <c r="BP933" t="s">
        <v>74</v>
      </c>
      <c r="BQ933" t="s">
        <v>74</v>
      </c>
      <c r="BR933" t="s">
        <v>103</v>
      </c>
      <c r="BS933" t="s">
        <v>17945</v>
      </c>
      <c r="BT933" t="str">
        <f>HYPERLINK("https%3A%2F%2Fwww.webofscience.com%2Fwos%2Fwoscc%2Ffull-record%2FWOS:000471364200012","View Full Record in Web of Science")</f>
        <v>View Full Record in Web of Science</v>
      </c>
    </row>
    <row r="934" spans="1:72" x14ac:dyDescent="0.15">
      <c r="A934" t="s">
        <v>72</v>
      </c>
      <c r="B934" t="s">
        <v>17946</v>
      </c>
      <c r="C934" t="s">
        <v>74</v>
      </c>
      <c r="D934" t="s">
        <v>74</v>
      </c>
      <c r="E934" t="s">
        <v>74</v>
      </c>
      <c r="F934" t="s">
        <v>17947</v>
      </c>
      <c r="G934" t="s">
        <v>74</v>
      </c>
      <c r="H934" t="s">
        <v>74</v>
      </c>
      <c r="I934" t="s">
        <v>17948</v>
      </c>
      <c r="J934" t="s">
        <v>77</v>
      </c>
      <c r="K934" t="s">
        <v>74</v>
      </c>
      <c r="L934" t="s">
        <v>74</v>
      </c>
      <c r="M934" t="s">
        <v>78</v>
      </c>
      <c r="N934" t="s">
        <v>108</v>
      </c>
      <c r="O934" t="s">
        <v>74</v>
      </c>
      <c r="P934" t="s">
        <v>74</v>
      </c>
      <c r="Q934" t="s">
        <v>74</v>
      </c>
      <c r="R934" t="s">
        <v>74</v>
      </c>
      <c r="S934" t="s">
        <v>74</v>
      </c>
      <c r="T934" t="s">
        <v>17949</v>
      </c>
      <c r="U934" t="s">
        <v>17950</v>
      </c>
      <c r="V934" t="s">
        <v>17951</v>
      </c>
      <c r="W934" t="s">
        <v>17952</v>
      </c>
      <c r="X934" t="s">
        <v>17953</v>
      </c>
      <c r="Y934" t="s">
        <v>17954</v>
      </c>
      <c r="Z934" t="s">
        <v>17955</v>
      </c>
      <c r="AA934" t="s">
        <v>17956</v>
      </c>
      <c r="AB934" t="s">
        <v>17957</v>
      </c>
      <c r="AC934" t="s">
        <v>17958</v>
      </c>
      <c r="AD934" t="s">
        <v>17959</v>
      </c>
      <c r="AE934" t="s">
        <v>17960</v>
      </c>
      <c r="AF934" t="s">
        <v>74</v>
      </c>
      <c r="AG934">
        <v>60</v>
      </c>
      <c r="AH934">
        <v>10</v>
      </c>
      <c r="AI934">
        <v>10</v>
      </c>
      <c r="AJ934">
        <v>1</v>
      </c>
      <c r="AK934">
        <v>13</v>
      </c>
      <c r="AL934" t="s">
        <v>92</v>
      </c>
      <c r="AM934" t="s">
        <v>93</v>
      </c>
      <c r="AN934" t="s">
        <v>94</v>
      </c>
      <c r="AO934" t="s">
        <v>95</v>
      </c>
      <c r="AP934" t="s">
        <v>74</v>
      </c>
      <c r="AQ934" t="s">
        <v>74</v>
      </c>
      <c r="AR934" t="s">
        <v>96</v>
      </c>
      <c r="AS934" t="s">
        <v>97</v>
      </c>
      <c r="AT934" t="s">
        <v>17518</v>
      </c>
      <c r="AU934">
        <v>2019</v>
      </c>
      <c r="AV934">
        <v>174</v>
      </c>
      <c r="AW934" t="s">
        <v>74</v>
      </c>
      <c r="AX934" t="s">
        <v>74</v>
      </c>
      <c r="AY934" t="s">
        <v>74</v>
      </c>
      <c r="AZ934" t="s">
        <v>730</v>
      </c>
      <c r="BA934" t="s">
        <v>74</v>
      </c>
      <c r="BB934">
        <v>131</v>
      </c>
      <c r="BC934">
        <v>142</v>
      </c>
      <c r="BD934" t="s">
        <v>74</v>
      </c>
      <c r="BE934" t="s">
        <v>17961</v>
      </c>
      <c r="BF934" t="str">
        <f>HYPERLINK("http://dx.doi.org/10.1016/j.pocean.2019.01.003","http://dx.doi.org/10.1016/j.pocean.2019.01.003")</f>
        <v>http://dx.doi.org/10.1016/j.pocean.2019.01.003</v>
      </c>
      <c r="BG934" t="s">
        <v>74</v>
      </c>
      <c r="BH934" t="s">
        <v>74</v>
      </c>
      <c r="BI934">
        <v>12</v>
      </c>
      <c r="BJ934" t="s">
        <v>100</v>
      </c>
      <c r="BK934" t="s">
        <v>101</v>
      </c>
      <c r="BL934" t="s">
        <v>100</v>
      </c>
      <c r="BM934" t="s">
        <v>17865</v>
      </c>
      <c r="BN934" t="s">
        <v>74</v>
      </c>
      <c r="BO934" t="s">
        <v>537</v>
      </c>
      <c r="BP934" t="s">
        <v>74</v>
      </c>
      <c r="BQ934" t="s">
        <v>74</v>
      </c>
      <c r="BR934" t="s">
        <v>103</v>
      </c>
      <c r="BS934" t="s">
        <v>17962</v>
      </c>
      <c r="BT934" t="str">
        <f>HYPERLINK("https%3A%2F%2Fwww.webofscience.com%2Fwos%2Fwoscc%2Ffull-record%2FWOS:000471364200013","View Full Record in Web of Science")</f>
        <v>View Full Record in Web of Science</v>
      </c>
    </row>
    <row r="935" spans="1:72" x14ac:dyDescent="0.15">
      <c r="A935" t="s">
        <v>72</v>
      </c>
      <c r="B935" t="s">
        <v>17963</v>
      </c>
      <c r="C935" t="s">
        <v>74</v>
      </c>
      <c r="D935" t="s">
        <v>74</v>
      </c>
      <c r="E935" t="s">
        <v>74</v>
      </c>
      <c r="F935" t="s">
        <v>17964</v>
      </c>
      <c r="G935" t="s">
        <v>74</v>
      </c>
      <c r="H935" t="s">
        <v>74</v>
      </c>
      <c r="I935" t="s">
        <v>17965</v>
      </c>
      <c r="J935" t="s">
        <v>3193</v>
      </c>
      <c r="K935" t="s">
        <v>74</v>
      </c>
      <c r="L935" t="s">
        <v>74</v>
      </c>
      <c r="M935" t="s">
        <v>78</v>
      </c>
      <c r="N935" t="s">
        <v>108</v>
      </c>
      <c r="O935" t="s">
        <v>74</v>
      </c>
      <c r="P935" t="s">
        <v>74</v>
      </c>
      <c r="Q935" t="s">
        <v>74</v>
      </c>
      <c r="R935" t="s">
        <v>74</v>
      </c>
      <c r="S935" t="s">
        <v>74</v>
      </c>
      <c r="T935" t="s">
        <v>74</v>
      </c>
      <c r="U935" t="s">
        <v>17966</v>
      </c>
      <c r="V935" t="s">
        <v>17967</v>
      </c>
      <c r="W935" t="s">
        <v>17968</v>
      </c>
      <c r="X935" t="s">
        <v>17969</v>
      </c>
      <c r="Y935" t="s">
        <v>17970</v>
      </c>
      <c r="Z935" t="s">
        <v>17971</v>
      </c>
      <c r="AA935" t="s">
        <v>17972</v>
      </c>
      <c r="AB935" t="s">
        <v>17973</v>
      </c>
      <c r="AC935" t="s">
        <v>17974</v>
      </c>
      <c r="AD935" t="s">
        <v>17975</v>
      </c>
      <c r="AE935" t="s">
        <v>17976</v>
      </c>
      <c r="AF935" t="s">
        <v>74</v>
      </c>
      <c r="AG935">
        <v>42</v>
      </c>
      <c r="AH935">
        <v>6</v>
      </c>
      <c r="AI935">
        <v>6</v>
      </c>
      <c r="AJ935">
        <v>0</v>
      </c>
      <c r="AK935">
        <v>8</v>
      </c>
      <c r="AL935" t="s">
        <v>182</v>
      </c>
      <c r="AM935" t="s">
        <v>183</v>
      </c>
      <c r="AN935" t="s">
        <v>184</v>
      </c>
      <c r="AO935" t="s">
        <v>3206</v>
      </c>
      <c r="AP935" t="s">
        <v>3207</v>
      </c>
      <c r="AQ935" t="s">
        <v>74</v>
      </c>
      <c r="AR935" t="s">
        <v>3208</v>
      </c>
      <c r="AS935" t="s">
        <v>3209</v>
      </c>
      <c r="AT935" t="s">
        <v>6581</v>
      </c>
      <c r="AU935">
        <v>2019</v>
      </c>
      <c r="AV935">
        <v>124</v>
      </c>
      <c r="AW935">
        <v>5</v>
      </c>
      <c r="AX935" t="s">
        <v>74</v>
      </c>
      <c r="AY935" t="s">
        <v>74</v>
      </c>
      <c r="AZ935" t="s">
        <v>74</v>
      </c>
      <c r="BA935" t="s">
        <v>74</v>
      </c>
      <c r="BB935">
        <v>3193</v>
      </c>
      <c r="BC935">
        <v>3209</v>
      </c>
      <c r="BD935" t="s">
        <v>74</v>
      </c>
      <c r="BE935" t="s">
        <v>17977</v>
      </c>
      <c r="BF935" t="str">
        <f>HYPERLINK("http://dx.doi.org/10.1029/2018JA026168","http://dx.doi.org/10.1029/2018JA026168")</f>
        <v>http://dx.doi.org/10.1029/2018JA026168</v>
      </c>
      <c r="BG935" t="s">
        <v>74</v>
      </c>
      <c r="BH935" t="s">
        <v>74</v>
      </c>
      <c r="BI935">
        <v>17</v>
      </c>
      <c r="BJ935" t="s">
        <v>1696</v>
      </c>
      <c r="BK935" t="s">
        <v>101</v>
      </c>
      <c r="BL935" t="s">
        <v>1696</v>
      </c>
      <c r="BM935" t="s">
        <v>17978</v>
      </c>
      <c r="BN935" t="s">
        <v>74</v>
      </c>
      <c r="BO935" t="s">
        <v>1308</v>
      </c>
      <c r="BP935" t="s">
        <v>74</v>
      </c>
      <c r="BQ935" t="s">
        <v>74</v>
      </c>
      <c r="BR935" t="s">
        <v>103</v>
      </c>
      <c r="BS935" t="s">
        <v>17979</v>
      </c>
      <c r="BT935" t="str">
        <f>HYPERLINK("https%3A%2F%2Fwww.webofscience.com%2Fwos%2Fwoscc%2Ffull-record%2FWOS:000471601500002","View Full Record in Web of Science")</f>
        <v>View Full Record in Web of Science</v>
      </c>
    </row>
    <row r="936" spans="1:72" x14ac:dyDescent="0.15">
      <c r="A936" t="s">
        <v>72</v>
      </c>
      <c r="B936" t="s">
        <v>17980</v>
      </c>
      <c r="C936" t="s">
        <v>74</v>
      </c>
      <c r="D936" t="s">
        <v>74</v>
      </c>
      <c r="E936" t="s">
        <v>74</v>
      </c>
      <c r="F936" t="s">
        <v>17981</v>
      </c>
      <c r="G936" t="s">
        <v>74</v>
      </c>
      <c r="H936" t="s">
        <v>74</v>
      </c>
      <c r="I936" t="s">
        <v>17982</v>
      </c>
      <c r="J936" t="s">
        <v>3193</v>
      </c>
      <c r="K936" t="s">
        <v>74</v>
      </c>
      <c r="L936" t="s">
        <v>74</v>
      </c>
      <c r="M936" t="s">
        <v>78</v>
      </c>
      <c r="N936" t="s">
        <v>108</v>
      </c>
      <c r="O936" t="s">
        <v>74</v>
      </c>
      <c r="P936" t="s">
        <v>74</v>
      </c>
      <c r="Q936" t="s">
        <v>74</v>
      </c>
      <c r="R936" t="s">
        <v>74</v>
      </c>
      <c r="S936" t="s">
        <v>74</v>
      </c>
      <c r="T936" t="s">
        <v>74</v>
      </c>
      <c r="U936" t="s">
        <v>17983</v>
      </c>
      <c r="V936" t="s">
        <v>17984</v>
      </c>
      <c r="W936" t="s">
        <v>17985</v>
      </c>
      <c r="X936" t="s">
        <v>17986</v>
      </c>
      <c r="Y936" t="s">
        <v>17987</v>
      </c>
      <c r="Z936" t="s">
        <v>17988</v>
      </c>
      <c r="AA936" t="s">
        <v>17989</v>
      </c>
      <c r="AB936" t="s">
        <v>17990</v>
      </c>
      <c r="AC936" t="s">
        <v>17991</v>
      </c>
      <c r="AD936" t="s">
        <v>17992</v>
      </c>
      <c r="AE936" t="s">
        <v>17993</v>
      </c>
      <c r="AF936" t="s">
        <v>74</v>
      </c>
      <c r="AG936">
        <v>27</v>
      </c>
      <c r="AH936">
        <v>3</v>
      </c>
      <c r="AI936">
        <v>3</v>
      </c>
      <c r="AJ936">
        <v>2</v>
      </c>
      <c r="AK936">
        <v>4</v>
      </c>
      <c r="AL936" t="s">
        <v>182</v>
      </c>
      <c r="AM936" t="s">
        <v>183</v>
      </c>
      <c r="AN936" t="s">
        <v>184</v>
      </c>
      <c r="AO936" t="s">
        <v>3206</v>
      </c>
      <c r="AP936" t="s">
        <v>3207</v>
      </c>
      <c r="AQ936" t="s">
        <v>74</v>
      </c>
      <c r="AR936" t="s">
        <v>3208</v>
      </c>
      <c r="AS936" t="s">
        <v>3209</v>
      </c>
      <c r="AT936" t="s">
        <v>6581</v>
      </c>
      <c r="AU936">
        <v>2019</v>
      </c>
      <c r="AV936">
        <v>124</v>
      </c>
      <c r="AW936">
        <v>5</v>
      </c>
      <c r="AX936" t="s">
        <v>74</v>
      </c>
      <c r="AY936" t="s">
        <v>74</v>
      </c>
      <c r="AZ936" t="s">
        <v>74</v>
      </c>
      <c r="BA936" t="s">
        <v>74</v>
      </c>
      <c r="BB936">
        <v>3729</v>
      </c>
      <c r="BC936">
        <v>3742</v>
      </c>
      <c r="BD936" t="s">
        <v>74</v>
      </c>
      <c r="BE936" t="s">
        <v>17994</v>
      </c>
      <c r="BF936" t="str">
        <f>HYPERLINK("http://dx.doi.org/10.1029/2018JA026415","http://dx.doi.org/10.1029/2018JA026415")</f>
        <v>http://dx.doi.org/10.1029/2018JA026415</v>
      </c>
      <c r="BG936" t="s">
        <v>74</v>
      </c>
      <c r="BH936" t="s">
        <v>74</v>
      </c>
      <c r="BI936">
        <v>14</v>
      </c>
      <c r="BJ936" t="s">
        <v>1696</v>
      </c>
      <c r="BK936" t="s">
        <v>101</v>
      </c>
      <c r="BL936" t="s">
        <v>1696</v>
      </c>
      <c r="BM936" t="s">
        <v>17978</v>
      </c>
      <c r="BN936" t="s">
        <v>74</v>
      </c>
      <c r="BO936" t="s">
        <v>621</v>
      </c>
      <c r="BP936" t="s">
        <v>74</v>
      </c>
      <c r="BQ936" t="s">
        <v>74</v>
      </c>
      <c r="BR936" t="s">
        <v>103</v>
      </c>
      <c r="BS936" t="s">
        <v>17995</v>
      </c>
      <c r="BT936" t="str">
        <f>HYPERLINK("https%3A%2F%2Fwww.webofscience.com%2Fwos%2Fwoscc%2Ffull-record%2FWOS:000471601500040","View Full Record in Web of Science")</f>
        <v>View Full Record in Web of Science</v>
      </c>
    </row>
    <row r="937" spans="1:72" x14ac:dyDescent="0.15">
      <c r="A937" t="s">
        <v>72</v>
      </c>
      <c r="B937" t="s">
        <v>17996</v>
      </c>
      <c r="C937" t="s">
        <v>74</v>
      </c>
      <c r="D937" t="s">
        <v>74</v>
      </c>
      <c r="E937" t="s">
        <v>74</v>
      </c>
      <c r="F937" t="s">
        <v>17997</v>
      </c>
      <c r="G937" t="s">
        <v>74</v>
      </c>
      <c r="H937" t="s">
        <v>74</v>
      </c>
      <c r="I937" t="s">
        <v>17998</v>
      </c>
      <c r="J937" t="s">
        <v>3193</v>
      </c>
      <c r="K937" t="s">
        <v>74</v>
      </c>
      <c r="L937" t="s">
        <v>74</v>
      </c>
      <c r="M937" t="s">
        <v>78</v>
      </c>
      <c r="N937" t="s">
        <v>108</v>
      </c>
      <c r="O937" t="s">
        <v>74</v>
      </c>
      <c r="P937" t="s">
        <v>74</v>
      </c>
      <c r="Q937" t="s">
        <v>74</v>
      </c>
      <c r="R937" t="s">
        <v>74</v>
      </c>
      <c r="S937" t="s">
        <v>74</v>
      </c>
      <c r="T937" t="s">
        <v>74</v>
      </c>
      <c r="U937" t="s">
        <v>17999</v>
      </c>
      <c r="V937" t="s">
        <v>18000</v>
      </c>
      <c r="W937" t="s">
        <v>18001</v>
      </c>
      <c r="X937" t="s">
        <v>18002</v>
      </c>
      <c r="Y937" t="s">
        <v>18003</v>
      </c>
      <c r="Z937" t="s">
        <v>18004</v>
      </c>
      <c r="AA937" t="s">
        <v>18005</v>
      </c>
      <c r="AB937" t="s">
        <v>18006</v>
      </c>
      <c r="AC937" t="s">
        <v>18007</v>
      </c>
      <c r="AD937" t="s">
        <v>18008</v>
      </c>
      <c r="AE937" t="s">
        <v>18009</v>
      </c>
      <c r="AF937" t="s">
        <v>74</v>
      </c>
      <c r="AG937">
        <v>39</v>
      </c>
      <c r="AH937">
        <v>8</v>
      </c>
      <c r="AI937">
        <v>10</v>
      </c>
      <c r="AJ937">
        <v>0</v>
      </c>
      <c r="AK937">
        <v>3</v>
      </c>
      <c r="AL937" t="s">
        <v>182</v>
      </c>
      <c r="AM937" t="s">
        <v>183</v>
      </c>
      <c r="AN937" t="s">
        <v>184</v>
      </c>
      <c r="AO937" t="s">
        <v>3206</v>
      </c>
      <c r="AP937" t="s">
        <v>3207</v>
      </c>
      <c r="AQ937" t="s">
        <v>74</v>
      </c>
      <c r="AR937" t="s">
        <v>3208</v>
      </c>
      <c r="AS937" t="s">
        <v>3209</v>
      </c>
      <c r="AT937" t="s">
        <v>6581</v>
      </c>
      <c r="AU937">
        <v>2019</v>
      </c>
      <c r="AV937">
        <v>124</v>
      </c>
      <c r="AW937">
        <v>5</v>
      </c>
      <c r="AX937" t="s">
        <v>74</v>
      </c>
      <c r="AY937" t="s">
        <v>74</v>
      </c>
      <c r="AZ937" t="s">
        <v>74</v>
      </c>
      <c r="BA937" t="s">
        <v>74</v>
      </c>
      <c r="BB937">
        <v>3761</v>
      </c>
      <c r="BC937">
        <v>3774</v>
      </c>
      <c r="BD937" t="s">
        <v>74</v>
      </c>
      <c r="BE937" t="s">
        <v>18010</v>
      </c>
      <c r="BF937" t="str">
        <f>HYPERLINK("http://dx.doi.org/10.1029/2018JA026333","http://dx.doi.org/10.1029/2018JA026333")</f>
        <v>http://dx.doi.org/10.1029/2018JA026333</v>
      </c>
      <c r="BG937" t="s">
        <v>74</v>
      </c>
      <c r="BH937" t="s">
        <v>74</v>
      </c>
      <c r="BI937">
        <v>14</v>
      </c>
      <c r="BJ937" t="s">
        <v>1696</v>
      </c>
      <c r="BK937" t="s">
        <v>101</v>
      </c>
      <c r="BL937" t="s">
        <v>1696</v>
      </c>
      <c r="BM937" t="s">
        <v>17978</v>
      </c>
      <c r="BN937" t="s">
        <v>74</v>
      </c>
      <c r="BO937" t="s">
        <v>1867</v>
      </c>
      <c r="BP937" t="s">
        <v>74</v>
      </c>
      <c r="BQ937" t="s">
        <v>74</v>
      </c>
      <c r="BR937" t="s">
        <v>103</v>
      </c>
      <c r="BS937" t="s">
        <v>18011</v>
      </c>
      <c r="BT937" t="str">
        <f>HYPERLINK("https%3A%2F%2Fwww.webofscience.com%2Fwos%2Fwoscc%2Ffull-record%2FWOS:000471601500043","View Full Record in Web of Science")</f>
        <v>View Full Record in Web of Science</v>
      </c>
    </row>
    <row r="938" spans="1:72" x14ac:dyDescent="0.15">
      <c r="A938" t="s">
        <v>72</v>
      </c>
      <c r="B938" t="s">
        <v>18012</v>
      </c>
      <c r="C938" t="s">
        <v>74</v>
      </c>
      <c r="D938" t="s">
        <v>74</v>
      </c>
      <c r="E938" t="s">
        <v>74</v>
      </c>
      <c r="F938" t="s">
        <v>18013</v>
      </c>
      <c r="G938" t="s">
        <v>74</v>
      </c>
      <c r="H938" t="s">
        <v>74</v>
      </c>
      <c r="I938" t="s">
        <v>18014</v>
      </c>
      <c r="J938" t="s">
        <v>4740</v>
      </c>
      <c r="K938" t="s">
        <v>74</v>
      </c>
      <c r="L938" t="s">
        <v>74</v>
      </c>
      <c r="M938" t="s">
        <v>78</v>
      </c>
      <c r="N938" t="s">
        <v>108</v>
      </c>
      <c r="O938" t="s">
        <v>74</v>
      </c>
      <c r="P938" t="s">
        <v>74</v>
      </c>
      <c r="Q938" t="s">
        <v>74</v>
      </c>
      <c r="R938" t="s">
        <v>74</v>
      </c>
      <c r="S938" t="s">
        <v>74</v>
      </c>
      <c r="T938" t="s">
        <v>18015</v>
      </c>
      <c r="U938" t="s">
        <v>18016</v>
      </c>
      <c r="V938" t="s">
        <v>18017</v>
      </c>
      <c r="W938" t="s">
        <v>18018</v>
      </c>
      <c r="X938" t="s">
        <v>18019</v>
      </c>
      <c r="Y938" t="s">
        <v>18020</v>
      </c>
      <c r="Z938" t="s">
        <v>18021</v>
      </c>
      <c r="AA938" t="s">
        <v>74</v>
      </c>
      <c r="AB938" t="s">
        <v>18022</v>
      </c>
      <c r="AC938" t="s">
        <v>18023</v>
      </c>
      <c r="AD938" t="s">
        <v>18024</v>
      </c>
      <c r="AE938" t="s">
        <v>18025</v>
      </c>
      <c r="AF938" t="s">
        <v>74</v>
      </c>
      <c r="AG938">
        <v>96</v>
      </c>
      <c r="AH938">
        <v>51</v>
      </c>
      <c r="AI938">
        <v>51</v>
      </c>
      <c r="AJ938">
        <v>0</v>
      </c>
      <c r="AK938">
        <v>39</v>
      </c>
      <c r="AL938" t="s">
        <v>3533</v>
      </c>
      <c r="AM938" t="s">
        <v>93</v>
      </c>
      <c r="AN938" t="s">
        <v>3534</v>
      </c>
      <c r="AO938" t="s">
        <v>4753</v>
      </c>
      <c r="AP938" t="s">
        <v>4754</v>
      </c>
      <c r="AQ938" t="s">
        <v>74</v>
      </c>
      <c r="AR938" t="s">
        <v>4755</v>
      </c>
      <c r="AS938" t="s">
        <v>4756</v>
      </c>
      <c r="AT938" t="s">
        <v>6581</v>
      </c>
      <c r="AU938">
        <v>2019</v>
      </c>
      <c r="AV938">
        <v>147</v>
      </c>
      <c r="AW938" t="s">
        <v>74</v>
      </c>
      <c r="AX938" t="s">
        <v>74</v>
      </c>
      <c r="AY938" t="s">
        <v>74</v>
      </c>
      <c r="AZ938" t="s">
        <v>74</v>
      </c>
      <c r="BA938" t="s">
        <v>74</v>
      </c>
      <c r="BB938">
        <v>37</v>
      </c>
      <c r="BC938">
        <v>48</v>
      </c>
      <c r="BD938" t="s">
        <v>74</v>
      </c>
      <c r="BE938" t="s">
        <v>18026</v>
      </c>
      <c r="BF938" t="str">
        <f>HYPERLINK("http://dx.doi.org/10.1016/j.marenvres.2019.04.001","http://dx.doi.org/10.1016/j.marenvres.2019.04.001")</f>
        <v>http://dx.doi.org/10.1016/j.marenvres.2019.04.001</v>
      </c>
      <c r="BG938" t="s">
        <v>74</v>
      </c>
      <c r="BH938" t="s">
        <v>74</v>
      </c>
      <c r="BI938">
        <v>12</v>
      </c>
      <c r="BJ938" t="s">
        <v>4758</v>
      </c>
      <c r="BK938" t="s">
        <v>101</v>
      </c>
      <c r="BL938" t="s">
        <v>4759</v>
      </c>
      <c r="BM938" t="s">
        <v>18027</v>
      </c>
      <c r="BN938">
        <v>31014905</v>
      </c>
      <c r="BO938" t="s">
        <v>474</v>
      </c>
      <c r="BP938" t="s">
        <v>74</v>
      </c>
      <c r="BQ938" t="s">
        <v>74</v>
      </c>
      <c r="BR938" t="s">
        <v>103</v>
      </c>
      <c r="BS938" t="s">
        <v>18028</v>
      </c>
      <c r="BT938" t="str">
        <f>HYPERLINK("https%3A%2F%2Fwww.webofscience.com%2Fwos%2Fwoscc%2Ffull-record%2FWOS:000471359000005","View Full Record in Web of Science")</f>
        <v>View Full Record in Web of Science</v>
      </c>
    </row>
    <row r="939" spans="1:72" x14ac:dyDescent="0.15">
      <c r="A939" t="s">
        <v>72</v>
      </c>
      <c r="B939" t="s">
        <v>18029</v>
      </c>
      <c r="C939" t="s">
        <v>74</v>
      </c>
      <c r="D939" t="s">
        <v>74</v>
      </c>
      <c r="E939" t="s">
        <v>74</v>
      </c>
      <c r="F939" t="s">
        <v>18030</v>
      </c>
      <c r="G939" t="s">
        <v>74</v>
      </c>
      <c r="H939" t="s">
        <v>74</v>
      </c>
      <c r="I939" t="s">
        <v>18031</v>
      </c>
      <c r="J939" t="s">
        <v>3016</v>
      </c>
      <c r="K939" t="s">
        <v>74</v>
      </c>
      <c r="L939" t="s">
        <v>74</v>
      </c>
      <c r="M939" t="s">
        <v>78</v>
      </c>
      <c r="N939" t="s">
        <v>108</v>
      </c>
      <c r="O939" t="s">
        <v>74</v>
      </c>
      <c r="P939" t="s">
        <v>74</v>
      </c>
      <c r="Q939" t="s">
        <v>74</v>
      </c>
      <c r="R939" t="s">
        <v>74</v>
      </c>
      <c r="S939" t="s">
        <v>74</v>
      </c>
      <c r="T939" t="s">
        <v>74</v>
      </c>
      <c r="U939" t="s">
        <v>18032</v>
      </c>
      <c r="V939" t="s">
        <v>18033</v>
      </c>
      <c r="W939" t="s">
        <v>18034</v>
      </c>
      <c r="X939" t="s">
        <v>18035</v>
      </c>
      <c r="Y939" t="s">
        <v>18036</v>
      </c>
      <c r="Z939" t="s">
        <v>18037</v>
      </c>
      <c r="AA939" t="s">
        <v>18038</v>
      </c>
      <c r="AB939" t="s">
        <v>18039</v>
      </c>
      <c r="AC939" t="s">
        <v>18040</v>
      </c>
      <c r="AD939" t="s">
        <v>4459</v>
      </c>
      <c r="AE939" t="s">
        <v>18041</v>
      </c>
      <c r="AF939" t="s">
        <v>74</v>
      </c>
      <c r="AG939">
        <v>121</v>
      </c>
      <c r="AH939">
        <v>9</v>
      </c>
      <c r="AI939">
        <v>9</v>
      </c>
      <c r="AJ939">
        <v>1</v>
      </c>
      <c r="AK939">
        <v>13</v>
      </c>
      <c r="AL939" t="s">
        <v>182</v>
      </c>
      <c r="AM939" t="s">
        <v>183</v>
      </c>
      <c r="AN939" t="s">
        <v>184</v>
      </c>
      <c r="AO939" t="s">
        <v>3028</v>
      </c>
      <c r="AP939" t="s">
        <v>3029</v>
      </c>
      <c r="AQ939" t="s">
        <v>74</v>
      </c>
      <c r="AR939" t="s">
        <v>3030</v>
      </c>
      <c r="AS939" t="s">
        <v>3031</v>
      </c>
      <c r="AT939" t="s">
        <v>6581</v>
      </c>
      <c r="AU939">
        <v>2019</v>
      </c>
      <c r="AV939">
        <v>34</v>
      </c>
      <c r="AW939">
        <v>5</v>
      </c>
      <c r="AX939" t="s">
        <v>74</v>
      </c>
      <c r="AY939" t="s">
        <v>74</v>
      </c>
      <c r="AZ939" t="s">
        <v>74</v>
      </c>
      <c r="BA939" t="s">
        <v>74</v>
      </c>
      <c r="BB939">
        <v>734</v>
      </c>
      <c r="BC939">
        <v>754</v>
      </c>
      <c r="BD939" t="s">
        <v>74</v>
      </c>
      <c r="BE939" t="s">
        <v>18042</v>
      </c>
      <c r="BF939" t="str">
        <f>HYPERLINK("http://dx.doi.org/10.1029/2018PA003501","http://dx.doi.org/10.1029/2018PA003501")</f>
        <v>http://dx.doi.org/10.1029/2018PA003501</v>
      </c>
      <c r="BG939" t="s">
        <v>74</v>
      </c>
      <c r="BH939" t="s">
        <v>74</v>
      </c>
      <c r="BI939">
        <v>21</v>
      </c>
      <c r="BJ939" t="s">
        <v>3033</v>
      </c>
      <c r="BK939" t="s">
        <v>101</v>
      </c>
      <c r="BL939" t="s">
        <v>3034</v>
      </c>
      <c r="BM939" t="s">
        <v>18043</v>
      </c>
      <c r="BN939" t="s">
        <v>74</v>
      </c>
      <c r="BO939" t="s">
        <v>18044</v>
      </c>
      <c r="BP939" t="s">
        <v>74</v>
      </c>
      <c r="BQ939" t="s">
        <v>74</v>
      </c>
      <c r="BR939" t="s">
        <v>103</v>
      </c>
      <c r="BS939" t="s">
        <v>18045</v>
      </c>
      <c r="BT939" t="str">
        <f>HYPERLINK("https%3A%2F%2Fwww.webofscience.com%2Fwos%2Fwoscc%2Ffull-record%2FWOS:000471238100001","View Full Record in Web of Science")</f>
        <v>View Full Record in Web of Science</v>
      </c>
    </row>
    <row r="940" spans="1:72" x14ac:dyDescent="0.15">
      <c r="A940" t="s">
        <v>72</v>
      </c>
      <c r="B940" t="s">
        <v>18046</v>
      </c>
      <c r="C940" t="s">
        <v>74</v>
      </c>
      <c r="D940" t="s">
        <v>74</v>
      </c>
      <c r="E940" t="s">
        <v>74</v>
      </c>
      <c r="F940" t="s">
        <v>18047</v>
      </c>
      <c r="G940" t="s">
        <v>74</v>
      </c>
      <c r="H940" t="s">
        <v>74</v>
      </c>
      <c r="I940" t="s">
        <v>18048</v>
      </c>
      <c r="J940" t="s">
        <v>3016</v>
      </c>
      <c r="K940" t="s">
        <v>74</v>
      </c>
      <c r="L940" t="s">
        <v>74</v>
      </c>
      <c r="M940" t="s">
        <v>78</v>
      </c>
      <c r="N940" t="s">
        <v>108</v>
      </c>
      <c r="O940" t="s">
        <v>74</v>
      </c>
      <c r="P940" t="s">
        <v>74</v>
      </c>
      <c r="Q940" t="s">
        <v>74</v>
      </c>
      <c r="R940" t="s">
        <v>74</v>
      </c>
      <c r="S940" t="s">
        <v>74</v>
      </c>
      <c r="T940" t="s">
        <v>74</v>
      </c>
      <c r="U940" t="s">
        <v>18049</v>
      </c>
      <c r="V940" t="s">
        <v>18050</v>
      </c>
      <c r="W940" t="s">
        <v>18051</v>
      </c>
      <c r="X940" t="s">
        <v>18052</v>
      </c>
      <c r="Y940" t="s">
        <v>18053</v>
      </c>
      <c r="Z940" t="s">
        <v>18054</v>
      </c>
      <c r="AA940" t="s">
        <v>18055</v>
      </c>
      <c r="AB940" t="s">
        <v>18056</v>
      </c>
      <c r="AC940" t="s">
        <v>18057</v>
      </c>
      <c r="AD940" t="s">
        <v>18058</v>
      </c>
      <c r="AE940" t="s">
        <v>18059</v>
      </c>
      <c r="AF940" t="s">
        <v>74</v>
      </c>
      <c r="AG940">
        <v>75</v>
      </c>
      <c r="AH940">
        <v>8</v>
      </c>
      <c r="AI940">
        <v>9</v>
      </c>
      <c r="AJ940">
        <v>0</v>
      </c>
      <c r="AK940">
        <v>4</v>
      </c>
      <c r="AL940" t="s">
        <v>182</v>
      </c>
      <c r="AM940" t="s">
        <v>183</v>
      </c>
      <c r="AN940" t="s">
        <v>184</v>
      </c>
      <c r="AO940" t="s">
        <v>3028</v>
      </c>
      <c r="AP940" t="s">
        <v>3029</v>
      </c>
      <c r="AQ940" t="s">
        <v>74</v>
      </c>
      <c r="AR940" t="s">
        <v>3030</v>
      </c>
      <c r="AS940" t="s">
        <v>3031</v>
      </c>
      <c r="AT940" t="s">
        <v>6581</v>
      </c>
      <c r="AU940">
        <v>2019</v>
      </c>
      <c r="AV940">
        <v>34</v>
      </c>
      <c r="AW940">
        <v>5</v>
      </c>
      <c r="AX940" t="s">
        <v>74</v>
      </c>
      <c r="AY940" t="s">
        <v>74</v>
      </c>
      <c r="AZ940" t="s">
        <v>74</v>
      </c>
      <c r="BA940" t="s">
        <v>74</v>
      </c>
      <c r="BB940">
        <v>787</v>
      </c>
      <c r="BC940">
        <v>799</v>
      </c>
      <c r="BD940" t="s">
        <v>74</v>
      </c>
      <c r="BE940" t="s">
        <v>18060</v>
      </c>
      <c r="BF940" t="str">
        <f>HYPERLINK("http://dx.doi.org/10.1029/2019PA003581","http://dx.doi.org/10.1029/2019PA003581")</f>
        <v>http://dx.doi.org/10.1029/2019PA003581</v>
      </c>
      <c r="BG940" t="s">
        <v>74</v>
      </c>
      <c r="BH940" t="s">
        <v>74</v>
      </c>
      <c r="BI940">
        <v>13</v>
      </c>
      <c r="BJ940" t="s">
        <v>3033</v>
      </c>
      <c r="BK940" t="s">
        <v>101</v>
      </c>
      <c r="BL940" t="s">
        <v>3034</v>
      </c>
      <c r="BM940" t="s">
        <v>18043</v>
      </c>
      <c r="BN940" t="s">
        <v>74</v>
      </c>
      <c r="BO940" t="s">
        <v>74</v>
      </c>
      <c r="BP940" t="s">
        <v>74</v>
      </c>
      <c r="BQ940" t="s">
        <v>74</v>
      </c>
      <c r="BR940" t="s">
        <v>103</v>
      </c>
      <c r="BS940" t="s">
        <v>18061</v>
      </c>
      <c r="BT940" t="str">
        <f>HYPERLINK("https%3A%2F%2Fwww.webofscience.com%2Fwos%2Fwoscc%2Ffull-record%2FWOS:000471238100004","View Full Record in Web of Science")</f>
        <v>View Full Record in Web of Science</v>
      </c>
    </row>
    <row r="941" spans="1:72" x14ac:dyDescent="0.15">
      <c r="A941" t="s">
        <v>72</v>
      </c>
      <c r="B941" t="s">
        <v>18062</v>
      </c>
      <c r="C941" t="s">
        <v>74</v>
      </c>
      <c r="D941" t="s">
        <v>74</v>
      </c>
      <c r="E941" t="s">
        <v>74</v>
      </c>
      <c r="F941" t="s">
        <v>18063</v>
      </c>
      <c r="G941" t="s">
        <v>74</v>
      </c>
      <c r="H941" t="s">
        <v>74</v>
      </c>
      <c r="I941" t="s">
        <v>18064</v>
      </c>
      <c r="J941" t="s">
        <v>3016</v>
      </c>
      <c r="K941" t="s">
        <v>74</v>
      </c>
      <c r="L941" t="s">
        <v>74</v>
      </c>
      <c r="M941" t="s">
        <v>78</v>
      </c>
      <c r="N941" t="s">
        <v>108</v>
      </c>
      <c r="O941" t="s">
        <v>74</v>
      </c>
      <c r="P941" t="s">
        <v>74</v>
      </c>
      <c r="Q941" t="s">
        <v>74</v>
      </c>
      <c r="R941" t="s">
        <v>74</v>
      </c>
      <c r="S941" t="s">
        <v>74</v>
      </c>
      <c r="T941" t="s">
        <v>74</v>
      </c>
      <c r="U941" t="s">
        <v>18065</v>
      </c>
      <c r="V941" t="s">
        <v>18066</v>
      </c>
      <c r="W941" t="s">
        <v>18067</v>
      </c>
      <c r="X941" t="s">
        <v>18068</v>
      </c>
      <c r="Y941" t="s">
        <v>18069</v>
      </c>
      <c r="Z941" t="s">
        <v>18070</v>
      </c>
      <c r="AA941" t="s">
        <v>18071</v>
      </c>
      <c r="AB941" t="s">
        <v>18072</v>
      </c>
      <c r="AC941" t="s">
        <v>18073</v>
      </c>
      <c r="AD941" t="s">
        <v>18074</v>
      </c>
      <c r="AE941" t="s">
        <v>18075</v>
      </c>
      <c r="AF941" t="s">
        <v>74</v>
      </c>
      <c r="AG941">
        <v>44</v>
      </c>
      <c r="AH941">
        <v>10</v>
      </c>
      <c r="AI941">
        <v>11</v>
      </c>
      <c r="AJ941">
        <v>1</v>
      </c>
      <c r="AK941">
        <v>12</v>
      </c>
      <c r="AL941" t="s">
        <v>182</v>
      </c>
      <c r="AM941" t="s">
        <v>183</v>
      </c>
      <c r="AN941" t="s">
        <v>184</v>
      </c>
      <c r="AO941" t="s">
        <v>3028</v>
      </c>
      <c r="AP941" t="s">
        <v>3029</v>
      </c>
      <c r="AQ941" t="s">
        <v>74</v>
      </c>
      <c r="AR941" t="s">
        <v>3030</v>
      </c>
      <c r="AS941" t="s">
        <v>3031</v>
      </c>
      <c r="AT941" t="s">
        <v>6581</v>
      </c>
      <c r="AU941">
        <v>2019</v>
      </c>
      <c r="AV941">
        <v>34</v>
      </c>
      <c r="AW941">
        <v>5</v>
      </c>
      <c r="AX941" t="s">
        <v>74</v>
      </c>
      <c r="AY941" t="s">
        <v>74</v>
      </c>
      <c r="AZ941" t="s">
        <v>74</v>
      </c>
      <c r="BA941" t="s">
        <v>74</v>
      </c>
      <c r="BB941">
        <v>800</v>
      </c>
      <c r="BC941">
        <v>812</v>
      </c>
      <c r="BD941" t="s">
        <v>74</v>
      </c>
      <c r="BE941" t="s">
        <v>18076</v>
      </c>
      <c r="BF941" t="str">
        <f>HYPERLINK("http://dx.doi.org/10.1029/2019PA003564","http://dx.doi.org/10.1029/2019PA003564")</f>
        <v>http://dx.doi.org/10.1029/2019PA003564</v>
      </c>
      <c r="BG941" t="s">
        <v>74</v>
      </c>
      <c r="BH941" t="s">
        <v>74</v>
      </c>
      <c r="BI941">
        <v>13</v>
      </c>
      <c r="BJ941" t="s">
        <v>3033</v>
      </c>
      <c r="BK941" t="s">
        <v>101</v>
      </c>
      <c r="BL941" t="s">
        <v>3034</v>
      </c>
      <c r="BM941" t="s">
        <v>18043</v>
      </c>
      <c r="BN941" t="s">
        <v>74</v>
      </c>
      <c r="BO941" t="s">
        <v>1308</v>
      </c>
      <c r="BP941" t="s">
        <v>74</v>
      </c>
      <c r="BQ941" t="s">
        <v>74</v>
      </c>
      <c r="BR941" t="s">
        <v>103</v>
      </c>
      <c r="BS941" t="s">
        <v>18077</v>
      </c>
      <c r="BT941" t="str">
        <f>HYPERLINK("https%3A%2F%2Fwww.webofscience.com%2Fwos%2Fwoscc%2Ffull-record%2FWOS:000471238100005","View Full Record in Web of Science")</f>
        <v>View Full Record in Web of Science</v>
      </c>
    </row>
    <row r="942" spans="1:72" x14ac:dyDescent="0.15">
      <c r="A942" t="s">
        <v>72</v>
      </c>
      <c r="B942" t="s">
        <v>18078</v>
      </c>
      <c r="C942" t="s">
        <v>74</v>
      </c>
      <c r="D942" t="s">
        <v>74</v>
      </c>
      <c r="E942" t="s">
        <v>74</v>
      </c>
      <c r="F942" t="s">
        <v>18079</v>
      </c>
      <c r="G942" t="s">
        <v>74</v>
      </c>
      <c r="H942" t="s">
        <v>74</v>
      </c>
      <c r="I942" t="s">
        <v>18080</v>
      </c>
      <c r="J942" t="s">
        <v>3016</v>
      </c>
      <c r="K942" t="s">
        <v>74</v>
      </c>
      <c r="L942" t="s">
        <v>74</v>
      </c>
      <c r="M942" t="s">
        <v>78</v>
      </c>
      <c r="N942" t="s">
        <v>108</v>
      </c>
      <c r="O942" t="s">
        <v>74</v>
      </c>
      <c r="P942" t="s">
        <v>74</v>
      </c>
      <c r="Q942" t="s">
        <v>74</v>
      </c>
      <c r="R942" t="s">
        <v>74</v>
      </c>
      <c r="S942" t="s">
        <v>74</v>
      </c>
      <c r="T942" t="s">
        <v>74</v>
      </c>
      <c r="U942" t="s">
        <v>18081</v>
      </c>
      <c r="V942" t="s">
        <v>18082</v>
      </c>
      <c r="W942" t="s">
        <v>18083</v>
      </c>
      <c r="X942" t="s">
        <v>18084</v>
      </c>
      <c r="Y942" t="s">
        <v>18085</v>
      </c>
      <c r="Z942" t="s">
        <v>18086</v>
      </c>
      <c r="AA942" t="s">
        <v>74</v>
      </c>
      <c r="AB942" t="s">
        <v>18087</v>
      </c>
      <c r="AC942" t="s">
        <v>18088</v>
      </c>
      <c r="AD942" t="s">
        <v>18089</v>
      </c>
      <c r="AE942" t="s">
        <v>18090</v>
      </c>
      <c r="AF942" t="s">
        <v>74</v>
      </c>
      <c r="AG942">
        <v>135</v>
      </c>
      <c r="AH942">
        <v>9</v>
      </c>
      <c r="AI942">
        <v>11</v>
      </c>
      <c r="AJ942">
        <v>0</v>
      </c>
      <c r="AK942">
        <v>21</v>
      </c>
      <c r="AL942" t="s">
        <v>182</v>
      </c>
      <c r="AM942" t="s">
        <v>183</v>
      </c>
      <c r="AN942" t="s">
        <v>184</v>
      </c>
      <c r="AO942" t="s">
        <v>3028</v>
      </c>
      <c r="AP942" t="s">
        <v>3029</v>
      </c>
      <c r="AQ942" t="s">
        <v>74</v>
      </c>
      <c r="AR942" t="s">
        <v>3030</v>
      </c>
      <c r="AS942" t="s">
        <v>3031</v>
      </c>
      <c r="AT942" t="s">
        <v>6581</v>
      </c>
      <c r="AU942">
        <v>2019</v>
      </c>
      <c r="AV942">
        <v>34</v>
      </c>
      <c r="AW942">
        <v>5</v>
      </c>
      <c r="AX942" t="s">
        <v>74</v>
      </c>
      <c r="AY942" t="s">
        <v>74</v>
      </c>
      <c r="AZ942" t="s">
        <v>74</v>
      </c>
      <c r="BA942" t="s">
        <v>74</v>
      </c>
      <c r="BB942">
        <v>833</v>
      </c>
      <c r="BC942">
        <v>852</v>
      </c>
      <c r="BD942" t="s">
        <v>74</v>
      </c>
      <c r="BE942" t="s">
        <v>18091</v>
      </c>
      <c r="BF942" t="str">
        <f>HYPERLINK("http://dx.doi.org/10.1029/2018PA003472","http://dx.doi.org/10.1029/2018PA003472")</f>
        <v>http://dx.doi.org/10.1029/2018PA003472</v>
      </c>
      <c r="BG942" t="s">
        <v>74</v>
      </c>
      <c r="BH942" t="s">
        <v>74</v>
      </c>
      <c r="BI942">
        <v>20</v>
      </c>
      <c r="BJ942" t="s">
        <v>3033</v>
      </c>
      <c r="BK942" t="s">
        <v>101</v>
      </c>
      <c r="BL942" t="s">
        <v>3034</v>
      </c>
      <c r="BM942" t="s">
        <v>18043</v>
      </c>
      <c r="BN942" t="s">
        <v>74</v>
      </c>
      <c r="BO942" t="s">
        <v>164</v>
      </c>
      <c r="BP942" t="s">
        <v>74</v>
      </c>
      <c r="BQ942" t="s">
        <v>74</v>
      </c>
      <c r="BR942" t="s">
        <v>103</v>
      </c>
      <c r="BS942" t="s">
        <v>18092</v>
      </c>
      <c r="BT942" t="str">
        <f>HYPERLINK("https%3A%2F%2Fwww.webofscience.com%2Fwos%2Fwoscc%2Ffull-record%2FWOS:000471238100007","View Full Record in Web of Science")</f>
        <v>View Full Record in Web of Science</v>
      </c>
    </row>
    <row r="943" spans="1:72" x14ac:dyDescent="0.15">
      <c r="A943" t="s">
        <v>72</v>
      </c>
      <c r="B943" t="s">
        <v>18093</v>
      </c>
      <c r="C943" t="s">
        <v>74</v>
      </c>
      <c r="D943" t="s">
        <v>74</v>
      </c>
      <c r="E943" t="s">
        <v>74</v>
      </c>
      <c r="F943" t="s">
        <v>18094</v>
      </c>
      <c r="G943" t="s">
        <v>74</v>
      </c>
      <c r="H943" t="s">
        <v>74</v>
      </c>
      <c r="I943" t="s">
        <v>18095</v>
      </c>
      <c r="J943" t="s">
        <v>7942</v>
      </c>
      <c r="K943" t="s">
        <v>74</v>
      </c>
      <c r="L943" t="s">
        <v>74</v>
      </c>
      <c r="M943" t="s">
        <v>78</v>
      </c>
      <c r="N943" t="s">
        <v>108</v>
      </c>
      <c r="O943" t="s">
        <v>74</v>
      </c>
      <c r="P943" t="s">
        <v>74</v>
      </c>
      <c r="Q943" t="s">
        <v>74</v>
      </c>
      <c r="R943" t="s">
        <v>74</v>
      </c>
      <c r="S943" t="s">
        <v>74</v>
      </c>
      <c r="T943" t="s">
        <v>18096</v>
      </c>
      <c r="U943" t="s">
        <v>18097</v>
      </c>
      <c r="V943" t="s">
        <v>18098</v>
      </c>
      <c r="W943" t="s">
        <v>18099</v>
      </c>
      <c r="X943" t="s">
        <v>18100</v>
      </c>
      <c r="Y943" t="s">
        <v>18101</v>
      </c>
      <c r="Z943" t="s">
        <v>18102</v>
      </c>
      <c r="AA943" t="s">
        <v>18103</v>
      </c>
      <c r="AB943" t="s">
        <v>18104</v>
      </c>
      <c r="AC943" t="s">
        <v>18105</v>
      </c>
      <c r="AD943" t="s">
        <v>18106</v>
      </c>
      <c r="AE943" t="s">
        <v>18107</v>
      </c>
      <c r="AF943" t="s">
        <v>74</v>
      </c>
      <c r="AG943">
        <v>128</v>
      </c>
      <c r="AH943">
        <v>24</v>
      </c>
      <c r="AI943">
        <v>26</v>
      </c>
      <c r="AJ943">
        <v>2</v>
      </c>
      <c r="AK943">
        <v>24</v>
      </c>
      <c r="AL943" t="s">
        <v>1140</v>
      </c>
      <c r="AM943" t="s">
        <v>1141</v>
      </c>
      <c r="AN943" t="s">
        <v>1142</v>
      </c>
      <c r="AO943" t="s">
        <v>7955</v>
      </c>
      <c r="AP943" t="s">
        <v>7956</v>
      </c>
      <c r="AQ943" t="s">
        <v>74</v>
      </c>
      <c r="AR943" t="s">
        <v>7957</v>
      </c>
      <c r="AS943" t="s">
        <v>7958</v>
      </c>
      <c r="AT943" t="s">
        <v>6581</v>
      </c>
      <c r="AU943">
        <v>2019</v>
      </c>
      <c r="AV943">
        <v>28</v>
      </c>
      <c r="AW943">
        <v>9</v>
      </c>
      <c r="AX943" t="s">
        <v>74</v>
      </c>
      <c r="AY943" t="s">
        <v>74</v>
      </c>
      <c r="AZ943" t="s">
        <v>74</v>
      </c>
      <c r="BA943" t="s">
        <v>74</v>
      </c>
      <c r="BB943">
        <v>2406</v>
      </c>
      <c r="BC943">
        <v>2422</v>
      </c>
      <c r="BD943" t="s">
        <v>74</v>
      </c>
      <c r="BE943" t="s">
        <v>18108</v>
      </c>
      <c r="BF943" t="str">
        <f>HYPERLINK("http://dx.doi.org/10.1111/mec.15070","http://dx.doi.org/10.1111/mec.15070")</f>
        <v>http://dx.doi.org/10.1111/mec.15070</v>
      </c>
      <c r="BG943" t="s">
        <v>74</v>
      </c>
      <c r="BH943" t="s">
        <v>74</v>
      </c>
      <c r="BI943">
        <v>17</v>
      </c>
      <c r="BJ943" t="s">
        <v>5789</v>
      </c>
      <c r="BK943" t="s">
        <v>101</v>
      </c>
      <c r="BL943" t="s">
        <v>5790</v>
      </c>
      <c r="BM943" t="s">
        <v>18109</v>
      </c>
      <c r="BN943">
        <v>30849214</v>
      </c>
      <c r="BO943" t="s">
        <v>164</v>
      </c>
      <c r="BP943" t="s">
        <v>74</v>
      </c>
      <c r="BQ943" t="s">
        <v>74</v>
      </c>
      <c r="BR943" t="s">
        <v>103</v>
      </c>
      <c r="BS943" t="s">
        <v>18110</v>
      </c>
      <c r="BT943" t="str">
        <f>HYPERLINK("https%3A%2F%2Fwww.webofscience.com%2Fwos%2Fwoscc%2Ffull-record%2FWOS:000471073000019","View Full Record in Web of Science")</f>
        <v>View Full Record in Web of Science</v>
      </c>
    </row>
    <row r="944" spans="1:72" x14ac:dyDescent="0.15">
      <c r="A944" t="s">
        <v>72</v>
      </c>
      <c r="B944" t="s">
        <v>18111</v>
      </c>
      <c r="C944" t="s">
        <v>74</v>
      </c>
      <c r="D944" t="s">
        <v>74</v>
      </c>
      <c r="E944" t="s">
        <v>74</v>
      </c>
      <c r="F944" t="s">
        <v>18112</v>
      </c>
      <c r="G944" t="s">
        <v>74</v>
      </c>
      <c r="H944" t="s">
        <v>74</v>
      </c>
      <c r="I944" t="s">
        <v>18113</v>
      </c>
      <c r="J944" t="s">
        <v>3977</v>
      </c>
      <c r="K944" t="s">
        <v>74</v>
      </c>
      <c r="L944" t="s">
        <v>74</v>
      </c>
      <c r="M944" t="s">
        <v>78</v>
      </c>
      <c r="N944" t="s">
        <v>108</v>
      </c>
      <c r="O944" t="s">
        <v>74</v>
      </c>
      <c r="P944" t="s">
        <v>74</v>
      </c>
      <c r="Q944" t="s">
        <v>74</v>
      </c>
      <c r="R944" t="s">
        <v>74</v>
      </c>
      <c r="S944" t="s">
        <v>74</v>
      </c>
      <c r="T944" t="s">
        <v>18114</v>
      </c>
      <c r="U944" t="s">
        <v>18115</v>
      </c>
      <c r="V944" t="s">
        <v>18116</v>
      </c>
      <c r="W944" t="s">
        <v>18117</v>
      </c>
      <c r="X944" t="s">
        <v>18118</v>
      </c>
      <c r="Y944" t="s">
        <v>18119</v>
      </c>
      <c r="Z944" t="s">
        <v>18120</v>
      </c>
      <c r="AA944" t="s">
        <v>18121</v>
      </c>
      <c r="AB944" t="s">
        <v>18122</v>
      </c>
      <c r="AC944" t="s">
        <v>18123</v>
      </c>
      <c r="AD944" t="s">
        <v>18124</v>
      </c>
      <c r="AE944" t="s">
        <v>18125</v>
      </c>
      <c r="AF944" t="s">
        <v>74</v>
      </c>
      <c r="AG944">
        <v>57</v>
      </c>
      <c r="AH944">
        <v>4</v>
      </c>
      <c r="AI944">
        <v>6</v>
      </c>
      <c r="AJ944">
        <v>2</v>
      </c>
      <c r="AK944">
        <v>13</v>
      </c>
      <c r="AL944" t="s">
        <v>3615</v>
      </c>
      <c r="AM944" t="s">
        <v>3616</v>
      </c>
      <c r="AN944" t="s">
        <v>3617</v>
      </c>
      <c r="AO944" t="s">
        <v>74</v>
      </c>
      <c r="AP944" t="s">
        <v>3990</v>
      </c>
      <c r="AQ944" t="s">
        <v>74</v>
      </c>
      <c r="AR944" t="s">
        <v>3991</v>
      </c>
      <c r="AS944" t="s">
        <v>3992</v>
      </c>
      <c r="AT944" t="s">
        <v>18126</v>
      </c>
      <c r="AU944">
        <v>2019</v>
      </c>
      <c r="AV944">
        <v>9</v>
      </c>
      <c r="AW944">
        <v>9</v>
      </c>
      <c r="AX944" t="s">
        <v>74</v>
      </c>
      <c r="AY944" t="s">
        <v>74</v>
      </c>
      <c r="AZ944" t="s">
        <v>74</v>
      </c>
      <c r="BA944" t="s">
        <v>74</v>
      </c>
      <c r="BB944" t="s">
        <v>74</v>
      </c>
      <c r="BC944" t="s">
        <v>74</v>
      </c>
      <c r="BD944">
        <v>1851</v>
      </c>
      <c r="BE944" t="s">
        <v>18127</v>
      </c>
      <c r="BF944" t="str">
        <f>HYPERLINK("http://dx.doi.org/10.3390/app9091851","http://dx.doi.org/10.3390/app9091851")</f>
        <v>http://dx.doi.org/10.3390/app9091851</v>
      </c>
      <c r="BG944" t="s">
        <v>74</v>
      </c>
      <c r="BH944" t="s">
        <v>74</v>
      </c>
      <c r="BI944">
        <v>21</v>
      </c>
      <c r="BJ944" t="s">
        <v>3995</v>
      </c>
      <c r="BK944" t="s">
        <v>101</v>
      </c>
      <c r="BL944" t="s">
        <v>3996</v>
      </c>
      <c r="BM944" t="s">
        <v>18128</v>
      </c>
      <c r="BN944" t="s">
        <v>74</v>
      </c>
      <c r="BO944" t="s">
        <v>366</v>
      </c>
      <c r="BP944" t="s">
        <v>74</v>
      </c>
      <c r="BQ944" t="s">
        <v>74</v>
      </c>
      <c r="BR944" t="s">
        <v>103</v>
      </c>
      <c r="BS944" t="s">
        <v>18129</v>
      </c>
      <c r="BT944" t="str">
        <f>HYPERLINK("https%3A%2F%2Fwww.webofscience.com%2Fwos%2Fwoscc%2Ffull-record%2FWOS:000469756000130","View Full Record in Web of Science")</f>
        <v>View Full Record in Web of Science</v>
      </c>
    </row>
    <row r="945" spans="1:72" x14ac:dyDescent="0.15">
      <c r="A945" t="s">
        <v>72</v>
      </c>
      <c r="B945" t="s">
        <v>18130</v>
      </c>
      <c r="C945" t="s">
        <v>74</v>
      </c>
      <c r="D945" t="s">
        <v>74</v>
      </c>
      <c r="E945" t="s">
        <v>74</v>
      </c>
      <c r="F945" t="s">
        <v>18131</v>
      </c>
      <c r="G945" t="s">
        <v>74</v>
      </c>
      <c r="H945" t="s">
        <v>74</v>
      </c>
      <c r="I945" t="s">
        <v>18132</v>
      </c>
      <c r="J945" t="s">
        <v>18133</v>
      </c>
      <c r="K945" t="s">
        <v>74</v>
      </c>
      <c r="L945" t="s">
        <v>74</v>
      </c>
      <c r="M945" t="s">
        <v>78</v>
      </c>
      <c r="N945" t="s">
        <v>108</v>
      </c>
      <c r="O945" t="s">
        <v>74</v>
      </c>
      <c r="P945" t="s">
        <v>74</v>
      </c>
      <c r="Q945" t="s">
        <v>74</v>
      </c>
      <c r="R945" t="s">
        <v>74</v>
      </c>
      <c r="S945" t="s">
        <v>74</v>
      </c>
      <c r="T945" t="s">
        <v>18134</v>
      </c>
      <c r="U945" t="s">
        <v>18135</v>
      </c>
      <c r="V945" t="s">
        <v>18136</v>
      </c>
      <c r="W945" t="s">
        <v>18137</v>
      </c>
      <c r="X945" t="s">
        <v>18138</v>
      </c>
      <c r="Y945" t="s">
        <v>18139</v>
      </c>
      <c r="Z945" t="s">
        <v>18140</v>
      </c>
      <c r="AA945" t="s">
        <v>74</v>
      </c>
      <c r="AB945" t="s">
        <v>18141</v>
      </c>
      <c r="AC945" t="s">
        <v>18142</v>
      </c>
      <c r="AD945" t="s">
        <v>5995</v>
      </c>
      <c r="AE945" t="s">
        <v>18143</v>
      </c>
      <c r="AF945" t="s">
        <v>74</v>
      </c>
      <c r="AG945">
        <v>32</v>
      </c>
      <c r="AH945">
        <v>10</v>
      </c>
      <c r="AI945">
        <v>11</v>
      </c>
      <c r="AJ945">
        <v>2</v>
      </c>
      <c r="AK945">
        <v>28</v>
      </c>
      <c r="AL945" t="s">
        <v>4145</v>
      </c>
      <c r="AM945" t="s">
        <v>303</v>
      </c>
      <c r="AN945" t="s">
        <v>4146</v>
      </c>
      <c r="AO945" t="s">
        <v>18144</v>
      </c>
      <c r="AP945" t="s">
        <v>74</v>
      </c>
      <c r="AQ945" t="s">
        <v>74</v>
      </c>
      <c r="AR945" t="s">
        <v>18145</v>
      </c>
      <c r="AS945" t="s">
        <v>18146</v>
      </c>
      <c r="AT945" t="s">
        <v>6581</v>
      </c>
      <c r="AU945">
        <v>2019</v>
      </c>
      <c r="AV945">
        <v>8</v>
      </c>
      <c r="AW945">
        <v>5</v>
      </c>
      <c r="AX945" t="s">
        <v>74</v>
      </c>
      <c r="AY945" t="s">
        <v>74</v>
      </c>
      <c r="AZ945" t="s">
        <v>74</v>
      </c>
      <c r="BA945" t="s">
        <v>74</v>
      </c>
      <c r="BB945" t="s">
        <v>74</v>
      </c>
      <c r="BC945" t="s">
        <v>74</v>
      </c>
      <c r="BD945" t="s">
        <v>18147</v>
      </c>
      <c r="BE945" t="s">
        <v>18148</v>
      </c>
      <c r="BF945" t="str">
        <f>HYPERLINK("http://dx.doi.org/10.1242/bio.041616","http://dx.doi.org/10.1242/bio.041616")</f>
        <v>http://dx.doi.org/10.1242/bio.041616</v>
      </c>
      <c r="BG945" t="s">
        <v>74</v>
      </c>
      <c r="BH945" t="s">
        <v>74</v>
      </c>
      <c r="BI945">
        <v>8</v>
      </c>
      <c r="BJ945" t="s">
        <v>1558</v>
      </c>
      <c r="BK945" t="s">
        <v>101</v>
      </c>
      <c r="BL945" t="s">
        <v>1559</v>
      </c>
      <c r="BM945" t="s">
        <v>18149</v>
      </c>
      <c r="BN945">
        <v>31023716</v>
      </c>
      <c r="BO945" t="s">
        <v>313</v>
      </c>
      <c r="BP945" t="s">
        <v>74</v>
      </c>
      <c r="BQ945" t="s">
        <v>74</v>
      </c>
      <c r="BR945" t="s">
        <v>103</v>
      </c>
      <c r="BS945" t="s">
        <v>18150</v>
      </c>
      <c r="BT945" t="str">
        <f>HYPERLINK("https%3A%2F%2Fwww.webofscience.com%2Fwos%2Fwoscc%2Ffull-record%2FWOS:000470125600014","View Full Record in Web of Science")</f>
        <v>View Full Record in Web of Science</v>
      </c>
    </row>
    <row r="946" spans="1:72" x14ac:dyDescent="0.15">
      <c r="A946" t="s">
        <v>72</v>
      </c>
      <c r="B946" t="s">
        <v>18151</v>
      </c>
      <c r="C946" t="s">
        <v>74</v>
      </c>
      <c r="D946" t="s">
        <v>74</v>
      </c>
      <c r="E946" t="s">
        <v>74</v>
      </c>
      <c r="F946" t="s">
        <v>18152</v>
      </c>
      <c r="G946" t="s">
        <v>74</v>
      </c>
      <c r="H946" t="s">
        <v>74</v>
      </c>
      <c r="I946" t="s">
        <v>18153</v>
      </c>
      <c r="J946" t="s">
        <v>5241</v>
      </c>
      <c r="K946" t="s">
        <v>74</v>
      </c>
      <c r="L946" t="s">
        <v>74</v>
      </c>
      <c r="M946" t="s">
        <v>78</v>
      </c>
      <c r="N946" t="s">
        <v>108</v>
      </c>
      <c r="O946" t="s">
        <v>74</v>
      </c>
      <c r="P946" t="s">
        <v>74</v>
      </c>
      <c r="Q946" t="s">
        <v>74</v>
      </c>
      <c r="R946" t="s">
        <v>74</v>
      </c>
      <c r="S946" t="s">
        <v>74</v>
      </c>
      <c r="T946" t="s">
        <v>18154</v>
      </c>
      <c r="U946" t="s">
        <v>18155</v>
      </c>
      <c r="V946" t="s">
        <v>18156</v>
      </c>
      <c r="W946" t="s">
        <v>18157</v>
      </c>
      <c r="X946" t="s">
        <v>18158</v>
      </c>
      <c r="Y946" t="s">
        <v>18159</v>
      </c>
      <c r="Z946" t="s">
        <v>18160</v>
      </c>
      <c r="AA946" t="s">
        <v>18161</v>
      </c>
      <c r="AB946" t="s">
        <v>18162</v>
      </c>
      <c r="AC946" t="s">
        <v>18163</v>
      </c>
      <c r="AD946" t="s">
        <v>18164</v>
      </c>
      <c r="AE946" t="s">
        <v>18165</v>
      </c>
      <c r="AF946" t="s">
        <v>74</v>
      </c>
      <c r="AG946">
        <v>134</v>
      </c>
      <c r="AH946">
        <v>43</v>
      </c>
      <c r="AI946">
        <v>46</v>
      </c>
      <c r="AJ946">
        <v>1</v>
      </c>
      <c r="AK946">
        <v>20</v>
      </c>
      <c r="AL946" t="s">
        <v>92</v>
      </c>
      <c r="AM946" t="s">
        <v>93</v>
      </c>
      <c r="AN946" t="s">
        <v>94</v>
      </c>
      <c r="AO946" t="s">
        <v>5254</v>
      </c>
      <c r="AP946" t="s">
        <v>5255</v>
      </c>
      <c r="AQ946" t="s">
        <v>74</v>
      </c>
      <c r="AR946" t="s">
        <v>5256</v>
      </c>
      <c r="AS946" t="s">
        <v>5257</v>
      </c>
      <c r="AT946" t="s">
        <v>6581</v>
      </c>
      <c r="AU946">
        <v>2019</v>
      </c>
      <c r="AV946">
        <v>147</v>
      </c>
      <c r="AW946" t="s">
        <v>74</v>
      </c>
      <c r="AX946" t="s">
        <v>74</v>
      </c>
      <c r="AY946" t="s">
        <v>74</v>
      </c>
      <c r="AZ946" t="s">
        <v>74</v>
      </c>
      <c r="BA946" t="s">
        <v>74</v>
      </c>
      <c r="BB946">
        <v>79</v>
      </c>
      <c r="BC946">
        <v>99</v>
      </c>
      <c r="BD946" t="s">
        <v>74</v>
      </c>
      <c r="BE946" t="s">
        <v>18166</v>
      </c>
      <c r="BF946" t="str">
        <f>HYPERLINK("http://dx.doi.org/10.1016/j.dsr.2019.03.012","http://dx.doi.org/10.1016/j.dsr.2019.03.012")</f>
        <v>http://dx.doi.org/10.1016/j.dsr.2019.03.012</v>
      </c>
      <c r="BG946" t="s">
        <v>74</v>
      </c>
      <c r="BH946" t="s">
        <v>74</v>
      </c>
      <c r="BI946">
        <v>21</v>
      </c>
      <c r="BJ946" t="s">
        <v>100</v>
      </c>
      <c r="BK946" t="s">
        <v>101</v>
      </c>
      <c r="BL946" t="s">
        <v>100</v>
      </c>
      <c r="BM946" t="s">
        <v>18167</v>
      </c>
      <c r="BN946" t="s">
        <v>74</v>
      </c>
      <c r="BO946" t="s">
        <v>1648</v>
      </c>
      <c r="BP946" t="s">
        <v>74</v>
      </c>
      <c r="BQ946" t="s">
        <v>74</v>
      </c>
      <c r="BR946" t="s">
        <v>103</v>
      </c>
      <c r="BS946" t="s">
        <v>18168</v>
      </c>
      <c r="BT946" t="str">
        <f>HYPERLINK("https%3A%2F%2Fwww.webofscience.com%2Fwos%2Fwoscc%2Ffull-record%2FWOS:000470043200007","View Full Record in Web of Science")</f>
        <v>View Full Record in Web of Science</v>
      </c>
    </row>
    <row r="947" spans="1:72" x14ac:dyDescent="0.15">
      <c r="A947" t="s">
        <v>72</v>
      </c>
      <c r="B947" t="s">
        <v>18169</v>
      </c>
      <c r="C947" t="s">
        <v>74</v>
      </c>
      <c r="D947" t="s">
        <v>74</v>
      </c>
      <c r="E947" t="s">
        <v>74</v>
      </c>
      <c r="F947" t="s">
        <v>18170</v>
      </c>
      <c r="G947" t="s">
        <v>74</v>
      </c>
      <c r="H947" t="s">
        <v>74</v>
      </c>
      <c r="I947" t="s">
        <v>18171</v>
      </c>
      <c r="J947" t="s">
        <v>5241</v>
      </c>
      <c r="K947" t="s">
        <v>74</v>
      </c>
      <c r="L947" t="s">
        <v>74</v>
      </c>
      <c r="M947" t="s">
        <v>78</v>
      </c>
      <c r="N947" t="s">
        <v>108</v>
      </c>
      <c r="O947" t="s">
        <v>74</v>
      </c>
      <c r="P947" t="s">
        <v>74</v>
      </c>
      <c r="Q947" t="s">
        <v>74</v>
      </c>
      <c r="R947" t="s">
        <v>74</v>
      </c>
      <c r="S947" t="s">
        <v>74</v>
      </c>
      <c r="T947" t="s">
        <v>74</v>
      </c>
      <c r="U947" t="s">
        <v>18172</v>
      </c>
      <c r="V947" t="s">
        <v>18173</v>
      </c>
      <c r="W947" t="s">
        <v>18174</v>
      </c>
      <c r="X947" t="s">
        <v>18175</v>
      </c>
      <c r="Y947" t="s">
        <v>18176</v>
      </c>
      <c r="Z947" t="s">
        <v>18177</v>
      </c>
      <c r="AA947" t="s">
        <v>74</v>
      </c>
      <c r="AB947" t="s">
        <v>74</v>
      </c>
      <c r="AC947" t="s">
        <v>74</v>
      </c>
      <c r="AD947" t="s">
        <v>74</v>
      </c>
      <c r="AE947" t="s">
        <v>74</v>
      </c>
      <c r="AF947" t="s">
        <v>74</v>
      </c>
      <c r="AG947">
        <v>25</v>
      </c>
      <c r="AH947">
        <v>4</v>
      </c>
      <c r="AI947">
        <v>4</v>
      </c>
      <c r="AJ947">
        <v>2</v>
      </c>
      <c r="AK947">
        <v>23</v>
      </c>
      <c r="AL947" t="s">
        <v>92</v>
      </c>
      <c r="AM947" t="s">
        <v>93</v>
      </c>
      <c r="AN947" t="s">
        <v>94</v>
      </c>
      <c r="AO947" t="s">
        <v>5254</v>
      </c>
      <c r="AP947" t="s">
        <v>5255</v>
      </c>
      <c r="AQ947" t="s">
        <v>74</v>
      </c>
      <c r="AR947" t="s">
        <v>5256</v>
      </c>
      <c r="AS947" t="s">
        <v>5257</v>
      </c>
      <c r="AT947" t="s">
        <v>6581</v>
      </c>
      <c r="AU947">
        <v>2019</v>
      </c>
      <c r="AV947">
        <v>147</v>
      </c>
      <c r="AW947" t="s">
        <v>74</v>
      </c>
      <c r="AX947" t="s">
        <v>74</v>
      </c>
      <c r="AY947" t="s">
        <v>74</v>
      </c>
      <c r="AZ947" t="s">
        <v>74</v>
      </c>
      <c r="BA947" t="s">
        <v>74</v>
      </c>
      <c r="BB947">
        <v>121</v>
      </c>
      <c r="BC947">
        <v>127</v>
      </c>
      <c r="BD947" t="s">
        <v>74</v>
      </c>
      <c r="BE947" t="s">
        <v>18178</v>
      </c>
      <c r="BF947" t="str">
        <f>HYPERLINK("http://dx.doi.org/10.1016/j.dsr.2019.04.008","http://dx.doi.org/10.1016/j.dsr.2019.04.008")</f>
        <v>http://dx.doi.org/10.1016/j.dsr.2019.04.008</v>
      </c>
      <c r="BG947" t="s">
        <v>74</v>
      </c>
      <c r="BH947" t="s">
        <v>74</v>
      </c>
      <c r="BI947">
        <v>7</v>
      </c>
      <c r="BJ947" t="s">
        <v>100</v>
      </c>
      <c r="BK947" t="s">
        <v>101</v>
      </c>
      <c r="BL947" t="s">
        <v>100</v>
      </c>
      <c r="BM947" t="s">
        <v>18167</v>
      </c>
      <c r="BN947" t="s">
        <v>74</v>
      </c>
      <c r="BO947" t="s">
        <v>74</v>
      </c>
      <c r="BP947" t="s">
        <v>74</v>
      </c>
      <c r="BQ947" t="s">
        <v>74</v>
      </c>
      <c r="BR947" t="s">
        <v>103</v>
      </c>
      <c r="BS947" t="s">
        <v>18179</v>
      </c>
      <c r="BT947" t="str">
        <f>HYPERLINK("https%3A%2F%2Fwww.webofscience.com%2Fwos%2Fwoscc%2Ffull-record%2FWOS:000470043200010","View Full Record in Web of Science")</f>
        <v>View Full Record in Web of Science</v>
      </c>
    </row>
    <row r="948" spans="1:72" x14ac:dyDescent="0.15">
      <c r="A948" t="s">
        <v>72</v>
      </c>
      <c r="B948" t="s">
        <v>18180</v>
      </c>
      <c r="C948" t="s">
        <v>74</v>
      </c>
      <c r="D948" t="s">
        <v>74</v>
      </c>
      <c r="E948" t="s">
        <v>74</v>
      </c>
      <c r="F948" t="s">
        <v>18181</v>
      </c>
      <c r="G948" t="s">
        <v>74</v>
      </c>
      <c r="H948" t="s">
        <v>74</v>
      </c>
      <c r="I948" t="s">
        <v>18182</v>
      </c>
      <c r="J948" t="s">
        <v>5241</v>
      </c>
      <c r="K948" t="s">
        <v>74</v>
      </c>
      <c r="L948" t="s">
        <v>74</v>
      </c>
      <c r="M948" t="s">
        <v>78</v>
      </c>
      <c r="N948" t="s">
        <v>108</v>
      </c>
      <c r="O948" t="s">
        <v>74</v>
      </c>
      <c r="P948" t="s">
        <v>74</v>
      </c>
      <c r="Q948" t="s">
        <v>74</v>
      </c>
      <c r="R948" t="s">
        <v>74</v>
      </c>
      <c r="S948" t="s">
        <v>74</v>
      </c>
      <c r="T948" t="s">
        <v>18183</v>
      </c>
      <c r="U948" t="s">
        <v>18184</v>
      </c>
      <c r="V948" t="s">
        <v>18185</v>
      </c>
      <c r="W948" t="s">
        <v>18186</v>
      </c>
      <c r="X948" t="s">
        <v>18187</v>
      </c>
      <c r="Y948" t="s">
        <v>18188</v>
      </c>
      <c r="Z948" t="s">
        <v>18189</v>
      </c>
      <c r="AA948" t="s">
        <v>18190</v>
      </c>
      <c r="AB948" t="s">
        <v>18191</v>
      </c>
      <c r="AC948" t="s">
        <v>18192</v>
      </c>
      <c r="AD948" t="s">
        <v>18193</v>
      </c>
      <c r="AE948" t="s">
        <v>18194</v>
      </c>
      <c r="AF948" t="s">
        <v>74</v>
      </c>
      <c r="AG948">
        <v>115</v>
      </c>
      <c r="AH948">
        <v>13</v>
      </c>
      <c r="AI948">
        <v>13</v>
      </c>
      <c r="AJ948">
        <v>2</v>
      </c>
      <c r="AK948">
        <v>13</v>
      </c>
      <c r="AL948" t="s">
        <v>92</v>
      </c>
      <c r="AM948" t="s">
        <v>93</v>
      </c>
      <c r="AN948" t="s">
        <v>94</v>
      </c>
      <c r="AO948" t="s">
        <v>5254</v>
      </c>
      <c r="AP948" t="s">
        <v>5255</v>
      </c>
      <c r="AQ948" t="s">
        <v>74</v>
      </c>
      <c r="AR948" t="s">
        <v>5256</v>
      </c>
      <c r="AS948" t="s">
        <v>5257</v>
      </c>
      <c r="AT948" t="s">
        <v>6581</v>
      </c>
      <c r="AU948">
        <v>2019</v>
      </c>
      <c r="AV948">
        <v>147</v>
      </c>
      <c r="AW948" t="s">
        <v>74</v>
      </c>
      <c r="AX948" t="s">
        <v>74</v>
      </c>
      <c r="AY948" t="s">
        <v>74</v>
      </c>
      <c r="AZ948" t="s">
        <v>74</v>
      </c>
      <c r="BA948" t="s">
        <v>74</v>
      </c>
      <c r="BB948">
        <v>128</v>
      </c>
      <c r="BC948">
        <v>145</v>
      </c>
      <c r="BD948" t="s">
        <v>74</v>
      </c>
      <c r="BE948" t="s">
        <v>18195</v>
      </c>
      <c r="BF948" t="str">
        <f>HYPERLINK("http://dx.doi.org/10.1016/j.dsr.2019.04.009","http://dx.doi.org/10.1016/j.dsr.2019.04.009")</f>
        <v>http://dx.doi.org/10.1016/j.dsr.2019.04.009</v>
      </c>
      <c r="BG948" t="s">
        <v>74</v>
      </c>
      <c r="BH948" t="s">
        <v>74</v>
      </c>
      <c r="BI948">
        <v>18</v>
      </c>
      <c r="BJ948" t="s">
        <v>100</v>
      </c>
      <c r="BK948" t="s">
        <v>101</v>
      </c>
      <c r="BL948" t="s">
        <v>100</v>
      </c>
      <c r="BM948" t="s">
        <v>18167</v>
      </c>
      <c r="BN948" t="s">
        <v>74</v>
      </c>
      <c r="BO948" t="s">
        <v>6963</v>
      </c>
      <c r="BP948" t="s">
        <v>74</v>
      </c>
      <c r="BQ948" t="s">
        <v>74</v>
      </c>
      <c r="BR948" t="s">
        <v>103</v>
      </c>
      <c r="BS948" t="s">
        <v>18196</v>
      </c>
      <c r="BT948" t="str">
        <f>HYPERLINK("https%3A%2F%2Fwww.webofscience.com%2Fwos%2Fwoscc%2Ffull-record%2FWOS:000470043200011","View Full Record in Web of Science")</f>
        <v>View Full Record in Web of Science</v>
      </c>
    </row>
    <row r="949" spans="1:72" x14ac:dyDescent="0.15">
      <c r="A949" t="s">
        <v>72</v>
      </c>
      <c r="B949" t="s">
        <v>18197</v>
      </c>
      <c r="C949" t="s">
        <v>74</v>
      </c>
      <c r="D949" t="s">
        <v>74</v>
      </c>
      <c r="E949" t="s">
        <v>74</v>
      </c>
      <c r="F949" t="s">
        <v>18198</v>
      </c>
      <c r="G949" t="s">
        <v>74</v>
      </c>
      <c r="H949" t="s">
        <v>74</v>
      </c>
      <c r="I949" t="s">
        <v>18199</v>
      </c>
      <c r="J949" t="s">
        <v>3300</v>
      </c>
      <c r="K949" t="s">
        <v>74</v>
      </c>
      <c r="L949" t="s">
        <v>74</v>
      </c>
      <c r="M949" t="s">
        <v>78</v>
      </c>
      <c r="N949" t="s">
        <v>108</v>
      </c>
      <c r="O949" t="s">
        <v>74</v>
      </c>
      <c r="P949" t="s">
        <v>74</v>
      </c>
      <c r="Q949" t="s">
        <v>74</v>
      </c>
      <c r="R949" t="s">
        <v>74</v>
      </c>
      <c r="S949" t="s">
        <v>74</v>
      </c>
      <c r="T949" t="s">
        <v>74</v>
      </c>
      <c r="U949" t="s">
        <v>18200</v>
      </c>
      <c r="V949" t="s">
        <v>18201</v>
      </c>
      <c r="W949" t="s">
        <v>18202</v>
      </c>
      <c r="X949" t="s">
        <v>18203</v>
      </c>
      <c r="Y949" t="s">
        <v>18204</v>
      </c>
      <c r="Z949" t="s">
        <v>18205</v>
      </c>
      <c r="AA949" t="s">
        <v>18206</v>
      </c>
      <c r="AB949" t="s">
        <v>18207</v>
      </c>
      <c r="AC949" t="s">
        <v>18208</v>
      </c>
      <c r="AD949" t="s">
        <v>18209</v>
      </c>
      <c r="AE949" t="s">
        <v>18210</v>
      </c>
      <c r="AF949" t="s">
        <v>74</v>
      </c>
      <c r="AG949">
        <v>87</v>
      </c>
      <c r="AH949">
        <v>15</v>
      </c>
      <c r="AI949">
        <v>16</v>
      </c>
      <c r="AJ949">
        <v>2</v>
      </c>
      <c r="AK949">
        <v>17</v>
      </c>
      <c r="AL949" t="s">
        <v>182</v>
      </c>
      <c r="AM949" t="s">
        <v>183</v>
      </c>
      <c r="AN949" t="s">
        <v>184</v>
      </c>
      <c r="AO949" t="s">
        <v>3313</v>
      </c>
      <c r="AP949" t="s">
        <v>3314</v>
      </c>
      <c r="AQ949" t="s">
        <v>74</v>
      </c>
      <c r="AR949" t="s">
        <v>3315</v>
      </c>
      <c r="AS949" t="s">
        <v>3316</v>
      </c>
      <c r="AT949" t="s">
        <v>6581</v>
      </c>
      <c r="AU949">
        <v>2019</v>
      </c>
      <c r="AV949">
        <v>33</v>
      </c>
      <c r="AW949">
        <v>5</v>
      </c>
      <c r="AX949" t="s">
        <v>74</v>
      </c>
      <c r="AY949" t="s">
        <v>74</v>
      </c>
      <c r="AZ949" t="s">
        <v>74</v>
      </c>
      <c r="BA949" t="s">
        <v>74</v>
      </c>
      <c r="BB949">
        <v>570</v>
      </c>
      <c r="BC949">
        <v>596</v>
      </c>
      <c r="BD949" t="s">
        <v>74</v>
      </c>
      <c r="BE949" t="s">
        <v>18211</v>
      </c>
      <c r="BF949" t="str">
        <f>HYPERLINK("http://dx.doi.org/10.1029/2018GB006168","http://dx.doi.org/10.1029/2018GB006168")</f>
        <v>http://dx.doi.org/10.1029/2018GB006168</v>
      </c>
      <c r="BG949" t="s">
        <v>74</v>
      </c>
      <c r="BH949" t="s">
        <v>74</v>
      </c>
      <c r="BI949">
        <v>27</v>
      </c>
      <c r="BJ949" t="s">
        <v>3318</v>
      </c>
      <c r="BK949" t="s">
        <v>101</v>
      </c>
      <c r="BL949" t="s">
        <v>3319</v>
      </c>
      <c r="BM949" t="s">
        <v>18212</v>
      </c>
      <c r="BN949" t="s">
        <v>74</v>
      </c>
      <c r="BO949" t="s">
        <v>6963</v>
      </c>
      <c r="BP949" t="s">
        <v>74</v>
      </c>
      <c r="BQ949" t="s">
        <v>74</v>
      </c>
      <c r="BR949" t="s">
        <v>103</v>
      </c>
      <c r="BS949" t="s">
        <v>18213</v>
      </c>
      <c r="BT949" t="str">
        <f>HYPERLINK("https%3A%2F%2Fwww.webofscience.com%2Fwos%2Fwoscc%2Ffull-record%2FWOS:000470318300004","View Full Record in Web of Science")</f>
        <v>View Full Record in Web of Science</v>
      </c>
    </row>
    <row r="950" spans="1:72" x14ac:dyDescent="0.15">
      <c r="A950" t="s">
        <v>72</v>
      </c>
      <c r="B950" t="s">
        <v>18214</v>
      </c>
      <c r="C950" t="s">
        <v>74</v>
      </c>
      <c r="D950" t="s">
        <v>74</v>
      </c>
      <c r="E950" t="s">
        <v>74</v>
      </c>
      <c r="F950" t="s">
        <v>18215</v>
      </c>
      <c r="G950" t="s">
        <v>74</v>
      </c>
      <c r="H950" t="s">
        <v>74</v>
      </c>
      <c r="I950" t="s">
        <v>18216</v>
      </c>
      <c r="J950" t="s">
        <v>3300</v>
      </c>
      <c r="K950" t="s">
        <v>74</v>
      </c>
      <c r="L950" t="s">
        <v>74</v>
      </c>
      <c r="M950" t="s">
        <v>78</v>
      </c>
      <c r="N950" t="s">
        <v>108</v>
      </c>
      <c r="O950" t="s">
        <v>74</v>
      </c>
      <c r="P950" t="s">
        <v>74</v>
      </c>
      <c r="Q950" t="s">
        <v>74</v>
      </c>
      <c r="R950" t="s">
        <v>74</v>
      </c>
      <c r="S950" t="s">
        <v>74</v>
      </c>
      <c r="T950" t="s">
        <v>74</v>
      </c>
      <c r="U950" t="s">
        <v>18217</v>
      </c>
      <c r="V950" t="s">
        <v>18218</v>
      </c>
      <c r="W950" t="s">
        <v>18219</v>
      </c>
      <c r="X950" t="s">
        <v>18220</v>
      </c>
      <c r="Y950" t="s">
        <v>18221</v>
      </c>
      <c r="Z950" t="s">
        <v>18222</v>
      </c>
      <c r="AA950" t="s">
        <v>18223</v>
      </c>
      <c r="AB950" t="s">
        <v>18224</v>
      </c>
      <c r="AC950" t="s">
        <v>18225</v>
      </c>
      <c r="AD950" t="s">
        <v>18226</v>
      </c>
      <c r="AE950" t="s">
        <v>18227</v>
      </c>
      <c r="AF950" t="s">
        <v>74</v>
      </c>
      <c r="AG950">
        <v>92</v>
      </c>
      <c r="AH950">
        <v>38</v>
      </c>
      <c r="AI950">
        <v>39</v>
      </c>
      <c r="AJ950">
        <v>0</v>
      </c>
      <c r="AK950">
        <v>23</v>
      </c>
      <c r="AL950" t="s">
        <v>182</v>
      </c>
      <c r="AM950" t="s">
        <v>183</v>
      </c>
      <c r="AN950" t="s">
        <v>184</v>
      </c>
      <c r="AO950" t="s">
        <v>3313</v>
      </c>
      <c r="AP950" t="s">
        <v>3314</v>
      </c>
      <c r="AQ950" t="s">
        <v>74</v>
      </c>
      <c r="AR950" t="s">
        <v>3315</v>
      </c>
      <c r="AS950" t="s">
        <v>3316</v>
      </c>
      <c r="AT950" t="s">
        <v>6581</v>
      </c>
      <c r="AU950">
        <v>2019</v>
      </c>
      <c r="AV950">
        <v>33</v>
      </c>
      <c r="AW950">
        <v>5</v>
      </c>
      <c r="AX950" t="s">
        <v>74</v>
      </c>
      <c r="AY950" t="s">
        <v>74</v>
      </c>
      <c r="AZ950" t="s">
        <v>74</v>
      </c>
      <c r="BA950" t="s">
        <v>74</v>
      </c>
      <c r="BB950">
        <v>597</v>
      </c>
      <c r="BC950">
        <v>617</v>
      </c>
      <c r="BD950" t="s">
        <v>74</v>
      </c>
      <c r="BE950" t="s">
        <v>18228</v>
      </c>
      <c r="BF950" t="str">
        <f>HYPERLINK("http://dx.doi.org/10.1029/2018GB006154","http://dx.doi.org/10.1029/2018GB006154")</f>
        <v>http://dx.doi.org/10.1029/2018GB006154</v>
      </c>
      <c r="BG950" t="s">
        <v>74</v>
      </c>
      <c r="BH950" t="s">
        <v>74</v>
      </c>
      <c r="BI950">
        <v>21</v>
      </c>
      <c r="BJ950" t="s">
        <v>3318</v>
      </c>
      <c r="BK950" t="s">
        <v>101</v>
      </c>
      <c r="BL950" t="s">
        <v>3319</v>
      </c>
      <c r="BM950" t="s">
        <v>18212</v>
      </c>
      <c r="BN950" t="s">
        <v>74</v>
      </c>
      <c r="BO950" t="s">
        <v>2337</v>
      </c>
      <c r="BP950" t="s">
        <v>74</v>
      </c>
      <c r="BQ950" t="s">
        <v>74</v>
      </c>
      <c r="BR950" t="s">
        <v>103</v>
      </c>
      <c r="BS950" t="s">
        <v>18229</v>
      </c>
      <c r="BT950" t="str">
        <f>HYPERLINK("https%3A%2F%2Fwww.webofscience.com%2Fwos%2Fwoscc%2Ffull-record%2FWOS:000470318300005","View Full Record in Web of Science")</f>
        <v>View Full Record in Web of Science</v>
      </c>
    </row>
    <row r="951" spans="1:72" x14ac:dyDescent="0.15">
      <c r="A951" t="s">
        <v>72</v>
      </c>
      <c r="B951" t="s">
        <v>18230</v>
      </c>
      <c r="C951" t="s">
        <v>74</v>
      </c>
      <c r="D951" t="s">
        <v>74</v>
      </c>
      <c r="E951" t="s">
        <v>74</v>
      </c>
      <c r="F951" t="s">
        <v>18231</v>
      </c>
      <c r="G951" t="s">
        <v>74</v>
      </c>
      <c r="H951" t="s">
        <v>74</v>
      </c>
      <c r="I951" t="s">
        <v>18232</v>
      </c>
      <c r="J951" t="s">
        <v>18233</v>
      </c>
      <c r="K951" t="s">
        <v>74</v>
      </c>
      <c r="L951" t="s">
        <v>74</v>
      </c>
      <c r="M951" t="s">
        <v>78</v>
      </c>
      <c r="N951" t="s">
        <v>108</v>
      </c>
      <c r="O951" t="s">
        <v>74</v>
      </c>
      <c r="P951" t="s">
        <v>74</v>
      </c>
      <c r="Q951" t="s">
        <v>74</v>
      </c>
      <c r="R951" t="s">
        <v>74</v>
      </c>
      <c r="S951" t="s">
        <v>74</v>
      </c>
      <c r="T951" t="s">
        <v>18234</v>
      </c>
      <c r="U951" t="s">
        <v>18235</v>
      </c>
      <c r="V951" t="s">
        <v>18236</v>
      </c>
      <c r="W951" t="s">
        <v>18237</v>
      </c>
      <c r="X951" t="s">
        <v>18238</v>
      </c>
      <c r="Y951" t="s">
        <v>18239</v>
      </c>
      <c r="Z951" t="s">
        <v>18240</v>
      </c>
      <c r="AA951" t="s">
        <v>18241</v>
      </c>
      <c r="AB951" t="s">
        <v>18242</v>
      </c>
      <c r="AC951" t="s">
        <v>18243</v>
      </c>
      <c r="AD951" t="s">
        <v>18244</v>
      </c>
      <c r="AE951" t="s">
        <v>18245</v>
      </c>
      <c r="AF951" t="s">
        <v>74</v>
      </c>
      <c r="AG951">
        <v>183</v>
      </c>
      <c r="AH951">
        <v>121</v>
      </c>
      <c r="AI951">
        <v>125</v>
      </c>
      <c r="AJ951">
        <v>5</v>
      </c>
      <c r="AK951">
        <v>81</v>
      </c>
      <c r="AL951" t="s">
        <v>438</v>
      </c>
      <c r="AM951" t="s">
        <v>439</v>
      </c>
      <c r="AN951" t="s">
        <v>440</v>
      </c>
      <c r="AO951" t="s">
        <v>18246</v>
      </c>
      <c r="AP951" t="s">
        <v>18247</v>
      </c>
      <c r="AQ951" t="s">
        <v>74</v>
      </c>
      <c r="AR951" t="s">
        <v>18248</v>
      </c>
      <c r="AS951" t="s">
        <v>18249</v>
      </c>
      <c r="AT951" t="s">
        <v>6581</v>
      </c>
      <c r="AU951">
        <v>2019</v>
      </c>
      <c r="AV951">
        <v>108</v>
      </c>
      <c r="AW951" t="s">
        <v>74</v>
      </c>
      <c r="AX951" t="s">
        <v>74</v>
      </c>
      <c r="AY951" t="s">
        <v>74</v>
      </c>
      <c r="AZ951" t="s">
        <v>730</v>
      </c>
      <c r="BA951" t="s">
        <v>74</v>
      </c>
      <c r="BB951">
        <v>112</v>
      </c>
      <c r="BC951">
        <v>133</v>
      </c>
      <c r="BD951" t="s">
        <v>74</v>
      </c>
      <c r="BE951" t="s">
        <v>18250</v>
      </c>
      <c r="BF951" t="str">
        <f>HYPERLINK("http://dx.doi.org/10.1016/j.oregeorev.2017.07.018","http://dx.doi.org/10.1016/j.oregeorev.2017.07.018")</f>
        <v>http://dx.doi.org/10.1016/j.oregeorev.2017.07.018</v>
      </c>
      <c r="BG951" t="s">
        <v>74</v>
      </c>
      <c r="BH951" t="s">
        <v>74</v>
      </c>
      <c r="BI951">
        <v>22</v>
      </c>
      <c r="BJ951" t="s">
        <v>18251</v>
      </c>
      <c r="BK951" t="s">
        <v>101</v>
      </c>
      <c r="BL951" t="s">
        <v>18251</v>
      </c>
      <c r="BM951" t="s">
        <v>18252</v>
      </c>
      <c r="BN951" t="s">
        <v>74</v>
      </c>
      <c r="BO951" t="s">
        <v>74</v>
      </c>
      <c r="BP951" t="s">
        <v>74</v>
      </c>
      <c r="BQ951" t="s">
        <v>74</v>
      </c>
      <c r="BR951" t="s">
        <v>103</v>
      </c>
      <c r="BS951" t="s">
        <v>18253</v>
      </c>
      <c r="BT951" t="str">
        <f>HYPERLINK("https%3A%2F%2Fwww.webofscience.com%2Fwos%2Fwoscc%2Ffull-record%2FWOS:000470042000009","View Full Record in Web of Science")</f>
        <v>View Full Record in Web of Science</v>
      </c>
    </row>
    <row r="952" spans="1:72" x14ac:dyDescent="0.15">
      <c r="A952" t="s">
        <v>72</v>
      </c>
      <c r="B952" t="s">
        <v>18254</v>
      </c>
      <c r="C952" t="s">
        <v>74</v>
      </c>
      <c r="D952" t="s">
        <v>74</v>
      </c>
      <c r="E952" t="s">
        <v>74</v>
      </c>
      <c r="F952" t="s">
        <v>18255</v>
      </c>
      <c r="G952" t="s">
        <v>74</v>
      </c>
      <c r="H952" t="s">
        <v>74</v>
      </c>
      <c r="I952" t="s">
        <v>18256</v>
      </c>
      <c r="J952" t="s">
        <v>3630</v>
      </c>
      <c r="K952" t="s">
        <v>74</v>
      </c>
      <c r="L952" t="s">
        <v>74</v>
      </c>
      <c r="M952" t="s">
        <v>78</v>
      </c>
      <c r="N952" t="s">
        <v>108</v>
      </c>
      <c r="O952" t="s">
        <v>74</v>
      </c>
      <c r="P952" t="s">
        <v>74</v>
      </c>
      <c r="Q952" t="s">
        <v>74</v>
      </c>
      <c r="R952" t="s">
        <v>74</v>
      </c>
      <c r="S952" t="s">
        <v>74</v>
      </c>
      <c r="T952" t="s">
        <v>18257</v>
      </c>
      <c r="U952" t="s">
        <v>18258</v>
      </c>
      <c r="V952" t="s">
        <v>18259</v>
      </c>
      <c r="W952" t="s">
        <v>18260</v>
      </c>
      <c r="X952" t="s">
        <v>18261</v>
      </c>
      <c r="Y952" t="s">
        <v>18262</v>
      </c>
      <c r="Z952" t="s">
        <v>18263</v>
      </c>
      <c r="AA952" t="s">
        <v>18264</v>
      </c>
      <c r="AB952" t="s">
        <v>18265</v>
      </c>
      <c r="AC952" t="s">
        <v>18266</v>
      </c>
      <c r="AD952" t="s">
        <v>18267</v>
      </c>
      <c r="AE952" t="s">
        <v>18268</v>
      </c>
      <c r="AF952" t="s">
        <v>74</v>
      </c>
      <c r="AG952">
        <v>52</v>
      </c>
      <c r="AH952">
        <v>13</v>
      </c>
      <c r="AI952">
        <v>13</v>
      </c>
      <c r="AJ952">
        <v>0</v>
      </c>
      <c r="AK952">
        <v>6</v>
      </c>
      <c r="AL952" t="s">
        <v>3615</v>
      </c>
      <c r="AM952" t="s">
        <v>3616</v>
      </c>
      <c r="AN952" t="s">
        <v>3617</v>
      </c>
      <c r="AO952" t="s">
        <v>3643</v>
      </c>
      <c r="AP952" t="s">
        <v>74</v>
      </c>
      <c r="AQ952" t="s">
        <v>74</v>
      </c>
      <c r="AR952" t="s">
        <v>3644</v>
      </c>
      <c r="AS952" t="s">
        <v>3645</v>
      </c>
      <c r="AT952" t="s">
        <v>18126</v>
      </c>
      <c r="AU952">
        <v>2019</v>
      </c>
      <c r="AV952">
        <v>11</v>
      </c>
      <c r="AW952">
        <v>9</v>
      </c>
      <c r="AX952" t="s">
        <v>74</v>
      </c>
      <c r="AY952" t="s">
        <v>74</v>
      </c>
      <c r="AZ952" t="s">
        <v>74</v>
      </c>
      <c r="BA952" t="s">
        <v>74</v>
      </c>
      <c r="BB952" t="s">
        <v>74</v>
      </c>
      <c r="BC952" t="s">
        <v>74</v>
      </c>
      <c r="BD952">
        <v>1034</v>
      </c>
      <c r="BE952" t="s">
        <v>18269</v>
      </c>
      <c r="BF952" t="str">
        <f>HYPERLINK("http://dx.doi.org/10.3390/rs11091034","http://dx.doi.org/10.3390/rs11091034")</f>
        <v>http://dx.doi.org/10.3390/rs11091034</v>
      </c>
      <c r="BG952" t="s">
        <v>74</v>
      </c>
      <c r="BH952" t="s">
        <v>74</v>
      </c>
      <c r="BI952">
        <v>18</v>
      </c>
      <c r="BJ952" t="s">
        <v>3647</v>
      </c>
      <c r="BK952" t="s">
        <v>101</v>
      </c>
      <c r="BL952" t="s">
        <v>3648</v>
      </c>
      <c r="BM952" t="s">
        <v>18270</v>
      </c>
      <c r="BN952" t="s">
        <v>74</v>
      </c>
      <c r="BO952" t="s">
        <v>313</v>
      </c>
      <c r="BP952" t="s">
        <v>74</v>
      </c>
      <c r="BQ952" t="s">
        <v>74</v>
      </c>
      <c r="BR952" t="s">
        <v>103</v>
      </c>
      <c r="BS952" t="s">
        <v>18271</v>
      </c>
      <c r="BT952" t="str">
        <f>HYPERLINK("https%3A%2F%2Fwww.webofscience.com%2Fwos%2Fwoscc%2Ffull-record%2FWOS:000469763600042","View Full Record in Web of Science")</f>
        <v>View Full Record in Web of Science</v>
      </c>
    </row>
    <row r="953" spans="1:72" x14ac:dyDescent="0.15">
      <c r="A953" t="s">
        <v>72</v>
      </c>
      <c r="B953" t="s">
        <v>18272</v>
      </c>
      <c r="C953" t="s">
        <v>74</v>
      </c>
      <c r="D953" t="s">
        <v>74</v>
      </c>
      <c r="E953" t="s">
        <v>74</v>
      </c>
      <c r="F953" t="s">
        <v>18273</v>
      </c>
      <c r="G953" t="s">
        <v>74</v>
      </c>
      <c r="H953" t="s">
        <v>74</v>
      </c>
      <c r="I953" t="s">
        <v>18274</v>
      </c>
      <c r="J953" t="s">
        <v>3275</v>
      </c>
      <c r="K953" t="s">
        <v>74</v>
      </c>
      <c r="L953" t="s">
        <v>74</v>
      </c>
      <c r="M953" t="s">
        <v>78</v>
      </c>
      <c r="N953" t="s">
        <v>108</v>
      </c>
      <c r="O953" t="s">
        <v>74</v>
      </c>
      <c r="P953" t="s">
        <v>74</v>
      </c>
      <c r="Q953" t="s">
        <v>74</v>
      </c>
      <c r="R953" t="s">
        <v>74</v>
      </c>
      <c r="S953" t="s">
        <v>74</v>
      </c>
      <c r="T953" t="s">
        <v>74</v>
      </c>
      <c r="U953" t="s">
        <v>18275</v>
      </c>
      <c r="V953" t="s">
        <v>18276</v>
      </c>
      <c r="W953" t="s">
        <v>18277</v>
      </c>
      <c r="X953" t="s">
        <v>18278</v>
      </c>
      <c r="Y953" t="s">
        <v>18279</v>
      </c>
      <c r="Z953" t="s">
        <v>18280</v>
      </c>
      <c r="AA953" t="s">
        <v>18281</v>
      </c>
      <c r="AB953" t="s">
        <v>18282</v>
      </c>
      <c r="AC953" t="s">
        <v>18283</v>
      </c>
      <c r="AD953" t="s">
        <v>18284</v>
      </c>
      <c r="AE953" t="s">
        <v>18285</v>
      </c>
      <c r="AF953" t="s">
        <v>74</v>
      </c>
      <c r="AG953">
        <v>60</v>
      </c>
      <c r="AH953">
        <v>122</v>
      </c>
      <c r="AI953">
        <v>137</v>
      </c>
      <c r="AJ953">
        <v>4</v>
      </c>
      <c r="AK953">
        <v>81</v>
      </c>
      <c r="AL953" t="s">
        <v>3287</v>
      </c>
      <c r="AM953" t="s">
        <v>183</v>
      </c>
      <c r="AN953" t="s">
        <v>3288</v>
      </c>
      <c r="AO953" t="s">
        <v>3289</v>
      </c>
      <c r="AP953" t="s">
        <v>74</v>
      </c>
      <c r="AQ953" t="s">
        <v>74</v>
      </c>
      <c r="AR953" t="s">
        <v>3290</v>
      </c>
      <c r="AS953" t="s">
        <v>3291</v>
      </c>
      <c r="AT953" t="s">
        <v>6581</v>
      </c>
      <c r="AU953">
        <v>2019</v>
      </c>
      <c r="AV953">
        <v>5</v>
      </c>
      <c r="AW953">
        <v>5</v>
      </c>
      <c r="AX953" t="s">
        <v>74</v>
      </c>
      <c r="AY953" t="s">
        <v>74</v>
      </c>
      <c r="AZ953" t="s">
        <v>74</v>
      </c>
      <c r="BA953" t="s">
        <v>74</v>
      </c>
      <c r="BB953" t="s">
        <v>74</v>
      </c>
      <c r="BC953" t="s">
        <v>74</v>
      </c>
      <c r="BD953" t="s">
        <v>18286</v>
      </c>
      <c r="BE953" t="s">
        <v>18287</v>
      </c>
      <c r="BF953" t="str">
        <f>HYPERLINK("http://dx.doi.org/10.1126/sciadv.aau7671","http://dx.doi.org/10.1126/sciadv.aau7671")</f>
        <v>http://dx.doi.org/10.1126/sciadv.aau7671</v>
      </c>
      <c r="BG953" t="s">
        <v>74</v>
      </c>
      <c r="BH953" t="s">
        <v>74</v>
      </c>
      <c r="BI953">
        <v>10</v>
      </c>
      <c r="BJ953" t="s">
        <v>1004</v>
      </c>
      <c r="BK953" t="s">
        <v>101</v>
      </c>
      <c r="BL953" t="s">
        <v>1005</v>
      </c>
      <c r="BM953" t="s">
        <v>18288</v>
      </c>
      <c r="BN953">
        <v>31049393</v>
      </c>
      <c r="BO953" t="s">
        <v>2548</v>
      </c>
      <c r="BP953" t="s">
        <v>74</v>
      </c>
      <c r="BQ953" t="s">
        <v>74</v>
      </c>
      <c r="BR953" t="s">
        <v>103</v>
      </c>
      <c r="BS953" t="s">
        <v>18289</v>
      </c>
      <c r="BT953" t="str">
        <f>HYPERLINK("https%3A%2F%2Fwww.webofscience.com%2Fwos%2Fwoscc%2Ffull-record%2FWOS:000470125000021","View Full Record in Web of Science")</f>
        <v>View Full Record in Web of Science</v>
      </c>
    </row>
    <row r="954" spans="1:72" x14ac:dyDescent="0.15">
      <c r="A954" t="s">
        <v>72</v>
      </c>
      <c r="B954" t="s">
        <v>18290</v>
      </c>
      <c r="C954" t="s">
        <v>74</v>
      </c>
      <c r="D954" t="s">
        <v>74</v>
      </c>
      <c r="E954" t="s">
        <v>74</v>
      </c>
      <c r="F954" t="s">
        <v>18291</v>
      </c>
      <c r="G954" t="s">
        <v>74</v>
      </c>
      <c r="H954" t="s">
        <v>74</v>
      </c>
      <c r="I954" t="s">
        <v>18292</v>
      </c>
      <c r="J954" t="s">
        <v>18293</v>
      </c>
      <c r="K954" t="s">
        <v>74</v>
      </c>
      <c r="L954" t="s">
        <v>74</v>
      </c>
      <c r="M954" t="s">
        <v>78</v>
      </c>
      <c r="N954" t="s">
        <v>108</v>
      </c>
      <c r="O954" t="s">
        <v>74</v>
      </c>
      <c r="P954" t="s">
        <v>74</v>
      </c>
      <c r="Q954" t="s">
        <v>74</v>
      </c>
      <c r="R954" t="s">
        <v>74</v>
      </c>
      <c r="S954" t="s">
        <v>74</v>
      </c>
      <c r="T954" t="s">
        <v>18294</v>
      </c>
      <c r="U954" t="s">
        <v>18295</v>
      </c>
      <c r="V954" t="s">
        <v>18296</v>
      </c>
      <c r="W954" t="s">
        <v>18297</v>
      </c>
      <c r="X954" t="s">
        <v>74</v>
      </c>
      <c r="Y954" t="s">
        <v>18298</v>
      </c>
      <c r="Z954" t="s">
        <v>18299</v>
      </c>
      <c r="AA954" t="s">
        <v>74</v>
      </c>
      <c r="AB954" t="s">
        <v>18300</v>
      </c>
      <c r="AC954" t="s">
        <v>74</v>
      </c>
      <c r="AD954" t="s">
        <v>74</v>
      </c>
      <c r="AE954" t="s">
        <v>74</v>
      </c>
      <c r="AF954" t="s">
        <v>74</v>
      </c>
      <c r="AG954">
        <v>25</v>
      </c>
      <c r="AH954">
        <v>3</v>
      </c>
      <c r="AI954">
        <v>3</v>
      </c>
      <c r="AJ954">
        <v>0</v>
      </c>
      <c r="AK954">
        <v>6</v>
      </c>
      <c r="AL954" t="s">
        <v>18293</v>
      </c>
      <c r="AM954" t="s">
        <v>18301</v>
      </c>
      <c r="AN954" t="s">
        <v>18302</v>
      </c>
      <c r="AO954" t="s">
        <v>18303</v>
      </c>
      <c r="AP954" t="s">
        <v>18304</v>
      </c>
      <c r="AQ954" t="s">
        <v>74</v>
      </c>
      <c r="AR954" t="s">
        <v>18305</v>
      </c>
      <c r="AS954" t="s">
        <v>18306</v>
      </c>
      <c r="AT954" t="s">
        <v>6581</v>
      </c>
      <c r="AU954">
        <v>2019</v>
      </c>
      <c r="AV954">
        <v>12</v>
      </c>
      <c r="AW954">
        <v>5</v>
      </c>
      <c r="AX954" t="s">
        <v>74</v>
      </c>
      <c r="AY954" t="s">
        <v>74</v>
      </c>
      <c r="AZ954" t="s">
        <v>74</v>
      </c>
      <c r="BA954" t="s">
        <v>74</v>
      </c>
      <c r="BB954">
        <v>671</v>
      </c>
      <c r="BC954">
        <v>676</v>
      </c>
      <c r="BD954" t="s">
        <v>74</v>
      </c>
      <c r="BE954" t="s">
        <v>18307</v>
      </c>
      <c r="BF954" t="str">
        <f>HYPERLINK("http://dx.doi.org/10.14202/vetworld.2019.671-676","http://dx.doi.org/10.14202/vetworld.2019.671-676")</f>
        <v>http://dx.doi.org/10.14202/vetworld.2019.671-676</v>
      </c>
      <c r="BG954" t="s">
        <v>74</v>
      </c>
      <c r="BH954" t="s">
        <v>74</v>
      </c>
      <c r="BI954">
        <v>6</v>
      </c>
      <c r="BJ954" t="s">
        <v>15763</v>
      </c>
      <c r="BK954" t="s">
        <v>2978</v>
      </c>
      <c r="BL954" t="s">
        <v>15764</v>
      </c>
      <c r="BM954" t="s">
        <v>18308</v>
      </c>
      <c r="BN954">
        <v>31327902</v>
      </c>
      <c r="BO954" t="s">
        <v>9492</v>
      </c>
      <c r="BP954" t="s">
        <v>74</v>
      </c>
      <c r="BQ954" t="s">
        <v>74</v>
      </c>
      <c r="BR954" t="s">
        <v>103</v>
      </c>
      <c r="BS954" t="s">
        <v>18309</v>
      </c>
      <c r="BT954" t="str">
        <f>HYPERLINK("https%3A%2F%2Fwww.webofscience.com%2Fwos%2Fwoscc%2Ffull-record%2FWOS:000470004400007","View Full Record in Web of Science")</f>
        <v>View Full Record in Web of Science</v>
      </c>
    </row>
    <row r="955" spans="1:72" x14ac:dyDescent="0.15">
      <c r="A955" t="s">
        <v>72</v>
      </c>
      <c r="B955" t="s">
        <v>18310</v>
      </c>
      <c r="C955" t="s">
        <v>74</v>
      </c>
      <c r="D955" t="s">
        <v>74</v>
      </c>
      <c r="E955" t="s">
        <v>74</v>
      </c>
      <c r="F955" t="s">
        <v>18311</v>
      </c>
      <c r="G955" t="s">
        <v>74</v>
      </c>
      <c r="H955" t="s">
        <v>74</v>
      </c>
      <c r="I955" t="s">
        <v>18312</v>
      </c>
      <c r="J955" t="s">
        <v>18313</v>
      </c>
      <c r="K955" t="s">
        <v>74</v>
      </c>
      <c r="L955" t="s">
        <v>74</v>
      </c>
      <c r="M955" t="s">
        <v>78</v>
      </c>
      <c r="N955" t="s">
        <v>108</v>
      </c>
      <c r="O955" t="s">
        <v>74</v>
      </c>
      <c r="P955" t="s">
        <v>74</v>
      </c>
      <c r="Q955" t="s">
        <v>74</v>
      </c>
      <c r="R955" t="s">
        <v>74</v>
      </c>
      <c r="S955" t="s">
        <v>74</v>
      </c>
      <c r="T955" t="s">
        <v>74</v>
      </c>
      <c r="U955" t="s">
        <v>74</v>
      </c>
      <c r="V955" t="s">
        <v>74</v>
      </c>
      <c r="W955" t="s">
        <v>18314</v>
      </c>
      <c r="X955" t="s">
        <v>18315</v>
      </c>
      <c r="Y955" t="s">
        <v>18316</v>
      </c>
      <c r="Z955" t="s">
        <v>74</v>
      </c>
      <c r="AA955" t="s">
        <v>18317</v>
      </c>
      <c r="AB955" t="s">
        <v>18318</v>
      </c>
      <c r="AC955" t="s">
        <v>18319</v>
      </c>
      <c r="AD955" t="s">
        <v>18320</v>
      </c>
      <c r="AE955" t="s">
        <v>18321</v>
      </c>
      <c r="AF955" t="s">
        <v>74</v>
      </c>
      <c r="AG955">
        <v>70</v>
      </c>
      <c r="AH955">
        <v>8</v>
      </c>
      <c r="AI955">
        <v>8</v>
      </c>
      <c r="AJ955">
        <v>0</v>
      </c>
      <c r="AK955">
        <v>0</v>
      </c>
      <c r="AL955" t="s">
        <v>18322</v>
      </c>
      <c r="AM955" t="s">
        <v>18323</v>
      </c>
      <c r="AN955" t="s">
        <v>18324</v>
      </c>
      <c r="AO955" t="s">
        <v>18325</v>
      </c>
      <c r="AP955" t="s">
        <v>18326</v>
      </c>
      <c r="AQ955" t="s">
        <v>74</v>
      </c>
      <c r="AR955" t="s">
        <v>18327</v>
      </c>
      <c r="AS955" t="s">
        <v>18328</v>
      </c>
      <c r="AT955" t="s">
        <v>6581</v>
      </c>
      <c r="AU955">
        <v>2019</v>
      </c>
      <c r="AV955" t="s">
        <v>74</v>
      </c>
      <c r="AW955">
        <v>64</v>
      </c>
      <c r="AX955" t="s">
        <v>74</v>
      </c>
      <c r="AY955" t="s">
        <v>74</v>
      </c>
      <c r="AZ955" t="s">
        <v>74</v>
      </c>
      <c r="BA955" t="s">
        <v>74</v>
      </c>
      <c r="BB955">
        <v>1</v>
      </c>
      <c r="BC955">
        <v>23</v>
      </c>
      <c r="BD955" t="s">
        <v>74</v>
      </c>
      <c r="BE955" t="s">
        <v>74</v>
      </c>
      <c r="BF955" t="s">
        <v>74</v>
      </c>
      <c r="BG955" t="s">
        <v>74</v>
      </c>
      <c r="BH955" t="s">
        <v>74</v>
      </c>
      <c r="BI955">
        <v>23</v>
      </c>
      <c r="BJ955" t="s">
        <v>18329</v>
      </c>
      <c r="BK955" t="s">
        <v>2978</v>
      </c>
      <c r="BL955" t="s">
        <v>18330</v>
      </c>
      <c r="BM955" t="s">
        <v>18331</v>
      </c>
      <c r="BN955" t="s">
        <v>74</v>
      </c>
      <c r="BO955" t="s">
        <v>74</v>
      </c>
      <c r="BP955" t="s">
        <v>74</v>
      </c>
      <c r="BQ955" t="s">
        <v>74</v>
      </c>
      <c r="BR955" t="s">
        <v>103</v>
      </c>
      <c r="BS955" t="s">
        <v>18332</v>
      </c>
      <c r="BT955" t="str">
        <f>HYPERLINK("https%3A%2F%2Fwww.webofscience.com%2Fwos%2Fwoscc%2Ffull-record%2FWOS:000469076600001","View Full Record in Web of Science")</f>
        <v>View Full Record in Web of Science</v>
      </c>
    </row>
    <row r="956" spans="1:72" x14ac:dyDescent="0.15">
      <c r="A956" t="s">
        <v>72</v>
      </c>
      <c r="B956" t="s">
        <v>18333</v>
      </c>
      <c r="C956" t="s">
        <v>74</v>
      </c>
      <c r="D956" t="s">
        <v>74</v>
      </c>
      <c r="E956" t="s">
        <v>74</v>
      </c>
      <c r="F956" t="s">
        <v>18334</v>
      </c>
      <c r="G956" t="s">
        <v>74</v>
      </c>
      <c r="H956" t="s">
        <v>74</v>
      </c>
      <c r="I956" t="s">
        <v>18335</v>
      </c>
      <c r="J956" t="s">
        <v>18336</v>
      </c>
      <c r="K956" t="s">
        <v>74</v>
      </c>
      <c r="L956" t="s">
        <v>74</v>
      </c>
      <c r="M956" t="s">
        <v>78</v>
      </c>
      <c r="N956" t="s">
        <v>108</v>
      </c>
      <c r="O956" t="s">
        <v>74</v>
      </c>
      <c r="P956" t="s">
        <v>74</v>
      </c>
      <c r="Q956" t="s">
        <v>74</v>
      </c>
      <c r="R956" t="s">
        <v>74</v>
      </c>
      <c r="S956" t="s">
        <v>74</v>
      </c>
      <c r="T956" t="s">
        <v>18337</v>
      </c>
      <c r="U956" t="s">
        <v>18338</v>
      </c>
      <c r="V956" t="s">
        <v>18339</v>
      </c>
      <c r="W956" t="s">
        <v>18340</v>
      </c>
      <c r="X956" t="s">
        <v>18341</v>
      </c>
      <c r="Y956" t="s">
        <v>18342</v>
      </c>
      <c r="Z956" t="s">
        <v>18343</v>
      </c>
      <c r="AA956" t="s">
        <v>74</v>
      </c>
      <c r="AB956" t="s">
        <v>74</v>
      </c>
      <c r="AC956" t="s">
        <v>18344</v>
      </c>
      <c r="AD956" t="s">
        <v>18345</v>
      </c>
      <c r="AE956" t="s">
        <v>18346</v>
      </c>
      <c r="AF956" t="s">
        <v>74</v>
      </c>
      <c r="AG956">
        <v>42</v>
      </c>
      <c r="AH956">
        <v>9</v>
      </c>
      <c r="AI956">
        <v>12</v>
      </c>
      <c r="AJ956">
        <v>1</v>
      </c>
      <c r="AK956">
        <v>13</v>
      </c>
      <c r="AL956" t="s">
        <v>3615</v>
      </c>
      <c r="AM956" t="s">
        <v>3616</v>
      </c>
      <c r="AN956" t="s">
        <v>3617</v>
      </c>
      <c r="AO956" t="s">
        <v>74</v>
      </c>
      <c r="AP956" t="s">
        <v>18347</v>
      </c>
      <c r="AQ956" t="s">
        <v>74</v>
      </c>
      <c r="AR956" t="s">
        <v>18348</v>
      </c>
      <c r="AS956" t="s">
        <v>18349</v>
      </c>
      <c r="AT956" t="s">
        <v>18126</v>
      </c>
      <c r="AU956">
        <v>2019</v>
      </c>
      <c r="AV956">
        <v>20</v>
      </c>
      <c r="AW956">
        <v>9</v>
      </c>
      <c r="AX956" t="s">
        <v>74</v>
      </c>
      <c r="AY956" t="s">
        <v>74</v>
      </c>
      <c r="AZ956" t="s">
        <v>74</v>
      </c>
      <c r="BA956" t="s">
        <v>74</v>
      </c>
      <c r="BB956" t="s">
        <v>74</v>
      </c>
      <c r="BC956" t="s">
        <v>74</v>
      </c>
      <c r="BD956">
        <v>2143</v>
      </c>
      <c r="BE956" t="s">
        <v>18350</v>
      </c>
      <c r="BF956" t="str">
        <f>HYPERLINK("http://dx.doi.org/10.3390/ijms20092143","http://dx.doi.org/10.3390/ijms20092143")</f>
        <v>http://dx.doi.org/10.3390/ijms20092143</v>
      </c>
      <c r="BG956" t="s">
        <v>74</v>
      </c>
      <c r="BH956" t="s">
        <v>74</v>
      </c>
      <c r="BI956">
        <v>14</v>
      </c>
      <c r="BJ956" t="s">
        <v>12957</v>
      </c>
      <c r="BK956" t="s">
        <v>101</v>
      </c>
      <c r="BL956" t="s">
        <v>12958</v>
      </c>
      <c r="BM956" t="s">
        <v>18351</v>
      </c>
      <c r="BN956">
        <v>31052274</v>
      </c>
      <c r="BO956" t="s">
        <v>384</v>
      </c>
      <c r="BP956" t="s">
        <v>74</v>
      </c>
      <c r="BQ956" t="s">
        <v>74</v>
      </c>
      <c r="BR956" t="s">
        <v>103</v>
      </c>
      <c r="BS956" t="s">
        <v>18352</v>
      </c>
      <c r="BT956" t="str">
        <f>HYPERLINK("https%3A%2F%2Fwww.webofscience.com%2Fwos%2Fwoscc%2Ffull-record%2FWOS:000469753500090","View Full Record in Web of Science")</f>
        <v>View Full Record in Web of Science</v>
      </c>
    </row>
    <row r="957" spans="1:72" x14ac:dyDescent="0.15">
      <c r="A957" t="s">
        <v>72</v>
      </c>
      <c r="B957" t="s">
        <v>18353</v>
      </c>
      <c r="C957" t="s">
        <v>74</v>
      </c>
      <c r="D957" t="s">
        <v>74</v>
      </c>
      <c r="E957" t="s">
        <v>74</v>
      </c>
      <c r="F957" t="s">
        <v>18354</v>
      </c>
      <c r="G957" t="s">
        <v>74</v>
      </c>
      <c r="H957" t="s">
        <v>74</v>
      </c>
      <c r="I957" t="s">
        <v>18355</v>
      </c>
      <c r="J957" t="s">
        <v>5060</v>
      </c>
      <c r="K957" t="s">
        <v>74</v>
      </c>
      <c r="L957" t="s">
        <v>74</v>
      </c>
      <c r="M957" t="s">
        <v>78</v>
      </c>
      <c r="N957" t="s">
        <v>108</v>
      </c>
      <c r="O957" t="s">
        <v>74</v>
      </c>
      <c r="P957" t="s">
        <v>74</v>
      </c>
      <c r="Q957" t="s">
        <v>74</v>
      </c>
      <c r="R957" t="s">
        <v>74</v>
      </c>
      <c r="S957" t="s">
        <v>74</v>
      </c>
      <c r="T957" t="s">
        <v>18356</v>
      </c>
      <c r="U957" t="s">
        <v>18357</v>
      </c>
      <c r="V957" t="s">
        <v>18358</v>
      </c>
      <c r="W957" t="s">
        <v>18359</v>
      </c>
      <c r="X957" t="s">
        <v>1135</v>
      </c>
      <c r="Y957" t="s">
        <v>18360</v>
      </c>
      <c r="Z957" t="s">
        <v>18361</v>
      </c>
      <c r="AA957" t="s">
        <v>18362</v>
      </c>
      <c r="AB957" t="s">
        <v>18363</v>
      </c>
      <c r="AC957" t="s">
        <v>18364</v>
      </c>
      <c r="AD957" t="s">
        <v>18365</v>
      </c>
      <c r="AE957" t="s">
        <v>18366</v>
      </c>
      <c r="AF957" t="s">
        <v>74</v>
      </c>
      <c r="AG957">
        <v>85</v>
      </c>
      <c r="AH957">
        <v>14</v>
      </c>
      <c r="AI957">
        <v>14</v>
      </c>
      <c r="AJ957">
        <v>1</v>
      </c>
      <c r="AK957">
        <v>33</v>
      </c>
      <c r="AL957" t="s">
        <v>438</v>
      </c>
      <c r="AM957" t="s">
        <v>439</v>
      </c>
      <c r="AN957" t="s">
        <v>440</v>
      </c>
      <c r="AO957" t="s">
        <v>5072</v>
      </c>
      <c r="AP957" t="s">
        <v>5073</v>
      </c>
      <c r="AQ957" t="s">
        <v>74</v>
      </c>
      <c r="AR957" t="s">
        <v>5074</v>
      </c>
      <c r="AS957" t="s">
        <v>5075</v>
      </c>
      <c r="AT957" t="s">
        <v>17518</v>
      </c>
      <c r="AU957">
        <v>2019</v>
      </c>
      <c r="AV957">
        <v>514</v>
      </c>
      <c r="AW957" t="s">
        <v>74</v>
      </c>
      <c r="AX957" t="s">
        <v>74</v>
      </c>
      <c r="AY957" t="s">
        <v>74</v>
      </c>
      <c r="AZ957" t="s">
        <v>74</v>
      </c>
      <c r="BA957" t="s">
        <v>74</v>
      </c>
      <c r="BB957">
        <v>48</v>
      </c>
      <c r="BC957">
        <v>58</v>
      </c>
      <c r="BD957" t="s">
        <v>74</v>
      </c>
      <c r="BE957" t="s">
        <v>18367</v>
      </c>
      <c r="BF957" t="str">
        <f>HYPERLINK("http://dx.doi.org/10.1016/j.jembe.2019.03.012","http://dx.doi.org/10.1016/j.jembe.2019.03.012")</f>
        <v>http://dx.doi.org/10.1016/j.jembe.2019.03.012</v>
      </c>
      <c r="BG957" t="s">
        <v>74</v>
      </c>
      <c r="BH957" t="s">
        <v>74</v>
      </c>
      <c r="BI957">
        <v>11</v>
      </c>
      <c r="BJ957" t="s">
        <v>5077</v>
      </c>
      <c r="BK957" t="s">
        <v>101</v>
      </c>
      <c r="BL957" t="s">
        <v>877</v>
      </c>
      <c r="BM957" t="s">
        <v>18368</v>
      </c>
      <c r="BN957" t="s">
        <v>74</v>
      </c>
      <c r="BO957" t="s">
        <v>74</v>
      </c>
      <c r="BP957" t="s">
        <v>74</v>
      </c>
      <c r="BQ957" t="s">
        <v>74</v>
      </c>
      <c r="BR957" t="s">
        <v>103</v>
      </c>
      <c r="BS957" t="s">
        <v>18369</v>
      </c>
      <c r="BT957" t="str">
        <f>HYPERLINK("https%3A%2F%2Fwww.webofscience.com%2Fwos%2Fwoscc%2Ffull-record%2FWOS:000469155100007","View Full Record in Web of Science")</f>
        <v>View Full Record in Web of Science</v>
      </c>
    </row>
    <row r="958" spans="1:72" x14ac:dyDescent="0.15">
      <c r="A958" t="s">
        <v>72</v>
      </c>
      <c r="B958" t="s">
        <v>18370</v>
      </c>
      <c r="C958" t="s">
        <v>74</v>
      </c>
      <c r="D958" t="s">
        <v>74</v>
      </c>
      <c r="E958" t="s">
        <v>74</v>
      </c>
      <c r="F958" t="s">
        <v>18371</v>
      </c>
      <c r="G958" t="s">
        <v>74</v>
      </c>
      <c r="H958" t="s">
        <v>74</v>
      </c>
      <c r="I958" t="s">
        <v>18372</v>
      </c>
      <c r="J958" t="s">
        <v>18373</v>
      </c>
      <c r="K958" t="s">
        <v>74</v>
      </c>
      <c r="L958" t="s">
        <v>74</v>
      </c>
      <c r="M958" t="s">
        <v>78</v>
      </c>
      <c r="N958" t="s">
        <v>108</v>
      </c>
      <c r="O958" t="s">
        <v>74</v>
      </c>
      <c r="P958" t="s">
        <v>74</v>
      </c>
      <c r="Q958" t="s">
        <v>74</v>
      </c>
      <c r="R958" t="s">
        <v>74</v>
      </c>
      <c r="S958" t="s">
        <v>74</v>
      </c>
      <c r="T958" t="s">
        <v>18374</v>
      </c>
      <c r="U958" t="s">
        <v>18375</v>
      </c>
      <c r="V958" t="s">
        <v>18376</v>
      </c>
      <c r="W958" t="s">
        <v>18377</v>
      </c>
      <c r="X958" t="s">
        <v>18378</v>
      </c>
      <c r="Y958" t="s">
        <v>18379</v>
      </c>
      <c r="Z958" t="s">
        <v>18380</v>
      </c>
      <c r="AA958" t="s">
        <v>74</v>
      </c>
      <c r="AB958" t="s">
        <v>18381</v>
      </c>
      <c r="AC958" t="s">
        <v>18382</v>
      </c>
      <c r="AD958" t="s">
        <v>18383</v>
      </c>
      <c r="AE958" t="s">
        <v>18384</v>
      </c>
      <c r="AF958" t="s">
        <v>74</v>
      </c>
      <c r="AG958">
        <v>16</v>
      </c>
      <c r="AH958">
        <v>4</v>
      </c>
      <c r="AI958">
        <v>4</v>
      </c>
      <c r="AJ958">
        <v>3</v>
      </c>
      <c r="AK958">
        <v>11</v>
      </c>
      <c r="AL958" t="s">
        <v>3615</v>
      </c>
      <c r="AM958" t="s">
        <v>3616</v>
      </c>
      <c r="AN958" t="s">
        <v>3617</v>
      </c>
      <c r="AO958" t="s">
        <v>74</v>
      </c>
      <c r="AP958" t="s">
        <v>18385</v>
      </c>
      <c r="AQ958" t="s">
        <v>74</v>
      </c>
      <c r="AR958" t="s">
        <v>18386</v>
      </c>
      <c r="AS958" t="s">
        <v>18387</v>
      </c>
      <c r="AT958" t="s">
        <v>18126</v>
      </c>
      <c r="AU958">
        <v>2019</v>
      </c>
      <c r="AV958">
        <v>19</v>
      </c>
      <c r="AW958">
        <v>9</v>
      </c>
      <c r="AX958" t="s">
        <v>74</v>
      </c>
      <c r="AY958" t="s">
        <v>74</v>
      </c>
      <c r="AZ958" t="s">
        <v>74</v>
      </c>
      <c r="BA958" t="s">
        <v>74</v>
      </c>
      <c r="BB958" t="s">
        <v>74</v>
      </c>
      <c r="BC958" t="s">
        <v>74</v>
      </c>
      <c r="BD958">
        <v>2099</v>
      </c>
      <c r="BE958" t="s">
        <v>18388</v>
      </c>
      <c r="BF958" t="str">
        <f>HYPERLINK("http://dx.doi.org/10.3390/s19092099","http://dx.doi.org/10.3390/s19092099")</f>
        <v>http://dx.doi.org/10.3390/s19092099</v>
      </c>
      <c r="BG958" t="s">
        <v>74</v>
      </c>
      <c r="BH958" t="s">
        <v>74</v>
      </c>
      <c r="BI958">
        <v>13</v>
      </c>
      <c r="BJ958" t="s">
        <v>18389</v>
      </c>
      <c r="BK958" t="s">
        <v>101</v>
      </c>
      <c r="BL958" t="s">
        <v>18390</v>
      </c>
      <c r="BM958" t="s">
        <v>18391</v>
      </c>
      <c r="BN958">
        <v>31067627</v>
      </c>
      <c r="BO958" t="s">
        <v>384</v>
      </c>
      <c r="BP958" t="s">
        <v>74</v>
      </c>
      <c r="BQ958" t="s">
        <v>74</v>
      </c>
      <c r="BR958" t="s">
        <v>103</v>
      </c>
      <c r="BS958" t="s">
        <v>18392</v>
      </c>
      <c r="BT958" t="str">
        <f>HYPERLINK("https%3A%2F%2Fwww.webofscience.com%2Fwos%2Fwoscc%2Ffull-record%2FWOS:000469766800143","View Full Record in Web of Science")</f>
        <v>View Full Record in Web of Science</v>
      </c>
    </row>
    <row r="959" spans="1:72" x14ac:dyDescent="0.15">
      <c r="A959" t="s">
        <v>72</v>
      </c>
      <c r="B959" t="s">
        <v>18393</v>
      </c>
      <c r="C959" t="s">
        <v>74</v>
      </c>
      <c r="D959" t="s">
        <v>74</v>
      </c>
      <c r="E959" t="s">
        <v>74</v>
      </c>
      <c r="F959" t="s">
        <v>18394</v>
      </c>
      <c r="G959" t="s">
        <v>74</v>
      </c>
      <c r="H959" t="s">
        <v>74</v>
      </c>
      <c r="I959" t="s">
        <v>18395</v>
      </c>
      <c r="J959" t="s">
        <v>18396</v>
      </c>
      <c r="K959" t="s">
        <v>74</v>
      </c>
      <c r="L959" t="s">
        <v>74</v>
      </c>
      <c r="M959" t="s">
        <v>78</v>
      </c>
      <c r="N959" t="s">
        <v>108</v>
      </c>
      <c r="O959" t="s">
        <v>74</v>
      </c>
      <c r="P959" t="s">
        <v>74</v>
      </c>
      <c r="Q959" t="s">
        <v>74</v>
      </c>
      <c r="R959" t="s">
        <v>74</v>
      </c>
      <c r="S959" t="s">
        <v>74</v>
      </c>
      <c r="T959" t="s">
        <v>74</v>
      </c>
      <c r="U959" t="s">
        <v>18397</v>
      </c>
      <c r="V959" t="s">
        <v>18398</v>
      </c>
      <c r="W959" t="s">
        <v>18399</v>
      </c>
      <c r="X959" t="s">
        <v>18400</v>
      </c>
      <c r="Y959" t="s">
        <v>18401</v>
      </c>
      <c r="Z959" t="s">
        <v>18402</v>
      </c>
      <c r="AA959" t="s">
        <v>18403</v>
      </c>
      <c r="AB959" t="s">
        <v>18404</v>
      </c>
      <c r="AC959" t="s">
        <v>18405</v>
      </c>
      <c r="AD959" t="s">
        <v>18406</v>
      </c>
      <c r="AE959" t="s">
        <v>18407</v>
      </c>
      <c r="AF959" t="s">
        <v>74</v>
      </c>
      <c r="AG959">
        <v>75</v>
      </c>
      <c r="AH959">
        <v>21</v>
      </c>
      <c r="AI959">
        <v>22</v>
      </c>
      <c r="AJ959">
        <v>1</v>
      </c>
      <c r="AK959">
        <v>18</v>
      </c>
      <c r="AL959" t="s">
        <v>18408</v>
      </c>
      <c r="AM959" t="s">
        <v>18409</v>
      </c>
      <c r="AN959" t="s">
        <v>18410</v>
      </c>
      <c r="AO959" t="s">
        <v>18411</v>
      </c>
      <c r="AP959" t="s">
        <v>18412</v>
      </c>
      <c r="AQ959" t="s">
        <v>74</v>
      </c>
      <c r="AR959" t="s">
        <v>18413</v>
      </c>
      <c r="AS959" t="s">
        <v>18414</v>
      </c>
      <c r="AT959" t="s">
        <v>6581</v>
      </c>
      <c r="AU959">
        <v>2019</v>
      </c>
      <c r="AV959">
        <v>136</v>
      </c>
      <c r="AW959" t="s">
        <v>5011</v>
      </c>
      <c r="AX959" t="s">
        <v>74</v>
      </c>
      <c r="AY959" t="s">
        <v>74</v>
      </c>
      <c r="AZ959" t="s">
        <v>74</v>
      </c>
      <c r="BA959" t="s">
        <v>74</v>
      </c>
      <c r="BB959">
        <v>1513</v>
      </c>
      <c r="BC959">
        <v>1532</v>
      </c>
      <c r="BD959" t="s">
        <v>74</v>
      </c>
      <c r="BE959" t="s">
        <v>18415</v>
      </c>
      <c r="BF959" t="str">
        <f>HYPERLINK("http://dx.doi.org/10.1007/s00704-018-2544-z","http://dx.doi.org/10.1007/s00704-018-2544-z")</f>
        <v>http://dx.doi.org/10.1007/s00704-018-2544-z</v>
      </c>
      <c r="BG959" t="s">
        <v>74</v>
      </c>
      <c r="BH959" t="s">
        <v>74</v>
      </c>
      <c r="BI959">
        <v>20</v>
      </c>
      <c r="BJ959" t="s">
        <v>259</v>
      </c>
      <c r="BK959" t="s">
        <v>101</v>
      </c>
      <c r="BL959" t="s">
        <v>259</v>
      </c>
      <c r="BM959" t="s">
        <v>18416</v>
      </c>
      <c r="BN959" t="s">
        <v>74</v>
      </c>
      <c r="BO959" t="s">
        <v>74</v>
      </c>
      <c r="BP959" t="s">
        <v>74</v>
      </c>
      <c r="BQ959" t="s">
        <v>74</v>
      </c>
      <c r="BR959" t="s">
        <v>103</v>
      </c>
      <c r="BS959" t="s">
        <v>18417</v>
      </c>
      <c r="BT959" t="str">
        <f>HYPERLINK("https%3A%2F%2Fwww.webofscience.com%2Fwos%2Fwoscc%2Ffull-record%2FWOS:000467151000053","View Full Record in Web of Science")</f>
        <v>View Full Record in Web of Science</v>
      </c>
    </row>
    <row r="960" spans="1:72" x14ac:dyDescent="0.15">
      <c r="A960" t="s">
        <v>72</v>
      </c>
      <c r="B960" t="s">
        <v>18393</v>
      </c>
      <c r="C960" t="s">
        <v>74</v>
      </c>
      <c r="D960" t="s">
        <v>74</v>
      </c>
      <c r="E960" t="s">
        <v>74</v>
      </c>
      <c r="F960" t="s">
        <v>18394</v>
      </c>
      <c r="G960" t="s">
        <v>74</v>
      </c>
      <c r="H960" t="s">
        <v>74</v>
      </c>
      <c r="I960" t="s">
        <v>18418</v>
      </c>
      <c r="J960" t="s">
        <v>18396</v>
      </c>
      <c r="K960" t="s">
        <v>74</v>
      </c>
      <c r="L960" t="s">
        <v>74</v>
      </c>
      <c r="M960" t="s">
        <v>78</v>
      </c>
      <c r="N960" t="s">
        <v>1083</v>
      </c>
      <c r="O960" t="s">
        <v>74</v>
      </c>
      <c r="P960" t="s">
        <v>74</v>
      </c>
      <c r="Q960" t="s">
        <v>74</v>
      </c>
      <c r="R960" t="s">
        <v>74</v>
      </c>
      <c r="S960" t="s">
        <v>74</v>
      </c>
      <c r="T960" t="s">
        <v>74</v>
      </c>
      <c r="U960" t="s">
        <v>74</v>
      </c>
      <c r="V960" t="s">
        <v>74</v>
      </c>
      <c r="W960" t="s">
        <v>18399</v>
      </c>
      <c r="X960" t="s">
        <v>18400</v>
      </c>
      <c r="Y960" t="s">
        <v>18401</v>
      </c>
      <c r="Z960" t="s">
        <v>18402</v>
      </c>
      <c r="AA960" t="s">
        <v>74</v>
      </c>
      <c r="AB960" t="s">
        <v>74</v>
      </c>
      <c r="AC960" t="s">
        <v>74</v>
      </c>
      <c r="AD960" t="s">
        <v>74</v>
      </c>
      <c r="AE960" t="s">
        <v>74</v>
      </c>
      <c r="AF960" t="s">
        <v>74</v>
      </c>
      <c r="AG960">
        <v>1</v>
      </c>
      <c r="AH960">
        <v>0</v>
      </c>
      <c r="AI960">
        <v>0</v>
      </c>
      <c r="AJ960">
        <v>1</v>
      </c>
      <c r="AK960">
        <v>5</v>
      </c>
      <c r="AL960" t="s">
        <v>18408</v>
      </c>
      <c r="AM960" t="s">
        <v>18409</v>
      </c>
      <c r="AN960" t="s">
        <v>18410</v>
      </c>
      <c r="AO960" t="s">
        <v>18411</v>
      </c>
      <c r="AP960" t="s">
        <v>18412</v>
      </c>
      <c r="AQ960" t="s">
        <v>74</v>
      </c>
      <c r="AR960" t="s">
        <v>18413</v>
      </c>
      <c r="AS960" t="s">
        <v>18414</v>
      </c>
      <c r="AT960" t="s">
        <v>6581</v>
      </c>
      <c r="AU960">
        <v>2019</v>
      </c>
      <c r="AV960">
        <v>136</v>
      </c>
      <c r="AW960" t="s">
        <v>5011</v>
      </c>
      <c r="AX960" t="s">
        <v>74</v>
      </c>
      <c r="AY960" t="s">
        <v>74</v>
      </c>
      <c r="AZ960" t="s">
        <v>74</v>
      </c>
      <c r="BA960" t="s">
        <v>74</v>
      </c>
      <c r="BB960">
        <v>1533</v>
      </c>
      <c r="BC960">
        <v>1533</v>
      </c>
      <c r="BD960" t="s">
        <v>74</v>
      </c>
      <c r="BE960" t="s">
        <v>18419</v>
      </c>
      <c r="BF960" t="str">
        <f>HYPERLINK("http://dx.doi.org/10.1007/s00704-018-2575-5","http://dx.doi.org/10.1007/s00704-018-2575-5")</f>
        <v>http://dx.doi.org/10.1007/s00704-018-2575-5</v>
      </c>
      <c r="BG960" t="s">
        <v>74</v>
      </c>
      <c r="BH960" t="s">
        <v>74</v>
      </c>
      <c r="BI960">
        <v>1</v>
      </c>
      <c r="BJ960" t="s">
        <v>259</v>
      </c>
      <c r="BK960" t="s">
        <v>101</v>
      </c>
      <c r="BL960" t="s">
        <v>259</v>
      </c>
      <c r="BM960" t="s">
        <v>18416</v>
      </c>
      <c r="BN960" t="s">
        <v>74</v>
      </c>
      <c r="BO960" t="s">
        <v>1308</v>
      </c>
      <c r="BP960" t="s">
        <v>74</v>
      </c>
      <c r="BQ960" t="s">
        <v>74</v>
      </c>
      <c r="BR960" t="s">
        <v>103</v>
      </c>
      <c r="BS960" t="s">
        <v>18420</v>
      </c>
      <c r="BT960" t="str">
        <f>HYPERLINK("https%3A%2F%2Fwww.webofscience.com%2Fwos%2Fwoscc%2Ffull-record%2FWOS:000467151000054","View Full Record in Web of Science")</f>
        <v>View Full Record in Web of Science</v>
      </c>
    </row>
    <row r="961" spans="1:72" x14ac:dyDescent="0.15">
      <c r="A961" t="s">
        <v>72</v>
      </c>
      <c r="B961" t="s">
        <v>18421</v>
      </c>
      <c r="C961" t="s">
        <v>74</v>
      </c>
      <c r="D961" t="s">
        <v>74</v>
      </c>
      <c r="E961" t="s">
        <v>74</v>
      </c>
      <c r="F961" t="s">
        <v>18422</v>
      </c>
      <c r="G961" t="s">
        <v>74</v>
      </c>
      <c r="H961" t="s">
        <v>74</v>
      </c>
      <c r="I961" t="s">
        <v>18423</v>
      </c>
      <c r="J961" t="s">
        <v>18424</v>
      </c>
      <c r="K961" t="s">
        <v>74</v>
      </c>
      <c r="L961" t="s">
        <v>74</v>
      </c>
      <c r="M961" t="s">
        <v>78</v>
      </c>
      <c r="N961" t="s">
        <v>108</v>
      </c>
      <c r="O961" t="s">
        <v>74</v>
      </c>
      <c r="P961" t="s">
        <v>74</v>
      </c>
      <c r="Q961" t="s">
        <v>74</v>
      </c>
      <c r="R961" t="s">
        <v>74</v>
      </c>
      <c r="S961" t="s">
        <v>74</v>
      </c>
      <c r="T961" t="s">
        <v>18425</v>
      </c>
      <c r="U961" t="s">
        <v>18426</v>
      </c>
      <c r="V961" t="s">
        <v>18427</v>
      </c>
      <c r="W961" t="s">
        <v>18428</v>
      </c>
      <c r="X961" t="s">
        <v>18429</v>
      </c>
      <c r="Y961" t="s">
        <v>18430</v>
      </c>
      <c r="Z961" t="s">
        <v>18431</v>
      </c>
      <c r="AA961" t="s">
        <v>18432</v>
      </c>
      <c r="AB961" t="s">
        <v>18433</v>
      </c>
      <c r="AC961" t="s">
        <v>18434</v>
      </c>
      <c r="AD961" t="s">
        <v>18435</v>
      </c>
      <c r="AE961" t="s">
        <v>18436</v>
      </c>
      <c r="AF961" t="s">
        <v>74</v>
      </c>
      <c r="AG961">
        <v>103</v>
      </c>
      <c r="AH961">
        <v>1</v>
      </c>
      <c r="AI961">
        <v>1</v>
      </c>
      <c r="AJ961">
        <v>1</v>
      </c>
      <c r="AK961">
        <v>18</v>
      </c>
      <c r="AL961" t="s">
        <v>154</v>
      </c>
      <c r="AM961" t="s">
        <v>155</v>
      </c>
      <c r="AN961" t="s">
        <v>156</v>
      </c>
      <c r="AO961" t="s">
        <v>18437</v>
      </c>
      <c r="AP961" t="s">
        <v>18438</v>
      </c>
      <c r="AQ961" t="s">
        <v>74</v>
      </c>
      <c r="AR961" t="s">
        <v>18439</v>
      </c>
      <c r="AS961" t="s">
        <v>18440</v>
      </c>
      <c r="AT961" t="s">
        <v>6581</v>
      </c>
      <c r="AU961">
        <v>2019</v>
      </c>
      <c r="AV961">
        <v>21</v>
      </c>
      <c r="AW961">
        <v>5</v>
      </c>
      <c r="AX961" t="s">
        <v>74</v>
      </c>
      <c r="AY961" t="s">
        <v>74</v>
      </c>
      <c r="AZ961" t="s">
        <v>74</v>
      </c>
      <c r="BA961" t="s">
        <v>74</v>
      </c>
      <c r="BB961">
        <v>1567</v>
      </c>
      <c r="BC961">
        <v>1584</v>
      </c>
      <c r="BD961" t="s">
        <v>74</v>
      </c>
      <c r="BE961" t="s">
        <v>18441</v>
      </c>
      <c r="BF961" t="str">
        <f>HYPERLINK("http://dx.doi.org/10.1007/s10530-019-01921-1","http://dx.doi.org/10.1007/s10530-019-01921-1")</f>
        <v>http://dx.doi.org/10.1007/s10530-019-01921-1</v>
      </c>
      <c r="BG961" t="s">
        <v>74</v>
      </c>
      <c r="BH961" t="s">
        <v>74</v>
      </c>
      <c r="BI961">
        <v>18</v>
      </c>
      <c r="BJ961" t="s">
        <v>3802</v>
      </c>
      <c r="BK961" t="s">
        <v>101</v>
      </c>
      <c r="BL961" t="s">
        <v>1646</v>
      </c>
      <c r="BM961" t="s">
        <v>18442</v>
      </c>
      <c r="BN961" t="s">
        <v>74</v>
      </c>
      <c r="BO961" t="s">
        <v>74</v>
      </c>
      <c r="BP961" t="s">
        <v>74</v>
      </c>
      <c r="BQ961" t="s">
        <v>74</v>
      </c>
      <c r="BR961" t="s">
        <v>103</v>
      </c>
      <c r="BS961" t="s">
        <v>18443</v>
      </c>
      <c r="BT961" t="str">
        <f>HYPERLINK("https%3A%2F%2Fwww.webofscience.com%2Fwos%2Fwoscc%2Ffull-record%2FWOS:000465867500011","View Full Record in Web of Science")</f>
        <v>View Full Record in Web of Science</v>
      </c>
    </row>
    <row r="962" spans="1:72" x14ac:dyDescent="0.15">
      <c r="A962" t="s">
        <v>72</v>
      </c>
      <c r="B962" t="s">
        <v>18444</v>
      </c>
      <c r="C962" t="s">
        <v>74</v>
      </c>
      <c r="D962" t="s">
        <v>74</v>
      </c>
      <c r="E962" t="s">
        <v>74</v>
      </c>
      <c r="F962" t="s">
        <v>18445</v>
      </c>
      <c r="G962" t="s">
        <v>74</v>
      </c>
      <c r="H962" t="s">
        <v>74</v>
      </c>
      <c r="I962" t="s">
        <v>18446</v>
      </c>
      <c r="J962" t="s">
        <v>18447</v>
      </c>
      <c r="K962" t="s">
        <v>74</v>
      </c>
      <c r="L962" t="s">
        <v>74</v>
      </c>
      <c r="M962" t="s">
        <v>78</v>
      </c>
      <c r="N962" t="s">
        <v>108</v>
      </c>
      <c r="O962" t="s">
        <v>74</v>
      </c>
      <c r="P962" t="s">
        <v>74</v>
      </c>
      <c r="Q962" t="s">
        <v>74</v>
      </c>
      <c r="R962" t="s">
        <v>74</v>
      </c>
      <c r="S962" t="s">
        <v>74</v>
      </c>
      <c r="T962" t="s">
        <v>18448</v>
      </c>
      <c r="U962" t="s">
        <v>18449</v>
      </c>
      <c r="V962" t="s">
        <v>18450</v>
      </c>
      <c r="W962" t="s">
        <v>18451</v>
      </c>
      <c r="X962" t="s">
        <v>18452</v>
      </c>
      <c r="Y962" t="s">
        <v>18453</v>
      </c>
      <c r="Z962" t="s">
        <v>18454</v>
      </c>
      <c r="AA962" t="s">
        <v>18455</v>
      </c>
      <c r="AB962" t="s">
        <v>18456</v>
      </c>
      <c r="AC962" t="s">
        <v>18457</v>
      </c>
      <c r="AD962" t="s">
        <v>18458</v>
      </c>
      <c r="AE962" t="s">
        <v>18459</v>
      </c>
      <c r="AF962" t="s">
        <v>74</v>
      </c>
      <c r="AG962">
        <v>73</v>
      </c>
      <c r="AH962">
        <v>29</v>
      </c>
      <c r="AI962">
        <v>32</v>
      </c>
      <c r="AJ962">
        <v>12</v>
      </c>
      <c r="AK962">
        <v>117</v>
      </c>
      <c r="AL962" t="s">
        <v>1577</v>
      </c>
      <c r="AM962" t="s">
        <v>183</v>
      </c>
      <c r="AN962" t="s">
        <v>1578</v>
      </c>
      <c r="AO962" t="s">
        <v>18460</v>
      </c>
      <c r="AP962" t="s">
        <v>74</v>
      </c>
      <c r="AQ962" t="s">
        <v>74</v>
      </c>
      <c r="AR962" t="s">
        <v>18461</v>
      </c>
      <c r="AS962" t="s">
        <v>18462</v>
      </c>
      <c r="AT962" t="s">
        <v>6581</v>
      </c>
      <c r="AU962">
        <v>2019</v>
      </c>
      <c r="AV962">
        <v>3</v>
      </c>
      <c r="AW962">
        <v>5</v>
      </c>
      <c r="AX962" t="s">
        <v>74</v>
      </c>
      <c r="AY962" t="s">
        <v>74</v>
      </c>
      <c r="AZ962" t="s">
        <v>74</v>
      </c>
      <c r="BA962" t="s">
        <v>74</v>
      </c>
      <c r="BB962">
        <v>854</v>
      </c>
      <c r="BC962" t="s">
        <v>3569</v>
      </c>
      <c r="BD962" t="s">
        <v>74</v>
      </c>
      <c r="BE962" t="s">
        <v>18463</v>
      </c>
      <c r="BF962" t="str">
        <f>HYPERLINK("http://dx.doi.org/10.1021/acsearthspacechem.9b00028","http://dx.doi.org/10.1021/acsearthspacechem.9b00028")</f>
        <v>http://dx.doi.org/10.1021/acsearthspacechem.9b00028</v>
      </c>
      <c r="BG962" t="s">
        <v>74</v>
      </c>
      <c r="BH962" t="s">
        <v>74</v>
      </c>
      <c r="BI962">
        <v>17</v>
      </c>
      <c r="BJ962" t="s">
        <v>18464</v>
      </c>
      <c r="BK962" t="s">
        <v>101</v>
      </c>
      <c r="BL962" t="s">
        <v>18465</v>
      </c>
      <c r="BM962" t="s">
        <v>18466</v>
      </c>
      <c r="BN962" t="s">
        <v>74</v>
      </c>
      <c r="BO962" t="s">
        <v>136</v>
      </c>
      <c r="BP962" t="s">
        <v>74</v>
      </c>
      <c r="BQ962" t="s">
        <v>74</v>
      </c>
      <c r="BR962" t="s">
        <v>103</v>
      </c>
      <c r="BS962" t="s">
        <v>18467</v>
      </c>
      <c r="BT962" t="str">
        <f>HYPERLINK("https%3A%2F%2Fwww.webofscience.com%2Fwos%2Fwoscc%2Ffull-record%2FWOS:000468366300018","View Full Record in Web of Science")</f>
        <v>View Full Record in Web of Science</v>
      </c>
    </row>
    <row r="963" spans="1:72" x14ac:dyDescent="0.15">
      <c r="A963" t="s">
        <v>72</v>
      </c>
      <c r="B963" t="s">
        <v>18468</v>
      </c>
      <c r="C963" t="s">
        <v>74</v>
      </c>
      <c r="D963" t="s">
        <v>74</v>
      </c>
      <c r="E963" t="s">
        <v>74</v>
      </c>
      <c r="F963" t="s">
        <v>18469</v>
      </c>
      <c r="G963" t="s">
        <v>74</v>
      </c>
      <c r="H963" t="s">
        <v>74</v>
      </c>
      <c r="I963" t="s">
        <v>18470</v>
      </c>
      <c r="J963" t="s">
        <v>18471</v>
      </c>
      <c r="K963" t="s">
        <v>74</v>
      </c>
      <c r="L963" t="s">
        <v>74</v>
      </c>
      <c r="M963" t="s">
        <v>78</v>
      </c>
      <c r="N963" t="s">
        <v>108</v>
      </c>
      <c r="O963" t="s">
        <v>74</v>
      </c>
      <c r="P963" t="s">
        <v>74</v>
      </c>
      <c r="Q963" t="s">
        <v>74</v>
      </c>
      <c r="R963" t="s">
        <v>74</v>
      </c>
      <c r="S963" t="s">
        <v>74</v>
      </c>
      <c r="T963" t="s">
        <v>18472</v>
      </c>
      <c r="U963" t="s">
        <v>18473</v>
      </c>
      <c r="V963" t="s">
        <v>18474</v>
      </c>
      <c r="W963" t="s">
        <v>18475</v>
      </c>
      <c r="X963" t="s">
        <v>74</v>
      </c>
      <c r="Y963" t="s">
        <v>18476</v>
      </c>
      <c r="Z963" t="s">
        <v>18477</v>
      </c>
      <c r="AA963" t="s">
        <v>18478</v>
      </c>
      <c r="AB963" t="s">
        <v>74</v>
      </c>
      <c r="AC963" t="s">
        <v>74</v>
      </c>
      <c r="AD963" t="s">
        <v>74</v>
      </c>
      <c r="AE963" t="s">
        <v>74</v>
      </c>
      <c r="AF963" t="s">
        <v>74</v>
      </c>
      <c r="AG963">
        <v>24</v>
      </c>
      <c r="AH963">
        <v>1</v>
      </c>
      <c r="AI963">
        <v>2</v>
      </c>
      <c r="AJ963">
        <v>0</v>
      </c>
      <c r="AK963">
        <v>18</v>
      </c>
      <c r="AL963" t="s">
        <v>18479</v>
      </c>
      <c r="AM963" t="s">
        <v>18480</v>
      </c>
      <c r="AN963" t="s">
        <v>18481</v>
      </c>
      <c r="AO963" t="s">
        <v>18482</v>
      </c>
      <c r="AP963" t="s">
        <v>18483</v>
      </c>
      <c r="AQ963" t="s">
        <v>74</v>
      </c>
      <c r="AR963" t="s">
        <v>18484</v>
      </c>
      <c r="AS963" t="s">
        <v>18485</v>
      </c>
      <c r="AT963" t="s">
        <v>6581</v>
      </c>
      <c r="AU963">
        <v>2019</v>
      </c>
      <c r="AV963">
        <v>55</v>
      </c>
      <c r="AW963">
        <v>2</v>
      </c>
      <c r="AX963" t="s">
        <v>74</v>
      </c>
      <c r="AY963" t="s">
        <v>74</v>
      </c>
      <c r="AZ963" t="s">
        <v>74</v>
      </c>
      <c r="BA963" t="s">
        <v>74</v>
      </c>
      <c r="BB963">
        <v>145</v>
      </c>
      <c r="BC963">
        <v>153</v>
      </c>
      <c r="BD963" t="s">
        <v>74</v>
      </c>
      <c r="BE963" t="s">
        <v>18486</v>
      </c>
      <c r="BF963" t="str">
        <f>HYPERLINK("http://dx.doi.org/10.1177/0009445519834700","http://dx.doi.org/10.1177/0009445519834700")</f>
        <v>http://dx.doi.org/10.1177/0009445519834700</v>
      </c>
      <c r="BG963" t="s">
        <v>74</v>
      </c>
      <c r="BH963" t="s">
        <v>74</v>
      </c>
      <c r="BI963">
        <v>9</v>
      </c>
      <c r="BJ963" t="s">
        <v>18487</v>
      </c>
      <c r="BK963" t="s">
        <v>2978</v>
      </c>
      <c r="BL963" t="s">
        <v>18487</v>
      </c>
      <c r="BM963" t="s">
        <v>18488</v>
      </c>
      <c r="BN963" t="s">
        <v>74</v>
      </c>
      <c r="BO963" t="s">
        <v>74</v>
      </c>
      <c r="BP963" t="s">
        <v>74</v>
      </c>
      <c r="BQ963" t="s">
        <v>74</v>
      </c>
      <c r="BR963" t="s">
        <v>103</v>
      </c>
      <c r="BS963" t="s">
        <v>18489</v>
      </c>
      <c r="BT963" t="str">
        <f>HYPERLINK("https%3A%2F%2Fwww.webofscience.com%2Fwos%2Fwoscc%2Ffull-record%2FWOS:000468441700004","View Full Record in Web of Science")</f>
        <v>View Full Record in Web of Science</v>
      </c>
    </row>
    <row r="964" spans="1:72" x14ac:dyDescent="0.15">
      <c r="A964" t="s">
        <v>72</v>
      </c>
      <c r="B964" t="s">
        <v>18490</v>
      </c>
      <c r="C964" t="s">
        <v>74</v>
      </c>
      <c r="D964" t="s">
        <v>74</v>
      </c>
      <c r="E964" t="s">
        <v>74</v>
      </c>
      <c r="F964" t="s">
        <v>18491</v>
      </c>
      <c r="G964" t="s">
        <v>74</v>
      </c>
      <c r="H964" t="s">
        <v>74</v>
      </c>
      <c r="I964" t="s">
        <v>18492</v>
      </c>
      <c r="J964" t="s">
        <v>18493</v>
      </c>
      <c r="K964" t="s">
        <v>74</v>
      </c>
      <c r="L964" t="s">
        <v>74</v>
      </c>
      <c r="M964" t="s">
        <v>78</v>
      </c>
      <c r="N964" t="s">
        <v>108</v>
      </c>
      <c r="O964" t="s">
        <v>74</v>
      </c>
      <c r="P964" t="s">
        <v>74</v>
      </c>
      <c r="Q964" t="s">
        <v>74</v>
      </c>
      <c r="R964" t="s">
        <v>74</v>
      </c>
      <c r="S964" t="s">
        <v>74</v>
      </c>
      <c r="T964" t="s">
        <v>18494</v>
      </c>
      <c r="U964" t="s">
        <v>18495</v>
      </c>
      <c r="V964" t="s">
        <v>18496</v>
      </c>
      <c r="W964" t="s">
        <v>18497</v>
      </c>
      <c r="X964" t="s">
        <v>18498</v>
      </c>
      <c r="Y964" t="s">
        <v>18499</v>
      </c>
      <c r="Z964" t="s">
        <v>18500</v>
      </c>
      <c r="AA964" t="s">
        <v>18501</v>
      </c>
      <c r="AB964" t="s">
        <v>18502</v>
      </c>
      <c r="AC964" t="s">
        <v>18503</v>
      </c>
      <c r="AD964" t="s">
        <v>18504</v>
      </c>
      <c r="AE964" t="s">
        <v>18505</v>
      </c>
      <c r="AF964" t="s">
        <v>74</v>
      </c>
      <c r="AG964">
        <v>72</v>
      </c>
      <c r="AH964">
        <v>1</v>
      </c>
      <c r="AI964">
        <v>1</v>
      </c>
      <c r="AJ964">
        <v>0</v>
      </c>
      <c r="AK964">
        <v>9</v>
      </c>
      <c r="AL964" t="s">
        <v>154</v>
      </c>
      <c r="AM964" t="s">
        <v>4016</v>
      </c>
      <c r="AN964" t="s">
        <v>4040</v>
      </c>
      <c r="AO964" t="s">
        <v>18506</v>
      </c>
      <c r="AP964" t="s">
        <v>18507</v>
      </c>
      <c r="AQ964" t="s">
        <v>74</v>
      </c>
      <c r="AR964" t="s">
        <v>18508</v>
      </c>
      <c r="AS964" t="s">
        <v>18509</v>
      </c>
      <c r="AT964" t="s">
        <v>6581</v>
      </c>
      <c r="AU964">
        <v>2019</v>
      </c>
      <c r="AV964">
        <v>174</v>
      </c>
      <c r="AW964">
        <v>5</v>
      </c>
      <c r="AX964" t="s">
        <v>74</v>
      </c>
      <c r="AY964" t="s">
        <v>74</v>
      </c>
      <c r="AZ964" t="s">
        <v>74</v>
      </c>
      <c r="BA964" t="s">
        <v>74</v>
      </c>
      <c r="BB964" t="s">
        <v>74</v>
      </c>
      <c r="BC964" t="s">
        <v>74</v>
      </c>
      <c r="BD964">
        <v>44</v>
      </c>
      <c r="BE964" t="s">
        <v>18510</v>
      </c>
      <c r="BF964" t="str">
        <f>HYPERLINK("http://dx.doi.org/10.1007/s00410-019-1579-1","http://dx.doi.org/10.1007/s00410-019-1579-1")</f>
        <v>http://dx.doi.org/10.1007/s00410-019-1579-1</v>
      </c>
      <c r="BG964" t="s">
        <v>74</v>
      </c>
      <c r="BH964" t="s">
        <v>74</v>
      </c>
      <c r="BI964">
        <v>22</v>
      </c>
      <c r="BJ964" t="s">
        <v>18511</v>
      </c>
      <c r="BK964" t="s">
        <v>101</v>
      </c>
      <c r="BL964" t="s">
        <v>18511</v>
      </c>
      <c r="BM964" t="s">
        <v>18512</v>
      </c>
      <c r="BN964" t="s">
        <v>74</v>
      </c>
      <c r="BO964" t="s">
        <v>1985</v>
      </c>
      <c r="BP964" t="s">
        <v>74</v>
      </c>
      <c r="BQ964" t="s">
        <v>74</v>
      </c>
      <c r="BR964" t="s">
        <v>103</v>
      </c>
      <c r="BS964" t="s">
        <v>18513</v>
      </c>
      <c r="BT964" t="str">
        <f>HYPERLINK("https%3A%2F%2Fwww.webofscience.com%2Fwos%2Fwoscc%2Ffull-record%2FWOS:000467797000002","View Full Record in Web of Science")</f>
        <v>View Full Record in Web of Science</v>
      </c>
    </row>
    <row r="965" spans="1:72" x14ac:dyDescent="0.15">
      <c r="A965" t="s">
        <v>72</v>
      </c>
      <c r="B965" t="s">
        <v>18514</v>
      </c>
      <c r="C965" t="s">
        <v>74</v>
      </c>
      <c r="D965" t="s">
        <v>74</v>
      </c>
      <c r="E965" t="s">
        <v>74</v>
      </c>
      <c r="F965" t="s">
        <v>18515</v>
      </c>
      <c r="G965" t="s">
        <v>74</v>
      </c>
      <c r="H965" t="s">
        <v>74</v>
      </c>
      <c r="I965" t="s">
        <v>18516</v>
      </c>
      <c r="J965" t="s">
        <v>5732</v>
      </c>
      <c r="K965" t="s">
        <v>74</v>
      </c>
      <c r="L965" t="s">
        <v>74</v>
      </c>
      <c r="M965" t="s">
        <v>78</v>
      </c>
      <c r="N965" t="s">
        <v>108</v>
      </c>
      <c r="O965" t="s">
        <v>74</v>
      </c>
      <c r="P965" t="s">
        <v>74</v>
      </c>
      <c r="Q965" t="s">
        <v>74</v>
      </c>
      <c r="R965" t="s">
        <v>74</v>
      </c>
      <c r="S965" t="s">
        <v>74</v>
      </c>
      <c r="T965" t="s">
        <v>74</v>
      </c>
      <c r="U965" t="s">
        <v>18517</v>
      </c>
      <c r="V965" t="s">
        <v>18518</v>
      </c>
      <c r="W965" t="s">
        <v>18519</v>
      </c>
      <c r="X965" t="s">
        <v>18520</v>
      </c>
      <c r="Y965" t="s">
        <v>18521</v>
      </c>
      <c r="Z965" t="s">
        <v>18522</v>
      </c>
      <c r="AA965" t="s">
        <v>18523</v>
      </c>
      <c r="AB965" t="s">
        <v>18524</v>
      </c>
      <c r="AC965" t="s">
        <v>18525</v>
      </c>
      <c r="AD965" t="s">
        <v>18526</v>
      </c>
      <c r="AE965" t="s">
        <v>18527</v>
      </c>
      <c r="AF965" t="s">
        <v>74</v>
      </c>
      <c r="AG965">
        <v>67</v>
      </c>
      <c r="AH965">
        <v>10</v>
      </c>
      <c r="AI965">
        <v>10</v>
      </c>
      <c r="AJ965">
        <v>0</v>
      </c>
      <c r="AK965">
        <v>14</v>
      </c>
      <c r="AL965" t="s">
        <v>438</v>
      </c>
      <c r="AM965" t="s">
        <v>439</v>
      </c>
      <c r="AN965" t="s">
        <v>440</v>
      </c>
      <c r="AO965" t="s">
        <v>5745</v>
      </c>
      <c r="AP965" t="s">
        <v>5746</v>
      </c>
      <c r="AQ965" t="s">
        <v>74</v>
      </c>
      <c r="AR965" t="s">
        <v>5747</v>
      </c>
      <c r="AS965" t="s">
        <v>5748</v>
      </c>
      <c r="AT965" t="s">
        <v>6581</v>
      </c>
      <c r="AU965">
        <v>2019</v>
      </c>
      <c r="AV965">
        <v>176</v>
      </c>
      <c r="AW965" t="s">
        <v>74</v>
      </c>
      <c r="AX965" t="s">
        <v>74</v>
      </c>
      <c r="AY965" t="s">
        <v>74</v>
      </c>
      <c r="AZ965" t="s">
        <v>74</v>
      </c>
      <c r="BA965" t="s">
        <v>74</v>
      </c>
      <c r="BB965">
        <v>36</v>
      </c>
      <c r="BC965">
        <v>49</v>
      </c>
      <c r="BD965" t="s">
        <v>74</v>
      </c>
      <c r="BE965" t="s">
        <v>18528</v>
      </c>
      <c r="BF965" t="str">
        <f>HYPERLINK("http://dx.doi.org/10.1016/j.gloplacha.2019.02.013","http://dx.doi.org/10.1016/j.gloplacha.2019.02.013")</f>
        <v>http://dx.doi.org/10.1016/j.gloplacha.2019.02.013</v>
      </c>
      <c r="BG965" t="s">
        <v>74</v>
      </c>
      <c r="BH965" t="s">
        <v>74</v>
      </c>
      <c r="BI965">
        <v>14</v>
      </c>
      <c r="BJ965" t="s">
        <v>310</v>
      </c>
      <c r="BK965" t="s">
        <v>101</v>
      </c>
      <c r="BL965" t="s">
        <v>311</v>
      </c>
      <c r="BM965" t="s">
        <v>18529</v>
      </c>
      <c r="BN965" t="s">
        <v>74</v>
      </c>
      <c r="BO965" t="s">
        <v>74</v>
      </c>
      <c r="BP965" t="s">
        <v>74</v>
      </c>
      <c r="BQ965" t="s">
        <v>74</v>
      </c>
      <c r="BR965" t="s">
        <v>103</v>
      </c>
      <c r="BS965" t="s">
        <v>18530</v>
      </c>
      <c r="BT965" t="str">
        <f>HYPERLINK("https%3A%2F%2Fwww.webofscience.com%2Fwos%2Fwoscc%2Ffull-record%2FWOS:000465364600003","View Full Record in Web of Science")</f>
        <v>View Full Record in Web of Science</v>
      </c>
    </row>
    <row r="966" spans="1:72" x14ac:dyDescent="0.15">
      <c r="A966" t="s">
        <v>72</v>
      </c>
      <c r="B966" t="s">
        <v>18531</v>
      </c>
      <c r="C966" t="s">
        <v>74</v>
      </c>
      <c r="D966" t="s">
        <v>74</v>
      </c>
      <c r="E966" t="s">
        <v>74</v>
      </c>
      <c r="F966" t="s">
        <v>18532</v>
      </c>
      <c r="G966" t="s">
        <v>74</v>
      </c>
      <c r="H966" t="s">
        <v>74</v>
      </c>
      <c r="I966" t="s">
        <v>18533</v>
      </c>
      <c r="J966" t="s">
        <v>4132</v>
      </c>
      <c r="K966" t="s">
        <v>74</v>
      </c>
      <c r="L966" t="s">
        <v>74</v>
      </c>
      <c r="M966" t="s">
        <v>78</v>
      </c>
      <c r="N966" t="s">
        <v>108</v>
      </c>
      <c r="O966" t="s">
        <v>74</v>
      </c>
      <c r="P966" t="s">
        <v>74</v>
      </c>
      <c r="Q966" t="s">
        <v>74</v>
      </c>
      <c r="R966" t="s">
        <v>74</v>
      </c>
      <c r="S966" t="s">
        <v>74</v>
      </c>
      <c r="T966" t="s">
        <v>18534</v>
      </c>
      <c r="U966" t="s">
        <v>18535</v>
      </c>
      <c r="V966" t="s">
        <v>18536</v>
      </c>
      <c r="W966" t="s">
        <v>18537</v>
      </c>
      <c r="X966" t="s">
        <v>18538</v>
      </c>
      <c r="Y966" t="s">
        <v>18539</v>
      </c>
      <c r="Z966" t="s">
        <v>4206</v>
      </c>
      <c r="AA966" t="s">
        <v>18540</v>
      </c>
      <c r="AB966" t="s">
        <v>18541</v>
      </c>
      <c r="AC966" t="s">
        <v>18542</v>
      </c>
      <c r="AD966" t="s">
        <v>18543</v>
      </c>
      <c r="AE966" t="s">
        <v>18544</v>
      </c>
      <c r="AF966" t="s">
        <v>74</v>
      </c>
      <c r="AG966">
        <v>86</v>
      </c>
      <c r="AH966">
        <v>5</v>
      </c>
      <c r="AI966">
        <v>5</v>
      </c>
      <c r="AJ966">
        <v>0</v>
      </c>
      <c r="AK966">
        <v>10</v>
      </c>
      <c r="AL966" t="s">
        <v>4145</v>
      </c>
      <c r="AM966" t="s">
        <v>303</v>
      </c>
      <c r="AN966" t="s">
        <v>4146</v>
      </c>
      <c r="AO966" t="s">
        <v>4147</v>
      </c>
      <c r="AP966" t="s">
        <v>4148</v>
      </c>
      <c r="AQ966" t="s">
        <v>74</v>
      </c>
      <c r="AR966" t="s">
        <v>4149</v>
      </c>
      <c r="AS966" t="s">
        <v>4150</v>
      </c>
      <c r="AT966" t="s">
        <v>6581</v>
      </c>
      <c r="AU966">
        <v>2019</v>
      </c>
      <c r="AV966">
        <v>222</v>
      </c>
      <c r="AW966">
        <v>9</v>
      </c>
      <c r="AX966" t="s">
        <v>74</v>
      </c>
      <c r="AY966" t="s">
        <v>74</v>
      </c>
      <c r="AZ966" t="s">
        <v>74</v>
      </c>
      <c r="BA966" t="s">
        <v>74</v>
      </c>
      <c r="BB966" t="s">
        <v>74</v>
      </c>
      <c r="BC966" t="s">
        <v>74</v>
      </c>
      <c r="BD966" t="s">
        <v>18545</v>
      </c>
      <c r="BE966" t="s">
        <v>18546</v>
      </c>
      <c r="BF966" t="str">
        <f>HYPERLINK("http://dx.doi.org/10.1242/jeb.195255","http://dx.doi.org/10.1242/jeb.195255")</f>
        <v>http://dx.doi.org/10.1242/jeb.195255</v>
      </c>
      <c r="BG966" t="s">
        <v>74</v>
      </c>
      <c r="BH966" t="s">
        <v>74</v>
      </c>
      <c r="BI966">
        <v>9</v>
      </c>
      <c r="BJ966" t="s">
        <v>1558</v>
      </c>
      <c r="BK966" t="s">
        <v>101</v>
      </c>
      <c r="BL966" t="s">
        <v>1559</v>
      </c>
      <c r="BM966" t="s">
        <v>18547</v>
      </c>
      <c r="BN966">
        <v>30936269</v>
      </c>
      <c r="BO966" t="s">
        <v>537</v>
      </c>
      <c r="BP966" t="s">
        <v>74</v>
      </c>
      <c r="BQ966" t="s">
        <v>74</v>
      </c>
      <c r="BR966" t="s">
        <v>103</v>
      </c>
      <c r="BS966" t="s">
        <v>18548</v>
      </c>
      <c r="BT966" t="str">
        <f>HYPERLINK("https%3A%2F%2Fwww.webofscience.com%2Fwos%2Fwoscc%2Ffull-record%2FWOS:000467732200012","View Full Record in Web of Science")</f>
        <v>View Full Record in Web of Science</v>
      </c>
    </row>
    <row r="967" spans="1:72" x14ac:dyDescent="0.15">
      <c r="A967" t="s">
        <v>72</v>
      </c>
      <c r="B967" t="s">
        <v>18549</v>
      </c>
      <c r="C967" t="s">
        <v>74</v>
      </c>
      <c r="D967" t="s">
        <v>74</v>
      </c>
      <c r="E967" t="s">
        <v>74</v>
      </c>
      <c r="F967" t="s">
        <v>18550</v>
      </c>
      <c r="G967" t="s">
        <v>74</v>
      </c>
      <c r="H967" t="s">
        <v>74</v>
      </c>
      <c r="I967" t="s">
        <v>18551</v>
      </c>
      <c r="J967" t="s">
        <v>18552</v>
      </c>
      <c r="K967" t="s">
        <v>74</v>
      </c>
      <c r="L967" t="s">
        <v>74</v>
      </c>
      <c r="M967" t="s">
        <v>78</v>
      </c>
      <c r="N967" t="s">
        <v>108</v>
      </c>
      <c r="O967" t="s">
        <v>74</v>
      </c>
      <c r="P967" t="s">
        <v>74</v>
      </c>
      <c r="Q967" t="s">
        <v>74</v>
      </c>
      <c r="R967" t="s">
        <v>74</v>
      </c>
      <c r="S967" t="s">
        <v>74</v>
      </c>
      <c r="T967" t="s">
        <v>18553</v>
      </c>
      <c r="U967" t="s">
        <v>18554</v>
      </c>
      <c r="V967" t="s">
        <v>18555</v>
      </c>
      <c r="W967" t="s">
        <v>18556</v>
      </c>
      <c r="X967" t="s">
        <v>18557</v>
      </c>
      <c r="Y967" t="s">
        <v>18558</v>
      </c>
      <c r="Z967" t="s">
        <v>18559</v>
      </c>
      <c r="AA967" t="s">
        <v>11137</v>
      </c>
      <c r="AB967" t="s">
        <v>11138</v>
      </c>
      <c r="AC967" t="s">
        <v>18560</v>
      </c>
      <c r="AD967" t="s">
        <v>18561</v>
      </c>
      <c r="AE967" t="s">
        <v>18562</v>
      </c>
      <c r="AF967" t="s">
        <v>74</v>
      </c>
      <c r="AG967">
        <v>60</v>
      </c>
      <c r="AH967">
        <v>28</v>
      </c>
      <c r="AI967">
        <v>34</v>
      </c>
      <c r="AJ967">
        <v>17</v>
      </c>
      <c r="AK967">
        <v>81</v>
      </c>
      <c r="AL967" t="s">
        <v>18563</v>
      </c>
      <c r="AM967" t="s">
        <v>657</v>
      </c>
      <c r="AN967" t="s">
        <v>18564</v>
      </c>
      <c r="AO967" t="s">
        <v>18565</v>
      </c>
      <c r="AP967" t="s">
        <v>18566</v>
      </c>
      <c r="AQ967" t="s">
        <v>74</v>
      </c>
      <c r="AR967" t="s">
        <v>18567</v>
      </c>
      <c r="AS967" t="s">
        <v>18568</v>
      </c>
      <c r="AT967" t="s">
        <v>6581</v>
      </c>
      <c r="AU967">
        <v>2019</v>
      </c>
      <c r="AV967">
        <v>43</v>
      </c>
      <c r="AW967">
        <v>5</v>
      </c>
      <c r="AX967" t="s">
        <v>74</v>
      </c>
      <c r="AY967" t="s">
        <v>74</v>
      </c>
      <c r="AZ967" t="s">
        <v>74</v>
      </c>
      <c r="BA967" t="s">
        <v>74</v>
      </c>
      <c r="BB967" t="s">
        <v>74</v>
      </c>
      <c r="BC967" t="s">
        <v>74</v>
      </c>
      <c r="BD967" t="s">
        <v>18569</v>
      </c>
      <c r="BE967" t="s">
        <v>18570</v>
      </c>
      <c r="BF967" t="str">
        <f>HYPERLINK("http://dx.doi.org/10.1111/jfbc.12827","http://dx.doi.org/10.1111/jfbc.12827")</f>
        <v>http://dx.doi.org/10.1111/jfbc.12827</v>
      </c>
      <c r="BG967" t="s">
        <v>74</v>
      </c>
      <c r="BH967" t="s">
        <v>74</v>
      </c>
      <c r="BI967">
        <v>12</v>
      </c>
      <c r="BJ967" t="s">
        <v>18571</v>
      </c>
      <c r="BK967" t="s">
        <v>101</v>
      </c>
      <c r="BL967" t="s">
        <v>18571</v>
      </c>
      <c r="BM967" t="s">
        <v>18572</v>
      </c>
      <c r="BN967">
        <v>31353526</v>
      </c>
      <c r="BO967" t="s">
        <v>366</v>
      </c>
      <c r="BP967" t="s">
        <v>74</v>
      </c>
      <c r="BQ967" t="s">
        <v>74</v>
      </c>
      <c r="BR967" t="s">
        <v>103</v>
      </c>
      <c r="BS967" t="s">
        <v>18573</v>
      </c>
      <c r="BT967" t="str">
        <f>HYPERLINK("https%3A%2F%2Fwww.webofscience.com%2Fwos%2Fwoscc%2Ffull-record%2FWOS:000468395500011","View Full Record in Web of Science")</f>
        <v>View Full Record in Web of Science</v>
      </c>
    </row>
    <row r="968" spans="1:72" x14ac:dyDescent="0.15">
      <c r="A968" t="s">
        <v>72</v>
      </c>
      <c r="B968" t="s">
        <v>18574</v>
      </c>
      <c r="C968" t="s">
        <v>74</v>
      </c>
      <c r="D968" t="s">
        <v>74</v>
      </c>
      <c r="E968" t="s">
        <v>74</v>
      </c>
      <c r="F968" t="s">
        <v>18575</v>
      </c>
      <c r="G968" t="s">
        <v>74</v>
      </c>
      <c r="H968" t="s">
        <v>74</v>
      </c>
      <c r="I968" t="s">
        <v>18576</v>
      </c>
      <c r="J968" t="s">
        <v>5818</v>
      </c>
      <c r="K968" t="s">
        <v>74</v>
      </c>
      <c r="L968" t="s">
        <v>74</v>
      </c>
      <c r="M968" t="s">
        <v>78</v>
      </c>
      <c r="N968" t="s">
        <v>108</v>
      </c>
      <c r="O968" t="s">
        <v>74</v>
      </c>
      <c r="P968" t="s">
        <v>74</v>
      </c>
      <c r="Q968" t="s">
        <v>74</v>
      </c>
      <c r="R968" t="s">
        <v>74</v>
      </c>
      <c r="S968" t="s">
        <v>74</v>
      </c>
      <c r="T968" t="s">
        <v>74</v>
      </c>
      <c r="U968" t="s">
        <v>18577</v>
      </c>
      <c r="V968" t="s">
        <v>18578</v>
      </c>
      <c r="W968" t="s">
        <v>18579</v>
      </c>
      <c r="X968" t="s">
        <v>18580</v>
      </c>
      <c r="Y968" t="s">
        <v>18581</v>
      </c>
      <c r="Z968" t="s">
        <v>18582</v>
      </c>
      <c r="AA968" t="s">
        <v>18583</v>
      </c>
      <c r="AB968" t="s">
        <v>18584</v>
      </c>
      <c r="AC968" t="s">
        <v>18585</v>
      </c>
      <c r="AD968" t="s">
        <v>18586</v>
      </c>
      <c r="AE968" t="s">
        <v>18587</v>
      </c>
      <c r="AF968" t="s">
        <v>74</v>
      </c>
      <c r="AG968">
        <v>91</v>
      </c>
      <c r="AH968">
        <v>21</v>
      </c>
      <c r="AI968">
        <v>23</v>
      </c>
      <c r="AJ968">
        <v>0</v>
      </c>
      <c r="AK968">
        <v>13</v>
      </c>
      <c r="AL968" t="s">
        <v>1140</v>
      </c>
      <c r="AM968" t="s">
        <v>1141</v>
      </c>
      <c r="AN968" t="s">
        <v>1142</v>
      </c>
      <c r="AO968" t="s">
        <v>5827</v>
      </c>
      <c r="AP968" t="s">
        <v>5828</v>
      </c>
      <c r="AQ968" t="s">
        <v>74</v>
      </c>
      <c r="AR968" t="s">
        <v>5829</v>
      </c>
      <c r="AS968" t="s">
        <v>5830</v>
      </c>
      <c r="AT968" t="s">
        <v>6581</v>
      </c>
      <c r="AU968">
        <v>2019</v>
      </c>
      <c r="AV968">
        <v>54</v>
      </c>
      <c r="AW968">
        <v>5</v>
      </c>
      <c r="AX968" t="s">
        <v>74</v>
      </c>
      <c r="AY968" t="s">
        <v>74</v>
      </c>
      <c r="AZ968" t="s">
        <v>74</v>
      </c>
      <c r="BA968" t="s">
        <v>74</v>
      </c>
      <c r="BB968">
        <v>1051</v>
      </c>
      <c r="BC968">
        <v>1068</v>
      </c>
      <c r="BD968" t="s">
        <v>74</v>
      </c>
      <c r="BE968" t="s">
        <v>18588</v>
      </c>
      <c r="BF968" t="str">
        <f>HYPERLINK("http://dx.doi.org/10.1111/maps.13264","http://dx.doi.org/10.1111/maps.13264")</f>
        <v>http://dx.doi.org/10.1111/maps.13264</v>
      </c>
      <c r="BG968" t="s">
        <v>74</v>
      </c>
      <c r="BH968" t="s">
        <v>74</v>
      </c>
      <c r="BI968">
        <v>18</v>
      </c>
      <c r="BJ968" t="s">
        <v>190</v>
      </c>
      <c r="BK968" t="s">
        <v>101</v>
      </c>
      <c r="BL968" t="s">
        <v>190</v>
      </c>
      <c r="BM968" t="s">
        <v>18589</v>
      </c>
      <c r="BN968" t="s">
        <v>74</v>
      </c>
      <c r="BO968" t="s">
        <v>1308</v>
      </c>
      <c r="BP968" t="s">
        <v>74</v>
      </c>
      <c r="BQ968" t="s">
        <v>74</v>
      </c>
      <c r="BR968" t="s">
        <v>103</v>
      </c>
      <c r="BS968" t="s">
        <v>18590</v>
      </c>
      <c r="BT968" t="str">
        <f>HYPERLINK("https%3A%2F%2Fwww.webofscience.com%2Fwos%2Fwoscc%2Ffull-record%2FWOS:000468026900005","View Full Record in Web of Science")</f>
        <v>View Full Record in Web of Science</v>
      </c>
    </row>
    <row r="969" spans="1:72" x14ac:dyDescent="0.15">
      <c r="A969" t="s">
        <v>72</v>
      </c>
      <c r="B969" t="s">
        <v>18591</v>
      </c>
      <c r="C969" t="s">
        <v>74</v>
      </c>
      <c r="D969" t="s">
        <v>74</v>
      </c>
      <c r="E969" t="s">
        <v>74</v>
      </c>
      <c r="F969" t="s">
        <v>18592</v>
      </c>
      <c r="G969" t="s">
        <v>74</v>
      </c>
      <c r="H969" t="s">
        <v>74</v>
      </c>
      <c r="I969" t="s">
        <v>18593</v>
      </c>
      <c r="J969" t="s">
        <v>5818</v>
      </c>
      <c r="K969" t="s">
        <v>74</v>
      </c>
      <c r="L969" t="s">
        <v>74</v>
      </c>
      <c r="M969" t="s">
        <v>78</v>
      </c>
      <c r="N969" t="s">
        <v>108</v>
      </c>
      <c r="O969" t="s">
        <v>74</v>
      </c>
      <c r="P969" t="s">
        <v>74</v>
      </c>
      <c r="Q969" t="s">
        <v>74</v>
      </c>
      <c r="R969" t="s">
        <v>74</v>
      </c>
      <c r="S969" t="s">
        <v>74</v>
      </c>
      <c r="T969" t="s">
        <v>74</v>
      </c>
      <c r="U969" t="s">
        <v>18594</v>
      </c>
      <c r="V969" t="s">
        <v>18595</v>
      </c>
      <c r="W969" t="s">
        <v>18596</v>
      </c>
      <c r="X969" t="s">
        <v>18597</v>
      </c>
      <c r="Y969" t="s">
        <v>18598</v>
      </c>
      <c r="Z969" t="s">
        <v>18599</v>
      </c>
      <c r="AA969" t="s">
        <v>74</v>
      </c>
      <c r="AB969" t="s">
        <v>18600</v>
      </c>
      <c r="AC969" t="s">
        <v>570</v>
      </c>
      <c r="AD969" t="s">
        <v>571</v>
      </c>
      <c r="AE969" t="s">
        <v>18601</v>
      </c>
      <c r="AF969" t="s">
        <v>74</v>
      </c>
      <c r="AG969">
        <v>44</v>
      </c>
      <c r="AH969">
        <v>1</v>
      </c>
      <c r="AI969">
        <v>1</v>
      </c>
      <c r="AJ969">
        <v>0</v>
      </c>
      <c r="AK969">
        <v>5</v>
      </c>
      <c r="AL969" t="s">
        <v>1140</v>
      </c>
      <c r="AM969" t="s">
        <v>1141</v>
      </c>
      <c r="AN969" t="s">
        <v>1142</v>
      </c>
      <c r="AO969" t="s">
        <v>5827</v>
      </c>
      <c r="AP969" t="s">
        <v>5828</v>
      </c>
      <c r="AQ969" t="s">
        <v>74</v>
      </c>
      <c r="AR969" t="s">
        <v>5829</v>
      </c>
      <c r="AS969" t="s">
        <v>5830</v>
      </c>
      <c r="AT969" t="s">
        <v>6581</v>
      </c>
      <c r="AU969">
        <v>2019</v>
      </c>
      <c r="AV969">
        <v>54</v>
      </c>
      <c r="AW969">
        <v>5</v>
      </c>
      <c r="AX969" t="s">
        <v>74</v>
      </c>
      <c r="AY969" t="s">
        <v>74</v>
      </c>
      <c r="AZ969" t="s">
        <v>74</v>
      </c>
      <c r="BA969" t="s">
        <v>74</v>
      </c>
      <c r="BB969">
        <v>1153</v>
      </c>
      <c r="BC969">
        <v>1166</v>
      </c>
      <c r="BD969" t="s">
        <v>74</v>
      </c>
      <c r="BE969" t="s">
        <v>18602</v>
      </c>
      <c r="BF969" t="str">
        <f>HYPERLINK("http://dx.doi.org/10.1111/maps.13273","http://dx.doi.org/10.1111/maps.13273")</f>
        <v>http://dx.doi.org/10.1111/maps.13273</v>
      </c>
      <c r="BG969" t="s">
        <v>74</v>
      </c>
      <c r="BH969" t="s">
        <v>74</v>
      </c>
      <c r="BI969">
        <v>14</v>
      </c>
      <c r="BJ969" t="s">
        <v>190</v>
      </c>
      <c r="BK969" t="s">
        <v>101</v>
      </c>
      <c r="BL969" t="s">
        <v>190</v>
      </c>
      <c r="BM969" t="s">
        <v>18589</v>
      </c>
      <c r="BN969" t="s">
        <v>74</v>
      </c>
      <c r="BO969" t="s">
        <v>1308</v>
      </c>
      <c r="BP969" t="s">
        <v>74</v>
      </c>
      <c r="BQ969" t="s">
        <v>74</v>
      </c>
      <c r="BR969" t="s">
        <v>103</v>
      </c>
      <c r="BS969" t="s">
        <v>18603</v>
      </c>
      <c r="BT969" t="str">
        <f>HYPERLINK("https%3A%2F%2Fwww.webofscience.com%2Fwos%2Fwoscc%2Ffull-record%2FWOS:000468026900010","View Full Record in Web of Science")</f>
        <v>View Full Record in Web of Science</v>
      </c>
    </row>
    <row r="970" spans="1:72" x14ac:dyDescent="0.15">
      <c r="A970" t="s">
        <v>72</v>
      </c>
      <c r="B970" t="s">
        <v>18604</v>
      </c>
      <c r="C970" t="s">
        <v>74</v>
      </c>
      <c r="D970" t="s">
        <v>74</v>
      </c>
      <c r="E970" t="s">
        <v>74</v>
      </c>
      <c r="F970" t="s">
        <v>18605</v>
      </c>
      <c r="G970" t="s">
        <v>74</v>
      </c>
      <c r="H970" t="s">
        <v>74</v>
      </c>
      <c r="I970" t="s">
        <v>18606</v>
      </c>
      <c r="J970" t="s">
        <v>18607</v>
      </c>
      <c r="K970" t="s">
        <v>74</v>
      </c>
      <c r="L970" t="s">
        <v>74</v>
      </c>
      <c r="M970" t="s">
        <v>78</v>
      </c>
      <c r="N970" t="s">
        <v>108</v>
      </c>
      <c r="O970" t="s">
        <v>74</v>
      </c>
      <c r="P970" t="s">
        <v>74</v>
      </c>
      <c r="Q970" t="s">
        <v>74</v>
      </c>
      <c r="R970" t="s">
        <v>74</v>
      </c>
      <c r="S970" t="s">
        <v>74</v>
      </c>
      <c r="T970" t="s">
        <v>18608</v>
      </c>
      <c r="U970" t="s">
        <v>18609</v>
      </c>
      <c r="V970" t="s">
        <v>18610</v>
      </c>
      <c r="W970" t="s">
        <v>18611</v>
      </c>
      <c r="X970" t="s">
        <v>18612</v>
      </c>
      <c r="Y970" t="s">
        <v>18613</v>
      </c>
      <c r="Z970" t="s">
        <v>18614</v>
      </c>
      <c r="AA970" t="s">
        <v>18615</v>
      </c>
      <c r="AB970" t="s">
        <v>18616</v>
      </c>
      <c r="AC970" t="s">
        <v>18617</v>
      </c>
      <c r="AD970" t="s">
        <v>18618</v>
      </c>
      <c r="AE970" t="s">
        <v>18619</v>
      </c>
      <c r="AF970" t="s">
        <v>74</v>
      </c>
      <c r="AG970">
        <v>54</v>
      </c>
      <c r="AH970">
        <v>13</v>
      </c>
      <c r="AI970">
        <v>13</v>
      </c>
      <c r="AJ970">
        <v>1</v>
      </c>
      <c r="AK970">
        <v>24</v>
      </c>
      <c r="AL970" t="s">
        <v>1140</v>
      </c>
      <c r="AM970" t="s">
        <v>1141</v>
      </c>
      <c r="AN970" t="s">
        <v>1142</v>
      </c>
      <c r="AO970" t="s">
        <v>18620</v>
      </c>
      <c r="AP970" t="s">
        <v>74</v>
      </c>
      <c r="AQ970" t="s">
        <v>74</v>
      </c>
      <c r="AR970" t="s">
        <v>18607</v>
      </c>
      <c r="AS970" t="s">
        <v>18621</v>
      </c>
      <c r="AT970" t="s">
        <v>6581</v>
      </c>
      <c r="AU970">
        <v>2019</v>
      </c>
      <c r="AV970">
        <v>8</v>
      </c>
      <c r="AW970">
        <v>5</v>
      </c>
      <c r="AX970" t="s">
        <v>74</v>
      </c>
      <c r="AY970" t="s">
        <v>74</v>
      </c>
      <c r="AZ970" t="s">
        <v>74</v>
      </c>
      <c r="BA970" t="s">
        <v>74</v>
      </c>
      <c r="BB970" t="s">
        <v>74</v>
      </c>
      <c r="BC970" t="s">
        <v>74</v>
      </c>
      <c r="BD970" t="s">
        <v>18622</v>
      </c>
      <c r="BE970" t="s">
        <v>18623</v>
      </c>
      <c r="BF970" t="str">
        <f>HYPERLINK("http://dx.doi.org/10.1002/mbo3.715","http://dx.doi.org/10.1002/mbo3.715")</f>
        <v>http://dx.doi.org/10.1002/mbo3.715</v>
      </c>
      <c r="BG970" t="s">
        <v>74</v>
      </c>
      <c r="BH970" t="s">
        <v>74</v>
      </c>
      <c r="BI970">
        <v>11</v>
      </c>
      <c r="BJ970" t="s">
        <v>1514</v>
      </c>
      <c r="BK970" t="s">
        <v>101</v>
      </c>
      <c r="BL970" t="s">
        <v>1514</v>
      </c>
      <c r="BM970" t="s">
        <v>18624</v>
      </c>
      <c r="BN970">
        <v>30260585</v>
      </c>
      <c r="BO970" t="s">
        <v>313</v>
      </c>
      <c r="BP970" t="s">
        <v>74</v>
      </c>
      <c r="BQ970" t="s">
        <v>74</v>
      </c>
      <c r="BR970" t="s">
        <v>103</v>
      </c>
      <c r="BS970" t="s">
        <v>18625</v>
      </c>
      <c r="BT970" t="str">
        <f>HYPERLINK("https%3A%2F%2Fwww.webofscience.com%2Fwos%2Fwoscc%2Ffull-record%2FWOS:000468628800022","View Full Record in Web of Science")</f>
        <v>View Full Record in Web of Science</v>
      </c>
    </row>
    <row r="971" spans="1:72" x14ac:dyDescent="0.15">
      <c r="A971" t="s">
        <v>72</v>
      </c>
      <c r="B971" t="s">
        <v>18626</v>
      </c>
      <c r="C971" t="s">
        <v>74</v>
      </c>
      <c r="D971" t="s">
        <v>74</v>
      </c>
      <c r="E971" t="s">
        <v>74</v>
      </c>
      <c r="F971" t="s">
        <v>18627</v>
      </c>
      <c r="G971" t="s">
        <v>74</v>
      </c>
      <c r="H971" t="s">
        <v>74</v>
      </c>
      <c r="I971" t="s">
        <v>18628</v>
      </c>
      <c r="J971" t="s">
        <v>18629</v>
      </c>
      <c r="K971" t="s">
        <v>74</v>
      </c>
      <c r="L971" t="s">
        <v>74</v>
      </c>
      <c r="M971" t="s">
        <v>78</v>
      </c>
      <c r="N971" t="s">
        <v>108</v>
      </c>
      <c r="O971" t="s">
        <v>74</v>
      </c>
      <c r="P971" t="s">
        <v>74</v>
      </c>
      <c r="Q971" t="s">
        <v>74</v>
      </c>
      <c r="R971" t="s">
        <v>74</v>
      </c>
      <c r="S971" t="s">
        <v>74</v>
      </c>
      <c r="T971" t="s">
        <v>18630</v>
      </c>
      <c r="U971" t="s">
        <v>18631</v>
      </c>
      <c r="V971" t="s">
        <v>18632</v>
      </c>
      <c r="W971" t="s">
        <v>18633</v>
      </c>
      <c r="X971" t="s">
        <v>18634</v>
      </c>
      <c r="Y971" t="s">
        <v>18635</v>
      </c>
      <c r="Z971" t="s">
        <v>18636</v>
      </c>
      <c r="AA971" t="s">
        <v>18637</v>
      </c>
      <c r="AB971" t="s">
        <v>74</v>
      </c>
      <c r="AC971" t="s">
        <v>18638</v>
      </c>
      <c r="AD971" t="s">
        <v>18639</v>
      </c>
      <c r="AE971" t="s">
        <v>18640</v>
      </c>
      <c r="AF971" t="s">
        <v>74</v>
      </c>
      <c r="AG971">
        <v>22</v>
      </c>
      <c r="AH971">
        <v>19</v>
      </c>
      <c r="AI971">
        <v>23</v>
      </c>
      <c r="AJ971">
        <v>7</v>
      </c>
      <c r="AK971">
        <v>27</v>
      </c>
      <c r="AL971" t="s">
        <v>92</v>
      </c>
      <c r="AM971" t="s">
        <v>93</v>
      </c>
      <c r="AN971" t="s">
        <v>94</v>
      </c>
      <c r="AO971" t="s">
        <v>18641</v>
      </c>
      <c r="AP971" t="s">
        <v>74</v>
      </c>
      <c r="AQ971" t="s">
        <v>74</v>
      </c>
      <c r="AR971" t="s">
        <v>18642</v>
      </c>
      <c r="AS971" t="s">
        <v>18643</v>
      </c>
      <c r="AT971" t="s">
        <v>18126</v>
      </c>
      <c r="AU971">
        <v>2019</v>
      </c>
      <c r="AV971">
        <v>179</v>
      </c>
      <c r="AW971" t="s">
        <v>74</v>
      </c>
      <c r="AX971" t="s">
        <v>74</v>
      </c>
      <c r="AY971" t="s">
        <v>74</v>
      </c>
      <c r="AZ971" t="s">
        <v>74</v>
      </c>
      <c r="BA971" t="s">
        <v>74</v>
      </c>
      <c r="BB971">
        <v>173</v>
      </c>
      <c r="BC971">
        <v>179</v>
      </c>
      <c r="BD971" t="s">
        <v>74</v>
      </c>
      <c r="BE971" t="s">
        <v>18644</v>
      </c>
      <c r="BF971" t="str">
        <f>HYPERLINK("http://dx.doi.org/10.1016/j.oceaneng.2019.03.022","http://dx.doi.org/10.1016/j.oceaneng.2019.03.022")</f>
        <v>http://dx.doi.org/10.1016/j.oceaneng.2019.03.022</v>
      </c>
      <c r="BG971" t="s">
        <v>74</v>
      </c>
      <c r="BH971" t="s">
        <v>74</v>
      </c>
      <c r="BI971">
        <v>7</v>
      </c>
      <c r="BJ971" t="s">
        <v>18645</v>
      </c>
      <c r="BK971" t="s">
        <v>101</v>
      </c>
      <c r="BL971" t="s">
        <v>3826</v>
      </c>
      <c r="BM971" t="s">
        <v>18646</v>
      </c>
      <c r="BN971" t="s">
        <v>74</v>
      </c>
      <c r="BO971" t="s">
        <v>74</v>
      </c>
      <c r="BP971" t="s">
        <v>74</v>
      </c>
      <c r="BQ971" t="s">
        <v>74</v>
      </c>
      <c r="BR971" t="s">
        <v>103</v>
      </c>
      <c r="BS971" t="s">
        <v>18647</v>
      </c>
      <c r="BT971" t="str">
        <f>HYPERLINK("https%3A%2F%2Fwww.webofscience.com%2Fwos%2Fwoscc%2Ffull-record%2FWOS:000466453800015","View Full Record in Web of Science")</f>
        <v>View Full Record in Web of Science</v>
      </c>
    </row>
    <row r="972" spans="1:72" x14ac:dyDescent="0.15">
      <c r="A972" t="s">
        <v>72</v>
      </c>
      <c r="B972" t="s">
        <v>18648</v>
      </c>
      <c r="C972" t="s">
        <v>74</v>
      </c>
      <c r="D972" t="s">
        <v>74</v>
      </c>
      <c r="E972" t="s">
        <v>74</v>
      </c>
      <c r="F972" t="s">
        <v>18649</v>
      </c>
      <c r="G972" t="s">
        <v>74</v>
      </c>
      <c r="H972" t="s">
        <v>74</v>
      </c>
      <c r="I972" t="s">
        <v>18650</v>
      </c>
      <c r="J972" t="s">
        <v>2044</v>
      </c>
      <c r="K972" t="s">
        <v>74</v>
      </c>
      <c r="L972" t="s">
        <v>74</v>
      </c>
      <c r="M972" t="s">
        <v>78</v>
      </c>
      <c r="N972" t="s">
        <v>108</v>
      </c>
      <c r="O972" t="s">
        <v>74</v>
      </c>
      <c r="P972" t="s">
        <v>74</v>
      </c>
      <c r="Q972" t="s">
        <v>74</v>
      </c>
      <c r="R972" t="s">
        <v>74</v>
      </c>
      <c r="S972" t="s">
        <v>74</v>
      </c>
      <c r="T972" t="s">
        <v>18651</v>
      </c>
      <c r="U972" t="s">
        <v>18652</v>
      </c>
      <c r="V972" t="s">
        <v>18653</v>
      </c>
      <c r="W972" t="s">
        <v>18654</v>
      </c>
      <c r="X972" t="s">
        <v>18655</v>
      </c>
      <c r="Y972" t="s">
        <v>18656</v>
      </c>
      <c r="Z972" t="s">
        <v>18657</v>
      </c>
      <c r="AA972" t="s">
        <v>18658</v>
      </c>
      <c r="AB972" t="s">
        <v>18659</v>
      </c>
      <c r="AC972" t="s">
        <v>18660</v>
      </c>
      <c r="AD972" t="s">
        <v>18661</v>
      </c>
      <c r="AE972" t="s">
        <v>18662</v>
      </c>
      <c r="AF972" t="s">
        <v>74</v>
      </c>
      <c r="AG972">
        <v>71</v>
      </c>
      <c r="AH972">
        <v>14</v>
      </c>
      <c r="AI972">
        <v>15</v>
      </c>
      <c r="AJ972">
        <v>2</v>
      </c>
      <c r="AK972">
        <v>17</v>
      </c>
      <c r="AL972" t="s">
        <v>92</v>
      </c>
      <c r="AM972" t="s">
        <v>93</v>
      </c>
      <c r="AN972" t="s">
        <v>94</v>
      </c>
      <c r="AO972" t="s">
        <v>2057</v>
      </c>
      <c r="AP972" t="s">
        <v>74</v>
      </c>
      <c r="AQ972" t="s">
        <v>74</v>
      </c>
      <c r="AR972" t="s">
        <v>2058</v>
      </c>
      <c r="AS972" t="s">
        <v>2059</v>
      </c>
      <c r="AT972" t="s">
        <v>18126</v>
      </c>
      <c r="AU972">
        <v>2019</v>
      </c>
      <c r="AV972">
        <v>211</v>
      </c>
      <c r="AW972" t="s">
        <v>74</v>
      </c>
      <c r="AX972" t="s">
        <v>74</v>
      </c>
      <c r="AY972" t="s">
        <v>74</v>
      </c>
      <c r="AZ972" t="s">
        <v>74</v>
      </c>
      <c r="BA972" t="s">
        <v>74</v>
      </c>
      <c r="BB972">
        <v>17</v>
      </c>
      <c r="BC972">
        <v>33</v>
      </c>
      <c r="BD972" t="s">
        <v>74</v>
      </c>
      <c r="BE972" t="s">
        <v>18663</v>
      </c>
      <c r="BF972" t="str">
        <f>HYPERLINK("http://dx.doi.org/10.1016/j.quascirev.2019.03.006","http://dx.doi.org/10.1016/j.quascirev.2019.03.006")</f>
        <v>http://dx.doi.org/10.1016/j.quascirev.2019.03.006</v>
      </c>
      <c r="BG972" t="s">
        <v>74</v>
      </c>
      <c r="BH972" t="s">
        <v>74</v>
      </c>
      <c r="BI972">
        <v>17</v>
      </c>
      <c r="BJ972" t="s">
        <v>310</v>
      </c>
      <c r="BK972" t="s">
        <v>101</v>
      </c>
      <c r="BL972" t="s">
        <v>311</v>
      </c>
      <c r="BM972" t="s">
        <v>18664</v>
      </c>
      <c r="BN972" t="s">
        <v>74</v>
      </c>
      <c r="BO972" t="s">
        <v>2112</v>
      </c>
      <c r="BP972" t="s">
        <v>74</v>
      </c>
      <c r="BQ972" t="s">
        <v>74</v>
      </c>
      <c r="BR972" t="s">
        <v>103</v>
      </c>
      <c r="BS972" t="s">
        <v>18665</v>
      </c>
      <c r="BT972" t="str">
        <f>HYPERLINK("https%3A%2F%2Fwww.webofscience.com%2Fwos%2Fwoscc%2Ffull-record%2FWOS:000466454300002","View Full Record in Web of Science")</f>
        <v>View Full Record in Web of Science</v>
      </c>
    </row>
    <row r="973" spans="1:72" x14ac:dyDescent="0.15">
      <c r="A973" t="s">
        <v>72</v>
      </c>
      <c r="B973" t="s">
        <v>18666</v>
      </c>
      <c r="C973" t="s">
        <v>74</v>
      </c>
      <c r="D973" t="s">
        <v>74</v>
      </c>
      <c r="E973" t="s">
        <v>74</v>
      </c>
      <c r="F973" t="s">
        <v>18667</v>
      </c>
      <c r="G973" t="s">
        <v>74</v>
      </c>
      <c r="H973" t="s">
        <v>74</v>
      </c>
      <c r="I973" t="s">
        <v>18668</v>
      </c>
      <c r="J973" t="s">
        <v>2044</v>
      </c>
      <c r="K973" t="s">
        <v>74</v>
      </c>
      <c r="L973" t="s">
        <v>74</v>
      </c>
      <c r="M973" t="s">
        <v>78</v>
      </c>
      <c r="N973" t="s">
        <v>108</v>
      </c>
      <c r="O973" t="s">
        <v>74</v>
      </c>
      <c r="P973" t="s">
        <v>74</v>
      </c>
      <c r="Q973" t="s">
        <v>74</v>
      </c>
      <c r="R973" t="s">
        <v>74</v>
      </c>
      <c r="S973" t="s">
        <v>74</v>
      </c>
      <c r="T973" t="s">
        <v>18669</v>
      </c>
      <c r="U973" t="s">
        <v>18670</v>
      </c>
      <c r="V973" t="s">
        <v>18671</v>
      </c>
      <c r="W973" t="s">
        <v>18672</v>
      </c>
      <c r="X973" t="s">
        <v>18673</v>
      </c>
      <c r="Y973" t="s">
        <v>18674</v>
      </c>
      <c r="Z973" t="s">
        <v>16824</v>
      </c>
      <c r="AA973" t="s">
        <v>18675</v>
      </c>
      <c r="AB973" t="s">
        <v>18676</v>
      </c>
      <c r="AC973" t="s">
        <v>18677</v>
      </c>
      <c r="AD973" t="s">
        <v>18678</v>
      </c>
      <c r="AE973" t="s">
        <v>18679</v>
      </c>
      <c r="AF973" t="s">
        <v>74</v>
      </c>
      <c r="AG973">
        <v>86</v>
      </c>
      <c r="AH973">
        <v>5</v>
      </c>
      <c r="AI973">
        <v>6</v>
      </c>
      <c r="AJ973">
        <v>1</v>
      </c>
      <c r="AK973">
        <v>18</v>
      </c>
      <c r="AL973" t="s">
        <v>92</v>
      </c>
      <c r="AM973" t="s">
        <v>93</v>
      </c>
      <c r="AN973" t="s">
        <v>94</v>
      </c>
      <c r="AO973" t="s">
        <v>2057</v>
      </c>
      <c r="AP973" t="s">
        <v>74</v>
      </c>
      <c r="AQ973" t="s">
        <v>74</v>
      </c>
      <c r="AR973" t="s">
        <v>2058</v>
      </c>
      <c r="AS973" t="s">
        <v>2059</v>
      </c>
      <c r="AT973" t="s">
        <v>18126</v>
      </c>
      <c r="AU973">
        <v>2019</v>
      </c>
      <c r="AV973">
        <v>211</v>
      </c>
      <c r="AW973" t="s">
        <v>74</v>
      </c>
      <c r="AX973" t="s">
        <v>74</v>
      </c>
      <c r="AY973" t="s">
        <v>74</v>
      </c>
      <c r="AZ973" t="s">
        <v>74</v>
      </c>
      <c r="BA973" t="s">
        <v>74</v>
      </c>
      <c r="BB973">
        <v>156</v>
      </c>
      <c r="BC973">
        <v>165</v>
      </c>
      <c r="BD973" t="s">
        <v>74</v>
      </c>
      <c r="BE973" t="s">
        <v>18680</v>
      </c>
      <c r="BF973" t="str">
        <f>HYPERLINK("http://dx.doi.org/10.1016/j.quascirev.2019.03.025","http://dx.doi.org/10.1016/j.quascirev.2019.03.025")</f>
        <v>http://dx.doi.org/10.1016/j.quascirev.2019.03.025</v>
      </c>
      <c r="BG973" t="s">
        <v>74</v>
      </c>
      <c r="BH973" t="s">
        <v>74</v>
      </c>
      <c r="BI973">
        <v>10</v>
      </c>
      <c r="BJ973" t="s">
        <v>310</v>
      </c>
      <c r="BK973" t="s">
        <v>101</v>
      </c>
      <c r="BL973" t="s">
        <v>311</v>
      </c>
      <c r="BM973" t="s">
        <v>18664</v>
      </c>
      <c r="BN973" t="s">
        <v>74</v>
      </c>
      <c r="BO973" t="s">
        <v>474</v>
      </c>
      <c r="BP973" t="s">
        <v>74</v>
      </c>
      <c r="BQ973" t="s">
        <v>74</v>
      </c>
      <c r="BR973" t="s">
        <v>103</v>
      </c>
      <c r="BS973" t="s">
        <v>18681</v>
      </c>
      <c r="BT973" t="str">
        <f>HYPERLINK("https%3A%2F%2Fwww.webofscience.com%2Fwos%2Fwoscc%2Ffull-record%2FWOS:000466454300009","View Full Record in Web of Science")</f>
        <v>View Full Record in Web of Science</v>
      </c>
    </row>
    <row r="974" spans="1:72" x14ac:dyDescent="0.15">
      <c r="A974" t="s">
        <v>72</v>
      </c>
      <c r="B974" t="s">
        <v>18682</v>
      </c>
      <c r="C974" t="s">
        <v>74</v>
      </c>
      <c r="D974" t="s">
        <v>74</v>
      </c>
      <c r="E974" t="s">
        <v>74</v>
      </c>
      <c r="F974" t="s">
        <v>18683</v>
      </c>
      <c r="G974" t="s">
        <v>74</v>
      </c>
      <c r="H974" t="s">
        <v>74</v>
      </c>
      <c r="I974" t="s">
        <v>18684</v>
      </c>
      <c r="J974" t="s">
        <v>18685</v>
      </c>
      <c r="K974" t="s">
        <v>74</v>
      </c>
      <c r="L974" t="s">
        <v>74</v>
      </c>
      <c r="M974" t="s">
        <v>78</v>
      </c>
      <c r="N974" t="s">
        <v>108</v>
      </c>
      <c r="O974" t="s">
        <v>74</v>
      </c>
      <c r="P974" t="s">
        <v>74</v>
      </c>
      <c r="Q974" t="s">
        <v>74</v>
      </c>
      <c r="R974" t="s">
        <v>74</v>
      </c>
      <c r="S974" t="s">
        <v>74</v>
      </c>
      <c r="T974" t="s">
        <v>18686</v>
      </c>
      <c r="U974" t="s">
        <v>18687</v>
      </c>
      <c r="V974" t="s">
        <v>18688</v>
      </c>
      <c r="W974" t="s">
        <v>18689</v>
      </c>
      <c r="X974" t="s">
        <v>18690</v>
      </c>
      <c r="Y974" t="s">
        <v>18691</v>
      </c>
      <c r="Z974" t="s">
        <v>18692</v>
      </c>
      <c r="AA974" t="s">
        <v>18693</v>
      </c>
      <c r="AB974" t="s">
        <v>18694</v>
      </c>
      <c r="AC974" t="s">
        <v>18695</v>
      </c>
      <c r="AD974" t="s">
        <v>18696</v>
      </c>
      <c r="AE974" t="s">
        <v>18697</v>
      </c>
      <c r="AF974" t="s">
        <v>74</v>
      </c>
      <c r="AG974">
        <v>49</v>
      </c>
      <c r="AH974">
        <v>27</v>
      </c>
      <c r="AI974">
        <v>27</v>
      </c>
      <c r="AJ974">
        <v>0</v>
      </c>
      <c r="AK974">
        <v>15</v>
      </c>
      <c r="AL974" t="s">
        <v>12974</v>
      </c>
      <c r="AM974" t="s">
        <v>12975</v>
      </c>
      <c r="AN974" t="s">
        <v>12976</v>
      </c>
      <c r="AO974" t="s">
        <v>18698</v>
      </c>
      <c r="AP974" t="s">
        <v>74</v>
      </c>
      <c r="AQ974" t="s">
        <v>74</v>
      </c>
      <c r="AR974" t="s">
        <v>18699</v>
      </c>
      <c r="AS974" t="s">
        <v>18700</v>
      </c>
      <c r="AT974" t="s">
        <v>6581</v>
      </c>
      <c r="AU974">
        <v>2019</v>
      </c>
      <c r="AV974">
        <v>42</v>
      </c>
      <c r="AW974">
        <v>3</v>
      </c>
      <c r="AX974" t="s">
        <v>74</v>
      </c>
      <c r="AY974" t="s">
        <v>74</v>
      </c>
      <c r="AZ974" t="s">
        <v>74</v>
      </c>
      <c r="BA974" t="s">
        <v>74</v>
      </c>
      <c r="BB974">
        <v>284</v>
      </c>
      <c r="BC974">
        <v>290</v>
      </c>
      <c r="BD974" t="s">
        <v>74</v>
      </c>
      <c r="BE974" t="s">
        <v>18701</v>
      </c>
      <c r="BF974" t="str">
        <f>HYPERLINK("http://dx.doi.org/10.1016/j.syapm.2018.12.004","http://dx.doi.org/10.1016/j.syapm.2018.12.004")</f>
        <v>http://dx.doi.org/10.1016/j.syapm.2018.12.004</v>
      </c>
      <c r="BG974" t="s">
        <v>74</v>
      </c>
      <c r="BH974" t="s">
        <v>74</v>
      </c>
      <c r="BI974">
        <v>7</v>
      </c>
      <c r="BJ974" t="s">
        <v>18702</v>
      </c>
      <c r="BK974" t="s">
        <v>101</v>
      </c>
      <c r="BL974" t="s">
        <v>18702</v>
      </c>
      <c r="BM974" t="s">
        <v>18703</v>
      </c>
      <c r="BN974">
        <v>30587382</v>
      </c>
      <c r="BO974" t="s">
        <v>74</v>
      </c>
      <c r="BP974" t="s">
        <v>74</v>
      </c>
      <c r="BQ974" t="s">
        <v>74</v>
      </c>
      <c r="BR974" t="s">
        <v>103</v>
      </c>
      <c r="BS974" t="s">
        <v>18704</v>
      </c>
      <c r="BT974" t="str">
        <f>HYPERLINK("https%3A%2F%2Fwww.webofscience.com%2Fwos%2Fwoscc%2Ffull-record%2FWOS:000468595700003","View Full Record in Web of Science")</f>
        <v>View Full Record in Web of Science</v>
      </c>
    </row>
    <row r="975" spans="1:72" x14ac:dyDescent="0.15">
      <c r="A975" t="s">
        <v>72</v>
      </c>
      <c r="B975" t="s">
        <v>18705</v>
      </c>
      <c r="C975" t="s">
        <v>74</v>
      </c>
      <c r="D975" t="s">
        <v>74</v>
      </c>
      <c r="E975" t="s">
        <v>74</v>
      </c>
      <c r="F975" t="s">
        <v>18706</v>
      </c>
      <c r="G975" t="s">
        <v>74</v>
      </c>
      <c r="H975" t="s">
        <v>74</v>
      </c>
      <c r="I975" t="s">
        <v>18707</v>
      </c>
      <c r="J975" t="s">
        <v>18685</v>
      </c>
      <c r="K975" t="s">
        <v>74</v>
      </c>
      <c r="L975" t="s">
        <v>74</v>
      </c>
      <c r="M975" t="s">
        <v>78</v>
      </c>
      <c r="N975" t="s">
        <v>108</v>
      </c>
      <c r="O975" t="s">
        <v>74</v>
      </c>
      <c r="P975" t="s">
        <v>74</v>
      </c>
      <c r="Q975" t="s">
        <v>74</v>
      </c>
      <c r="R975" t="s">
        <v>74</v>
      </c>
      <c r="S975" t="s">
        <v>74</v>
      </c>
      <c r="T975" t="s">
        <v>18708</v>
      </c>
      <c r="U975" t="s">
        <v>18709</v>
      </c>
      <c r="V975" t="s">
        <v>18710</v>
      </c>
      <c r="W975" t="s">
        <v>18711</v>
      </c>
      <c r="X975" t="s">
        <v>18712</v>
      </c>
      <c r="Y975" t="s">
        <v>18713</v>
      </c>
      <c r="Z975" t="s">
        <v>18714</v>
      </c>
      <c r="AA975" t="s">
        <v>18715</v>
      </c>
      <c r="AB975" t="s">
        <v>18716</v>
      </c>
      <c r="AC975" t="s">
        <v>18717</v>
      </c>
      <c r="AD975" t="s">
        <v>18718</v>
      </c>
      <c r="AE975" t="s">
        <v>18719</v>
      </c>
      <c r="AF975" t="s">
        <v>74</v>
      </c>
      <c r="AG975">
        <v>50</v>
      </c>
      <c r="AH975">
        <v>8</v>
      </c>
      <c r="AI975">
        <v>9</v>
      </c>
      <c r="AJ975">
        <v>2</v>
      </c>
      <c r="AK975">
        <v>18</v>
      </c>
      <c r="AL975" t="s">
        <v>12974</v>
      </c>
      <c r="AM975" t="s">
        <v>12975</v>
      </c>
      <c r="AN975" t="s">
        <v>12976</v>
      </c>
      <c r="AO975" t="s">
        <v>18698</v>
      </c>
      <c r="AP975" t="s">
        <v>18720</v>
      </c>
      <c r="AQ975" t="s">
        <v>74</v>
      </c>
      <c r="AR975" t="s">
        <v>18699</v>
      </c>
      <c r="AS975" t="s">
        <v>18700</v>
      </c>
      <c r="AT975" t="s">
        <v>6581</v>
      </c>
      <c r="AU975">
        <v>2019</v>
      </c>
      <c r="AV975">
        <v>42</v>
      </c>
      <c r="AW975">
        <v>3</v>
      </c>
      <c r="AX975" t="s">
        <v>74</v>
      </c>
      <c r="AY975" t="s">
        <v>74</v>
      </c>
      <c r="AZ975" t="s">
        <v>74</v>
      </c>
      <c r="BA975" t="s">
        <v>74</v>
      </c>
      <c r="BB975">
        <v>291</v>
      </c>
      <c r="BC975">
        <v>301</v>
      </c>
      <c r="BD975" t="s">
        <v>74</v>
      </c>
      <c r="BE975" t="s">
        <v>18721</v>
      </c>
      <c r="BF975" t="str">
        <f>HYPERLINK("http://dx.doi.org/10.1016/j.syapm.2018.12.005","http://dx.doi.org/10.1016/j.syapm.2018.12.005")</f>
        <v>http://dx.doi.org/10.1016/j.syapm.2018.12.005</v>
      </c>
      <c r="BG975" t="s">
        <v>74</v>
      </c>
      <c r="BH975" t="s">
        <v>74</v>
      </c>
      <c r="BI975">
        <v>11</v>
      </c>
      <c r="BJ975" t="s">
        <v>18702</v>
      </c>
      <c r="BK975" t="s">
        <v>101</v>
      </c>
      <c r="BL975" t="s">
        <v>18702</v>
      </c>
      <c r="BM975" t="s">
        <v>18703</v>
      </c>
      <c r="BN975">
        <v>30718035</v>
      </c>
      <c r="BO975" t="s">
        <v>74</v>
      </c>
      <c r="BP975" t="s">
        <v>74</v>
      </c>
      <c r="BQ975" t="s">
        <v>74</v>
      </c>
      <c r="BR975" t="s">
        <v>103</v>
      </c>
      <c r="BS975" t="s">
        <v>18722</v>
      </c>
      <c r="BT975" t="str">
        <f>HYPERLINK("https%3A%2F%2Fwww.webofscience.com%2Fwos%2Fwoscc%2Ffull-record%2FWOS:000468595700004","View Full Record in Web of Science")</f>
        <v>View Full Record in Web of Science</v>
      </c>
    </row>
    <row r="976" spans="1:72" x14ac:dyDescent="0.15">
      <c r="A976" t="s">
        <v>72</v>
      </c>
      <c r="B976" t="s">
        <v>18723</v>
      </c>
      <c r="C976" t="s">
        <v>74</v>
      </c>
      <c r="D976" t="s">
        <v>74</v>
      </c>
      <c r="E976" t="s">
        <v>74</v>
      </c>
      <c r="F976" t="s">
        <v>18724</v>
      </c>
      <c r="G976" t="s">
        <v>74</v>
      </c>
      <c r="H976" t="s">
        <v>74</v>
      </c>
      <c r="I976" t="s">
        <v>18725</v>
      </c>
      <c r="J976" t="s">
        <v>4995</v>
      </c>
      <c r="K976" t="s">
        <v>74</v>
      </c>
      <c r="L976" t="s">
        <v>74</v>
      </c>
      <c r="M976" t="s">
        <v>78</v>
      </c>
      <c r="N976" t="s">
        <v>108</v>
      </c>
      <c r="O976" t="s">
        <v>74</v>
      </c>
      <c r="P976" t="s">
        <v>74</v>
      </c>
      <c r="Q976" t="s">
        <v>74</v>
      </c>
      <c r="R976" t="s">
        <v>74</v>
      </c>
      <c r="S976" t="s">
        <v>74</v>
      </c>
      <c r="T976" t="s">
        <v>18726</v>
      </c>
      <c r="U976" t="s">
        <v>18727</v>
      </c>
      <c r="V976" t="s">
        <v>18728</v>
      </c>
      <c r="W976" t="s">
        <v>18729</v>
      </c>
      <c r="X976" t="s">
        <v>18730</v>
      </c>
      <c r="Y976" t="s">
        <v>18731</v>
      </c>
      <c r="Z976" t="s">
        <v>18732</v>
      </c>
      <c r="AA976" t="s">
        <v>74</v>
      </c>
      <c r="AB976" t="s">
        <v>18733</v>
      </c>
      <c r="AC976" t="s">
        <v>18734</v>
      </c>
      <c r="AD976" t="s">
        <v>18735</v>
      </c>
      <c r="AE976" t="s">
        <v>18736</v>
      </c>
      <c r="AF976" t="s">
        <v>74</v>
      </c>
      <c r="AG976">
        <v>57</v>
      </c>
      <c r="AH976">
        <v>4</v>
      </c>
      <c r="AI976">
        <v>4</v>
      </c>
      <c r="AJ976">
        <v>1</v>
      </c>
      <c r="AK976">
        <v>5</v>
      </c>
      <c r="AL976" t="s">
        <v>154</v>
      </c>
      <c r="AM976" t="s">
        <v>4016</v>
      </c>
      <c r="AN976" t="s">
        <v>4017</v>
      </c>
      <c r="AO976" t="s">
        <v>5007</v>
      </c>
      <c r="AP976" t="s">
        <v>5008</v>
      </c>
      <c r="AQ976" t="s">
        <v>74</v>
      </c>
      <c r="AR976" t="s">
        <v>5009</v>
      </c>
      <c r="AS976" t="s">
        <v>5010</v>
      </c>
      <c r="AT976" t="s">
        <v>6581</v>
      </c>
      <c r="AU976">
        <v>2019</v>
      </c>
      <c r="AV976">
        <v>52</v>
      </c>
      <c r="AW976" t="s">
        <v>18737</v>
      </c>
      <c r="AX976" t="s">
        <v>74</v>
      </c>
      <c r="AY976" t="s">
        <v>74</v>
      </c>
      <c r="AZ976" t="s">
        <v>74</v>
      </c>
      <c r="BA976" t="s">
        <v>74</v>
      </c>
      <c r="BB976">
        <v>5249</v>
      </c>
      <c r="BC976">
        <v>5267</v>
      </c>
      <c r="BD976" t="s">
        <v>74</v>
      </c>
      <c r="BE976" t="s">
        <v>18738</v>
      </c>
      <c r="BF976" t="str">
        <f>HYPERLINK("http://dx.doi.org/10.1007/s00382-018-4444-4","http://dx.doi.org/10.1007/s00382-018-4444-4")</f>
        <v>http://dx.doi.org/10.1007/s00382-018-4444-4</v>
      </c>
      <c r="BG976" t="s">
        <v>74</v>
      </c>
      <c r="BH976" t="s">
        <v>74</v>
      </c>
      <c r="BI976">
        <v>19</v>
      </c>
      <c r="BJ976" t="s">
        <v>259</v>
      </c>
      <c r="BK976" t="s">
        <v>101</v>
      </c>
      <c r="BL976" t="s">
        <v>259</v>
      </c>
      <c r="BM976" t="s">
        <v>18739</v>
      </c>
      <c r="BN976" t="s">
        <v>74</v>
      </c>
      <c r="BO976" t="s">
        <v>2112</v>
      </c>
      <c r="BP976" t="s">
        <v>74</v>
      </c>
      <c r="BQ976" t="s">
        <v>74</v>
      </c>
      <c r="BR976" t="s">
        <v>103</v>
      </c>
      <c r="BS976" t="s">
        <v>18740</v>
      </c>
      <c r="BT976" t="str">
        <f>HYPERLINK("https%3A%2F%2Fwww.webofscience.com%2Fwos%2Fwoscc%2Ffull-record%2FWOS:000465441400011","View Full Record in Web of Science")</f>
        <v>View Full Record in Web of Science</v>
      </c>
    </row>
    <row r="977" spans="1:72" x14ac:dyDescent="0.15">
      <c r="A977" t="s">
        <v>72</v>
      </c>
      <c r="B977" t="s">
        <v>18741</v>
      </c>
      <c r="C977" t="s">
        <v>74</v>
      </c>
      <c r="D977" t="s">
        <v>74</v>
      </c>
      <c r="E977" t="s">
        <v>74</v>
      </c>
      <c r="F977" t="s">
        <v>18742</v>
      </c>
      <c r="G977" t="s">
        <v>74</v>
      </c>
      <c r="H977" t="s">
        <v>74</v>
      </c>
      <c r="I977" t="s">
        <v>18743</v>
      </c>
      <c r="J977" t="s">
        <v>18744</v>
      </c>
      <c r="K977" t="s">
        <v>74</v>
      </c>
      <c r="L977" t="s">
        <v>74</v>
      </c>
      <c r="M977" t="s">
        <v>78</v>
      </c>
      <c r="N977" t="s">
        <v>108</v>
      </c>
      <c r="O977" t="s">
        <v>74</v>
      </c>
      <c r="P977" t="s">
        <v>74</v>
      </c>
      <c r="Q977" t="s">
        <v>74</v>
      </c>
      <c r="R977" t="s">
        <v>74</v>
      </c>
      <c r="S977" t="s">
        <v>74</v>
      </c>
      <c r="T977" t="s">
        <v>18745</v>
      </c>
      <c r="U977" t="s">
        <v>18746</v>
      </c>
      <c r="V977" t="s">
        <v>18747</v>
      </c>
      <c r="W977" t="s">
        <v>18748</v>
      </c>
      <c r="X977" t="s">
        <v>18749</v>
      </c>
      <c r="Y977" t="s">
        <v>18750</v>
      </c>
      <c r="Z977" t="s">
        <v>18751</v>
      </c>
      <c r="AA977" t="s">
        <v>18752</v>
      </c>
      <c r="AB977" t="s">
        <v>18753</v>
      </c>
      <c r="AC977" t="s">
        <v>18754</v>
      </c>
      <c r="AD977" t="s">
        <v>18755</v>
      </c>
      <c r="AE977" t="s">
        <v>18756</v>
      </c>
      <c r="AF977" t="s">
        <v>74</v>
      </c>
      <c r="AG977">
        <v>105</v>
      </c>
      <c r="AH977">
        <v>23</v>
      </c>
      <c r="AI977">
        <v>25</v>
      </c>
      <c r="AJ977">
        <v>6</v>
      </c>
      <c r="AK977">
        <v>38</v>
      </c>
      <c r="AL977" t="s">
        <v>92</v>
      </c>
      <c r="AM977" t="s">
        <v>93</v>
      </c>
      <c r="AN977" t="s">
        <v>94</v>
      </c>
      <c r="AO977" t="s">
        <v>18757</v>
      </c>
      <c r="AP977" t="s">
        <v>18758</v>
      </c>
      <c r="AQ977" t="s">
        <v>74</v>
      </c>
      <c r="AR977" t="s">
        <v>18759</v>
      </c>
      <c r="AS977" t="s">
        <v>18760</v>
      </c>
      <c r="AT977" t="s">
        <v>6581</v>
      </c>
      <c r="AU977">
        <v>2019</v>
      </c>
      <c r="AV977">
        <v>161</v>
      </c>
      <c r="AW977" t="s">
        <v>74</v>
      </c>
      <c r="AX977" t="s">
        <v>74</v>
      </c>
      <c r="AY977" t="s">
        <v>74</v>
      </c>
      <c r="AZ977" t="s">
        <v>730</v>
      </c>
      <c r="BA977" t="s">
        <v>74</v>
      </c>
      <c r="BB977">
        <v>375</v>
      </c>
      <c r="BC977">
        <v>387</v>
      </c>
      <c r="BD977" t="s">
        <v>74</v>
      </c>
      <c r="BE977" t="s">
        <v>18761</v>
      </c>
      <c r="BF977" t="str">
        <f>HYPERLINK("http://dx.doi.org/10.1016/j.envexpbot.2018.10.037","http://dx.doi.org/10.1016/j.envexpbot.2018.10.037")</f>
        <v>http://dx.doi.org/10.1016/j.envexpbot.2018.10.037</v>
      </c>
      <c r="BG977" t="s">
        <v>74</v>
      </c>
      <c r="BH977" t="s">
        <v>74</v>
      </c>
      <c r="BI977">
        <v>13</v>
      </c>
      <c r="BJ977" t="s">
        <v>18762</v>
      </c>
      <c r="BK977" t="s">
        <v>101</v>
      </c>
      <c r="BL977" t="s">
        <v>18763</v>
      </c>
      <c r="BM977" t="s">
        <v>18764</v>
      </c>
      <c r="BN977" t="s">
        <v>74</v>
      </c>
      <c r="BO977" t="s">
        <v>74</v>
      </c>
      <c r="BP977" t="s">
        <v>74</v>
      </c>
      <c r="BQ977" t="s">
        <v>74</v>
      </c>
      <c r="BR977" t="s">
        <v>103</v>
      </c>
      <c r="BS977" t="s">
        <v>18765</v>
      </c>
      <c r="BT977" t="str">
        <f>HYPERLINK("https%3A%2F%2Fwww.webofscience.com%2Fwos%2Fwoscc%2Ffull-record%2FWOS:000466823000033","View Full Record in Web of Science")</f>
        <v>View Full Record in Web of Science</v>
      </c>
    </row>
    <row r="978" spans="1:72" x14ac:dyDescent="0.15">
      <c r="A978" t="s">
        <v>72</v>
      </c>
      <c r="B978" t="s">
        <v>18766</v>
      </c>
      <c r="C978" t="s">
        <v>74</v>
      </c>
      <c r="D978" t="s">
        <v>74</v>
      </c>
      <c r="E978" t="s">
        <v>74</v>
      </c>
      <c r="F978" t="s">
        <v>18767</v>
      </c>
      <c r="G978" t="s">
        <v>74</v>
      </c>
      <c r="H978" t="s">
        <v>74</v>
      </c>
      <c r="I978" t="s">
        <v>18768</v>
      </c>
      <c r="J978" t="s">
        <v>10959</v>
      </c>
      <c r="K978" t="s">
        <v>74</v>
      </c>
      <c r="L978" t="s">
        <v>74</v>
      </c>
      <c r="M978" t="s">
        <v>78</v>
      </c>
      <c r="N978" t="s">
        <v>79</v>
      </c>
      <c r="O978" t="s">
        <v>74</v>
      </c>
      <c r="P978" t="s">
        <v>74</v>
      </c>
      <c r="Q978" t="s">
        <v>74</v>
      </c>
      <c r="R978" t="s">
        <v>74</v>
      </c>
      <c r="S978" t="s">
        <v>74</v>
      </c>
      <c r="T978" t="s">
        <v>18769</v>
      </c>
      <c r="U978" t="s">
        <v>18770</v>
      </c>
      <c r="V978" t="s">
        <v>18771</v>
      </c>
      <c r="W978" t="s">
        <v>18772</v>
      </c>
      <c r="X978" t="s">
        <v>18773</v>
      </c>
      <c r="Y978" t="s">
        <v>18774</v>
      </c>
      <c r="Z978" t="s">
        <v>18775</v>
      </c>
      <c r="AA978" t="s">
        <v>18776</v>
      </c>
      <c r="AB978" t="s">
        <v>18777</v>
      </c>
      <c r="AC978" t="s">
        <v>18778</v>
      </c>
      <c r="AD978" t="s">
        <v>18779</v>
      </c>
      <c r="AE978" t="s">
        <v>18780</v>
      </c>
      <c r="AF978" t="s">
        <v>74</v>
      </c>
      <c r="AG978">
        <v>320</v>
      </c>
      <c r="AH978">
        <v>60</v>
      </c>
      <c r="AI978">
        <v>66</v>
      </c>
      <c r="AJ978">
        <v>38</v>
      </c>
      <c r="AK978">
        <v>444</v>
      </c>
      <c r="AL978" t="s">
        <v>3533</v>
      </c>
      <c r="AM978" t="s">
        <v>93</v>
      </c>
      <c r="AN978" t="s">
        <v>3534</v>
      </c>
      <c r="AO978" t="s">
        <v>10972</v>
      </c>
      <c r="AP978" t="s">
        <v>10973</v>
      </c>
      <c r="AQ978" t="s">
        <v>74</v>
      </c>
      <c r="AR978" t="s">
        <v>10974</v>
      </c>
      <c r="AS978" t="s">
        <v>10975</v>
      </c>
      <c r="AT978" t="s">
        <v>6581</v>
      </c>
      <c r="AU978">
        <v>2019</v>
      </c>
      <c r="AV978">
        <v>248</v>
      </c>
      <c r="AW978" t="s">
        <v>74</v>
      </c>
      <c r="AX978" t="s">
        <v>74</v>
      </c>
      <c r="AY978" t="s">
        <v>74</v>
      </c>
      <c r="AZ978" t="s">
        <v>74</v>
      </c>
      <c r="BA978" t="s">
        <v>74</v>
      </c>
      <c r="BB978">
        <v>191</v>
      </c>
      <c r="BC978">
        <v>208</v>
      </c>
      <c r="BD978" t="s">
        <v>74</v>
      </c>
      <c r="BE978" t="s">
        <v>18781</v>
      </c>
      <c r="BF978" t="str">
        <f>HYPERLINK("http://dx.doi.org/10.1016/j.envpol.2019.01.093","http://dx.doi.org/10.1016/j.envpol.2019.01.093")</f>
        <v>http://dx.doi.org/10.1016/j.envpol.2019.01.093</v>
      </c>
      <c r="BG978" t="s">
        <v>74</v>
      </c>
      <c r="BH978" t="s">
        <v>74</v>
      </c>
      <c r="BI978">
        <v>18</v>
      </c>
      <c r="BJ978" t="s">
        <v>797</v>
      </c>
      <c r="BK978" t="s">
        <v>101</v>
      </c>
      <c r="BL978" t="s">
        <v>799</v>
      </c>
      <c r="BM978" t="s">
        <v>18782</v>
      </c>
      <c r="BN978">
        <v>30784838</v>
      </c>
      <c r="BO978" t="s">
        <v>74</v>
      </c>
      <c r="BP978" t="s">
        <v>74</v>
      </c>
      <c r="BQ978" t="s">
        <v>74</v>
      </c>
      <c r="BR978" t="s">
        <v>103</v>
      </c>
      <c r="BS978" t="s">
        <v>18783</v>
      </c>
      <c r="BT978" t="str">
        <f>HYPERLINK("https%3A%2F%2Fwww.webofscience.com%2Fwos%2Fwoscc%2Ffull-record%2FWOS:000466618000021","View Full Record in Web of Science")</f>
        <v>View Full Record in Web of Science</v>
      </c>
    </row>
    <row r="979" spans="1:72" x14ac:dyDescent="0.15">
      <c r="A979" t="s">
        <v>72</v>
      </c>
      <c r="B979" t="s">
        <v>18784</v>
      </c>
      <c r="C979" t="s">
        <v>74</v>
      </c>
      <c r="D979" t="s">
        <v>74</v>
      </c>
      <c r="E979" t="s">
        <v>74</v>
      </c>
      <c r="F979" t="s">
        <v>18785</v>
      </c>
      <c r="G979" t="s">
        <v>74</v>
      </c>
      <c r="H979" t="s">
        <v>74</v>
      </c>
      <c r="I979" t="s">
        <v>18786</v>
      </c>
      <c r="J979" t="s">
        <v>18787</v>
      </c>
      <c r="K979" t="s">
        <v>74</v>
      </c>
      <c r="L979" t="s">
        <v>74</v>
      </c>
      <c r="M979" t="s">
        <v>78</v>
      </c>
      <c r="N979" t="s">
        <v>108</v>
      </c>
      <c r="O979" t="s">
        <v>74</v>
      </c>
      <c r="P979" t="s">
        <v>74</v>
      </c>
      <c r="Q979" t="s">
        <v>74</v>
      </c>
      <c r="R979" t="s">
        <v>74</v>
      </c>
      <c r="S979" t="s">
        <v>74</v>
      </c>
      <c r="T979" t="s">
        <v>74</v>
      </c>
      <c r="U979" t="s">
        <v>18788</v>
      </c>
      <c r="V979" t="s">
        <v>18789</v>
      </c>
      <c r="W979" t="s">
        <v>18790</v>
      </c>
      <c r="X979" t="s">
        <v>18791</v>
      </c>
      <c r="Y979" t="s">
        <v>18792</v>
      </c>
      <c r="Z979" t="s">
        <v>18793</v>
      </c>
      <c r="AA979" t="s">
        <v>18794</v>
      </c>
      <c r="AB979" t="s">
        <v>18795</v>
      </c>
      <c r="AC979" t="s">
        <v>18796</v>
      </c>
      <c r="AD979" t="s">
        <v>18797</v>
      </c>
      <c r="AE979" t="s">
        <v>18798</v>
      </c>
      <c r="AF979" t="s">
        <v>74</v>
      </c>
      <c r="AG979">
        <v>39</v>
      </c>
      <c r="AH979">
        <v>10</v>
      </c>
      <c r="AI979">
        <v>11</v>
      </c>
      <c r="AJ979">
        <v>1</v>
      </c>
      <c r="AK979">
        <v>6</v>
      </c>
      <c r="AL979" t="s">
        <v>15196</v>
      </c>
      <c r="AM979" t="s">
        <v>183</v>
      </c>
      <c r="AN979" t="s">
        <v>15197</v>
      </c>
      <c r="AO979" t="s">
        <v>18799</v>
      </c>
      <c r="AP979" t="s">
        <v>74</v>
      </c>
      <c r="AQ979" t="s">
        <v>74</v>
      </c>
      <c r="AR979" t="s">
        <v>18800</v>
      </c>
      <c r="AS979" t="s">
        <v>18801</v>
      </c>
      <c r="AT979" t="s">
        <v>6581</v>
      </c>
      <c r="AU979">
        <v>2019</v>
      </c>
      <c r="AV979">
        <v>8</v>
      </c>
      <c r="AW979">
        <v>19</v>
      </c>
      <c r="AX979" t="s">
        <v>74</v>
      </c>
      <c r="AY979" t="s">
        <v>74</v>
      </c>
      <c r="AZ979" t="s">
        <v>74</v>
      </c>
      <c r="BA979" t="s">
        <v>74</v>
      </c>
      <c r="BB979" t="s">
        <v>74</v>
      </c>
      <c r="BC979" t="s">
        <v>74</v>
      </c>
      <c r="BD979" t="s">
        <v>18802</v>
      </c>
      <c r="BE979" t="s">
        <v>18803</v>
      </c>
      <c r="BF979" t="str">
        <f>HYPERLINK("http://dx.doi.org/10.1128/MRA.00142-19","http://dx.doi.org/10.1128/MRA.00142-19")</f>
        <v>http://dx.doi.org/10.1128/MRA.00142-19</v>
      </c>
      <c r="BG979" t="s">
        <v>74</v>
      </c>
      <c r="BH979" t="s">
        <v>74</v>
      </c>
      <c r="BI979">
        <v>3</v>
      </c>
      <c r="BJ979" t="s">
        <v>1514</v>
      </c>
      <c r="BK979" t="s">
        <v>2978</v>
      </c>
      <c r="BL979" t="s">
        <v>1514</v>
      </c>
      <c r="BM979" t="s">
        <v>18804</v>
      </c>
      <c r="BN979">
        <v>31072892</v>
      </c>
      <c r="BO979" t="s">
        <v>313</v>
      </c>
      <c r="BP979" t="s">
        <v>74</v>
      </c>
      <c r="BQ979" t="s">
        <v>74</v>
      </c>
      <c r="BR979" t="s">
        <v>103</v>
      </c>
      <c r="BS979" t="s">
        <v>18805</v>
      </c>
      <c r="BT979" t="str">
        <f>HYPERLINK("https%3A%2F%2Fwww.webofscience.com%2Fwos%2Fwoscc%2Ffull-record%2FWOS:000467443700006","View Full Record in Web of Science")</f>
        <v>View Full Record in Web of Science</v>
      </c>
    </row>
    <row r="980" spans="1:72" x14ac:dyDescent="0.15">
      <c r="A980" t="s">
        <v>72</v>
      </c>
      <c r="B980" t="s">
        <v>18806</v>
      </c>
      <c r="C980" t="s">
        <v>74</v>
      </c>
      <c r="D980" t="s">
        <v>74</v>
      </c>
      <c r="E980" t="s">
        <v>74</v>
      </c>
      <c r="F980" t="s">
        <v>18807</v>
      </c>
      <c r="G980" t="s">
        <v>74</v>
      </c>
      <c r="H980" t="s">
        <v>74</v>
      </c>
      <c r="I980" t="s">
        <v>18808</v>
      </c>
      <c r="J980" t="s">
        <v>10406</v>
      </c>
      <c r="K980" t="s">
        <v>74</v>
      </c>
      <c r="L980" t="s">
        <v>74</v>
      </c>
      <c r="M980" t="s">
        <v>78</v>
      </c>
      <c r="N980" t="s">
        <v>108</v>
      </c>
      <c r="O980" t="s">
        <v>74</v>
      </c>
      <c r="P980" t="s">
        <v>74</v>
      </c>
      <c r="Q980" t="s">
        <v>74</v>
      </c>
      <c r="R980" t="s">
        <v>74</v>
      </c>
      <c r="S980" t="s">
        <v>74</v>
      </c>
      <c r="T980" t="s">
        <v>18809</v>
      </c>
      <c r="U980" t="s">
        <v>18810</v>
      </c>
      <c r="V980" t="s">
        <v>18811</v>
      </c>
      <c r="W980" t="s">
        <v>18812</v>
      </c>
      <c r="X980" t="s">
        <v>18813</v>
      </c>
      <c r="Y980" t="s">
        <v>18814</v>
      </c>
      <c r="Z980" t="s">
        <v>18815</v>
      </c>
      <c r="AA980" t="s">
        <v>18816</v>
      </c>
      <c r="AB980" t="s">
        <v>18817</v>
      </c>
      <c r="AC980" t="s">
        <v>18818</v>
      </c>
      <c r="AD980" t="s">
        <v>18819</v>
      </c>
      <c r="AE980" t="s">
        <v>18820</v>
      </c>
      <c r="AF980" t="s">
        <v>74</v>
      </c>
      <c r="AG980">
        <v>79</v>
      </c>
      <c r="AH980">
        <v>53</v>
      </c>
      <c r="AI980">
        <v>55</v>
      </c>
      <c r="AJ980">
        <v>13</v>
      </c>
      <c r="AK980">
        <v>69</v>
      </c>
      <c r="AL980" t="s">
        <v>1140</v>
      </c>
      <c r="AM980" t="s">
        <v>1141</v>
      </c>
      <c r="AN980" t="s">
        <v>1142</v>
      </c>
      <c r="AO980" t="s">
        <v>10419</v>
      </c>
      <c r="AP980" t="s">
        <v>10420</v>
      </c>
      <c r="AQ980" t="s">
        <v>74</v>
      </c>
      <c r="AR980" t="s">
        <v>10421</v>
      </c>
      <c r="AS980" t="s">
        <v>10422</v>
      </c>
      <c r="AT980" t="s">
        <v>6581</v>
      </c>
      <c r="AU980">
        <v>2019</v>
      </c>
      <c r="AV980">
        <v>222</v>
      </c>
      <c r="AW980">
        <v>3</v>
      </c>
      <c r="AX980" t="s">
        <v>74</v>
      </c>
      <c r="AY980" t="s">
        <v>74</v>
      </c>
      <c r="AZ980" t="s">
        <v>74</v>
      </c>
      <c r="BA980" t="s">
        <v>74</v>
      </c>
      <c r="BB980">
        <v>1242</v>
      </c>
      <c r="BC980">
        <v>1255</v>
      </c>
      <c r="BD980" t="s">
        <v>74</v>
      </c>
      <c r="BE980" t="s">
        <v>18821</v>
      </c>
      <c r="BF980" t="str">
        <f>HYPERLINK("http://dx.doi.org/10.1111/nph.15701","http://dx.doi.org/10.1111/nph.15701")</f>
        <v>http://dx.doi.org/10.1111/nph.15701</v>
      </c>
      <c r="BG980" t="s">
        <v>74</v>
      </c>
      <c r="BH980" t="s">
        <v>74</v>
      </c>
      <c r="BI980">
        <v>14</v>
      </c>
      <c r="BJ980" t="s">
        <v>2907</v>
      </c>
      <c r="BK980" t="s">
        <v>101</v>
      </c>
      <c r="BL980" t="s">
        <v>2907</v>
      </c>
      <c r="BM980" t="s">
        <v>18822</v>
      </c>
      <c r="BN980">
        <v>30667072</v>
      </c>
      <c r="BO980" t="s">
        <v>18823</v>
      </c>
      <c r="BP980" t="s">
        <v>74</v>
      </c>
      <c r="BQ980" t="s">
        <v>74</v>
      </c>
      <c r="BR980" t="s">
        <v>103</v>
      </c>
      <c r="BS980" t="s">
        <v>18824</v>
      </c>
      <c r="BT980" t="str">
        <f>HYPERLINK("https%3A%2F%2Fwww.webofscience.com%2Fwos%2Fwoscc%2Ffull-record%2FWOS:000466797100012","View Full Record in Web of Science")</f>
        <v>View Full Record in Web of Science</v>
      </c>
    </row>
    <row r="981" spans="1:72" x14ac:dyDescent="0.15">
      <c r="A981" t="s">
        <v>72</v>
      </c>
      <c r="B981" t="s">
        <v>18825</v>
      </c>
      <c r="C981" t="s">
        <v>74</v>
      </c>
      <c r="D981" t="s">
        <v>74</v>
      </c>
      <c r="E981" t="s">
        <v>74</v>
      </c>
      <c r="F981" t="s">
        <v>18826</v>
      </c>
      <c r="G981" t="s">
        <v>74</v>
      </c>
      <c r="H981" t="s">
        <v>74</v>
      </c>
      <c r="I981" t="s">
        <v>18827</v>
      </c>
      <c r="J981" t="s">
        <v>18828</v>
      </c>
      <c r="K981" t="s">
        <v>74</v>
      </c>
      <c r="L981" t="s">
        <v>74</v>
      </c>
      <c r="M981" t="s">
        <v>78</v>
      </c>
      <c r="N981" t="s">
        <v>108</v>
      </c>
      <c r="O981" t="s">
        <v>74</v>
      </c>
      <c r="P981" t="s">
        <v>74</v>
      </c>
      <c r="Q981" t="s">
        <v>74</v>
      </c>
      <c r="R981" t="s">
        <v>74</v>
      </c>
      <c r="S981" t="s">
        <v>74</v>
      </c>
      <c r="T981" t="s">
        <v>18829</v>
      </c>
      <c r="U981" t="s">
        <v>18830</v>
      </c>
      <c r="V981" t="s">
        <v>18831</v>
      </c>
      <c r="W981" t="s">
        <v>18832</v>
      </c>
      <c r="X981" t="s">
        <v>18833</v>
      </c>
      <c r="Y981" t="s">
        <v>18834</v>
      </c>
      <c r="Z981" t="s">
        <v>18835</v>
      </c>
      <c r="AA981" t="s">
        <v>18836</v>
      </c>
      <c r="AB981" t="s">
        <v>18837</v>
      </c>
      <c r="AC981" t="s">
        <v>18838</v>
      </c>
      <c r="AD981" t="s">
        <v>18839</v>
      </c>
      <c r="AE981" t="s">
        <v>18840</v>
      </c>
      <c r="AF981" t="s">
        <v>74</v>
      </c>
      <c r="AG981">
        <v>161</v>
      </c>
      <c r="AH981">
        <v>18</v>
      </c>
      <c r="AI981">
        <v>18</v>
      </c>
      <c r="AJ981">
        <v>0</v>
      </c>
      <c r="AK981">
        <v>11</v>
      </c>
      <c r="AL981" t="s">
        <v>1140</v>
      </c>
      <c r="AM981" t="s">
        <v>1141</v>
      </c>
      <c r="AN981" t="s">
        <v>1142</v>
      </c>
      <c r="AO981" t="s">
        <v>18841</v>
      </c>
      <c r="AP981" t="s">
        <v>18842</v>
      </c>
      <c r="AQ981" t="s">
        <v>74</v>
      </c>
      <c r="AR981" t="s">
        <v>18843</v>
      </c>
      <c r="AS981" t="s">
        <v>18844</v>
      </c>
      <c r="AT981" t="s">
        <v>6581</v>
      </c>
      <c r="AU981">
        <v>2019</v>
      </c>
      <c r="AV981">
        <v>37</v>
      </c>
      <c r="AW981">
        <v>4</v>
      </c>
      <c r="AX981" t="s">
        <v>74</v>
      </c>
      <c r="AY981" t="s">
        <v>74</v>
      </c>
      <c r="AZ981" t="s">
        <v>74</v>
      </c>
      <c r="BA981" t="s">
        <v>74</v>
      </c>
      <c r="BB981">
        <v>509</v>
      </c>
      <c r="BC981">
        <v>537</v>
      </c>
      <c r="BD981" t="s">
        <v>74</v>
      </c>
      <c r="BE981" t="s">
        <v>18845</v>
      </c>
      <c r="BF981" t="str">
        <f>HYPERLINK("http://dx.doi.org/10.1111/jmg.12474","http://dx.doi.org/10.1111/jmg.12474")</f>
        <v>http://dx.doi.org/10.1111/jmg.12474</v>
      </c>
      <c r="BG981" t="s">
        <v>74</v>
      </c>
      <c r="BH981" t="s">
        <v>74</v>
      </c>
      <c r="BI981">
        <v>29</v>
      </c>
      <c r="BJ981" t="s">
        <v>472</v>
      </c>
      <c r="BK981" t="s">
        <v>101</v>
      </c>
      <c r="BL981" t="s">
        <v>472</v>
      </c>
      <c r="BM981" t="s">
        <v>18846</v>
      </c>
      <c r="BN981" t="s">
        <v>74</v>
      </c>
      <c r="BO981" t="s">
        <v>74</v>
      </c>
      <c r="BP981" t="s">
        <v>74</v>
      </c>
      <c r="BQ981" t="s">
        <v>74</v>
      </c>
      <c r="BR981" t="s">
        <v>103</v>
      </c>
      <c r="BS981" t="s">
        <v>18847</v>
      </c>
      <c r="BT981" t="str">
        <f>HYPERLINK("https%3A%2F%2Fwww.webofscience.com%2Fwos%2Fwoscc%2Ffull-record%2FWOS:000466449600003","View Full Record in Web of Science")</f>
        <v>View Full Record in Web of Science</v>
      </c>
    </row>
    <row r="982" spans="1:72" x14ac:dyDescent="0.15">
      <c r="A982" t="s">
        <v>72</v>
      </c>
      <c r="B982" t="s">
        <v>18848</v>
      </c>
      <c r="C982" t="s">
        <v>74</v>
      </c>
      <c r="D982" t="s">
        <v>74</v>
      </c>
      <c r="E982" t="s">
        <v>74</v>
      </c>
      <c r="F982" t="s">
        <v>18849</v>
      </c>
      <c r="G982" t="s">
        <v>74</v>
      </c>
      <c r="H982" t="s">
        <v>74</v>
      </c>
      <c r="I982" t="s">
        <v>18850</v>
      </c>
      <c r="J982" t="s">
        <v>4861</v>
      </c>
      <c r="K982" t="s">
        <v>74</v>
      </c>
      <c r="L982" t="s">
        <v>74</v>
      </c>
      <c r="M982" t="s">
        <v>78</v>
      </c>
      <c r="N982" t="s">
        <v>108</v>
      </c>
      <c r="O982" t="s">
        <v>74</v>
      </c>
      <c r="P982" t="s">
        <v>74</v>
      </c>
      <c r="Q982" t="s">
        <v>74</v>
      </c>
      <c r="R982" t="s">
        <v>74</v>
      </c>
      <c r="S982" t="s">
        <v>74</v>
      </c>
      <c r="T982" t="s">
        <v>18851</v>
      </c>
      <c r="U982" t="s">
        <v>18852</v>
      </c>
      <c r="V982" t="s">
        <v>18853</v>
      </c>
      <c r="W982" t="s">
        <v>18854</v>
      </c>
      <c r="X982" t="s">
        <v>18855</v>
      </c>
      <c r="Y982" t="s">
        <v>18856</v>
      </c>
      <c r="Z982" t="s">
        <v>18857</v>
      </c>
      <c r="AA982" t="s">
        <v>18858</v>
      </c>
      <c r="AB982" t="s">
        <v>18859</v>
      </c>
      <c r="AC982" t="s">
        <v>18860</v>
      </c>
      <c r="AD982" t="s">
        <v>4459</v>
      </c>
      <c r="AE982" t="s">
        <v>18861</v>
      </c>
      <c r="AF982" t="s">
        <v>74</v>
      </c>
      <c r="AG982">
        <v>51</v>
      </c>
      <c r="AH982">
        <v>10</v>
      </c>
      <c r="AI982">
        <v>13</v>
      </c>
      <c r="AJ982">
        <v>0</v>
      </c>
      <c r="AK982">
        <v>5</v>
      </c>
      <c r="AL982" t="s">
        <v>251</v>
      </c>
      <c r="AM982" t="s">
        <v>252</v>
      </c>
      <c r="AN982" t="s">
        <v>253</v>
      </c>
      <c r="AO982" t="s">
        <v>4874</v>
      </c>
      <c r="AP982" t="s">
        <v>4875</v>
      </c>
      <c r="AQ982" t="s">
        <v>74</v>
      </c>
      <c r="AR982" t="s">
        <v>4876</v>
      </c>
      <c r="AS982" t="s">
        <v>4877</v>
      </c>
      <c r="AT982" t="s">
        <v>6581</v>
      </c>
      <c r="AU982">
        <v>2019</v>
      </c>
      <c r="AV982">
        <v>49</v>
      </c>
      <c r="AW982">
        <v>5</v>
      </c>
      <c r="AX982" t="s">
        <v>74</v>
      </c>
      <c r="AY982" t="s">
        <v>74</v>
      </c>
      <c r="AZ982" t="s">
        <v>74</v>
      </c>
      <c r="BA982" t="s">
        <v>74</v>
      </c>
      <c r="BB982">
        <v>1249</v>
      </c>
      <c r="BC982">
        <v>1268</v>
      </c>
      <c r="BD982" t="s">
        <v>74</v>
      </c>
      <c r="BE982" t="s">
        <v>18862</v>
      </c>
      <c r="BF982" t="str">
        <f>HYPERLINK("http://dx.doi.org/10.1175/JPO-D-18-0187.1","http://dx.doi.org/10.1175/JPO-D-18-0187.1")</f>
        <v>http://dx.doi.org/10.1175/JPO-D-18-0187.1</v>
      </c>
      <c r="BG982" t="s">
        <v>74</v>
      </c>
      <c r="BH982" t="s">
        <v>74</v>
      </c>
      <c r="BI982">
        <v>20</v>
      </c>
      <c r="BJ982" t="s">
        <v>100</v>
      </c>
      <c r="BK982" t="s">
        <v>101</v>
      </c>
      <c r="BL982" t="s">
        <v>100</v>
      </c>
      <c r="BM982" t="s">
        <v>18863</v>
      </c>
      <c r="BN982" t="s">
        <v>74</v>
      </c>
      <c r="BO982" t="s">
        <v>1308</v>
      </c>
      <c r="BP982" t="s">
        <v>74</v>
      </c>
      <c r="BQ982" t="s">
        <v>74</v>
      </c>
      <c r="BR982" t="s">
        <v>103</v>
      </c>
      <c r="BS982" t="s">
        <v>18864</v>
      </c>
      <c r="BT982" t="str">
        <f>HYPERLINK("https%3A%2F%2Fwww.webofscience.com%2Fwos%2Fwoscc%2Ffull-record%2FWOS:000467314100001","View Full Record in Web of Science")</f>
        <v>View Full Record in Web of Science</v>
      </c>
    </row>
    <row r="983" spans="1:72" x14ac:dyDescent="0.15">
      <c r="A983" t="s">
        <v>72</v>
      </c>
      <c r="B983" t="s">
        <v>18865</v>
      </c>
      <c r="C983" t="s">
        <v>74</v>
      </c>
      <c r="D983" t="s">
        <v>74</v>
      </c>
      <c r="E983" t="s">
        <v>74</v>
      </c>
      <c r="F983" t="s">
        <v>18866</v>
      </c>
      <c r="G983" t="s">
        <v>74</v>
      </c>
      <c r="H983" t="s">
        <v>74</v>
      </c>
      <c r="I983" t="s">
        <v>18867</v>
      </c>
      <c r="J983" t="s">
        <v>4003</v>
      </c>
      <c r="K983" t="s">
        <v>74</v>
      </c>
      <c r="L983" t="s">
        <v>74</v>
      </c>
      <c r="M983" t="s">
        <v>78</v>
      </c>
      <c r="N983" t="s">
        <v>108</v>
      </c>
      <c r="O983" t="s">
        <v>74</v>
      </c>
      <c r="P983" t="s">
        <v>74</v>
      </c>
      <c r="Q983" t="s">
        <v>74</v>
      </c>
      <c r="R983" t="s">
        <v>74</v>
      </c>
      <c r="S983" t="s">
        <v>74</v>
      </c>
      <c r="T983" t="s">
        <v>74</v>
      </c>
      <c r="U983" t="s">
        <v>18868</v>
      </c>
      <c r="V983" t="s">
        <v>18869</v>
      </c>
      <c r="W983" t="s">
        <v>18870</v>
      </c>
      <c r="X983" t="s">
        <v>18871</v>
      </c>
      <c r="Y983" t="s">
        <v>18872</v>
      </c>
      <c r="Z983" t="s">
        <v>18873</v>
      </c>
      <c r="AA983" t="s">
        <v>18874</v>
      </c>
      <c r="AB983" t="s">
        <v>18875</v>
      </c>
      <c r="AC983" t="s">
        <v>18876</v>
      </c>
      <c r="AD983" t="s">
        <v>18877</v>
      </c>
      <c r="AE983" t="s">
        <v>18878</v>
      </c>
      <c r="AF983" t="s">
        <v>74</v>
      </c>
      <c r="AG983">
        <v>58</v>
      </c>
      <c r="AH983">
        <v>5</v>
      </c>
      <c r="AI983">
        <v>5</v>
      </c>
      <c r="AJ983">
        <v>2</v>
      </c>
      <c r="AK983">
        <v>16</v>
      </c>
      <c r="AL983" t="s">
        <v>154</v>
      </c>
      <c r="AM983" t="s">
        <v>4016</v>
      </c>
      <c r="AN983" t="s">
        <v>4040</v>
      </c>
      <c r="AO983" t="s">
        <v>4018</v>
      </c>
      <c r="AP983" t="s">
        <v>4019</v>
      </c>
      <c r="AQ983" t="s">
        <v>74</v>
      </c>
      <c r="AR983" t="s">
        <v>4020</v>
      </c>
      <c r="AS983" t="s">
        <v>4021</v>
      </c>
      <c r="AT983" t="s">
        <v>6581</v>
      </c>
      <c r="AU983">
        <v>2019</v>
      </c>
      <c r="AV983">
        <v>42</v>
      </c>
      <c r="AW983">
        <v>5</v>
      </c>
      <c r="AX983" t="s">
        <v>74</v>
      </c>
      <c r="AY983" t="s">
        <v>74</v>
      </c>
      <c r="AZ983" t="s">
        <v>74</v>
      </c>
      <c r="BA983" t="s">
        <v>74</v>
      </c>
      <c r="BB983">
        <v>877</v>
      </c>
      <c r="BC983">
        <v>887</v>
      </c>
      <c r="BD983" t="s">
        <v>74</v>
      </c>
      <c r="BE983" t="s">
        <v>18879</v>
      </c>
      <c r="BF983" t="str">
        <f>HYPERLINK("http://dx.doi.org/10.1007/s00300-019-02482-8","http://dx.doi.org/10.1007/s00300-019-02482-8")</f>
        <v>http://dx.doi.org/10.1007/s00300-019-02482-8</v>
      </c>
      <c r="BG983" t="s">
        <v>74</v>
      </c>
      <c r="BH983" t="s">
        <v>74</v>
      </c>
      <c r="BI983">
        <v>11</v>
      </c>
      <c r="BJ983" t="s">
        <v>3802</v>
      </c>
      <c r="BK983" t="s">
        <v>101</v>
      </c>
      <c r="BL983" t="s">
        <v>1646</v>
      </c>
      <c r="BM983" t="s">
        <v>18880</v>
      </c>
      <c r="BN983" t="s">
        <v>74</v>
      </c>
      <c r="BO983" t="s">
        <v>74</v>
      </c>
      <c r="BP983" t="s">
        <v>74</v>
      </c>
      <c r="BQ983" t="s">
        <v>74</v>
      </c>
      <c r="BR983" t="s">
        <v>103</v>
      </c>
      <c r="BS983" t="s">
        <v>18881</v>
      </c>
      <c r="BT983" t="str">
        <f>HYPERLINK("https%3A%2F%2Fwww.webofscience.com%2Fwos%2Fwoscc%2Ffull-record%2FWOS:000466390100004","View Full Record in Web of Science")</f>
        <v>View Full Record in Web of Science</v>
      </c>
    </row>
    <row r="984" spans="1:72" x14ac:dyDescent="0.15">
      <c r="A984" t="s">
        <v>72</v>
      </c>
      <c r="B984" t="s">
        <v>18882</v>
      </c>
      <c r="C984" t="s">
        <v>74</v>
      </c>
      <c r="D984" t="s">
        <v>74</v>
      </c>
      <c r="E984" t="s">
        <v>74</v>
      </c>
      <c r="F984" t="s">
        <v>18883</v>
      </c>
      <c r="G984" t="s">
        <v>74</v>
      </c>
      <c r="H984" t="s">
        <v>74</v>
      </c>
      <c r="I984" t="s">
        <v>18884</v>
      </c>
      <c r="J984" t="s">
        <v>4003</v>
      </c>
      <c r="K984" t="s">
        <v>74</v>
      </c>
      <c r="L984" t="s">
        <v>74</v>
      </c>
      <c r="M984" t="s">
        <v>78</v>
      </c>
      <c r="N984" t="s">
        <v>108</v>
      </c>
      <c r="O984" t="s">
        <v>74</v>
      </c>
      <c r="P984" t="s">
        <v>74</v>
      </c>
      <c r="Q984" t="s">
        <v>74</v>
      </c>
      <c r="R984" t="s">
        <v>74</v>
      </c>
      <c r="S984" t="s">
        <v>74</v>
      </c>
      <c r="T984" t="s">
        <v>18885</v>
      </c>
      <c r="U984" t="s">
        <v>18886</v>
      </c>
      <c r="V984" t="s">
        <v>18887</v>
      </c>
      <c r="W984" t="s">
        <v>18888</v>
      </c>
      <c r="X984" t="s">
        <v>18889</v>
      </c>
      <c r="Y984" t="s">
        <v>18890</v>
      </c>
      <c r="Z984" t="s">
        <v>18891</v>
      </c>
      <c r="AA984" t="s">
        <v>18892</v>
      </c>
      <c r="AB984" t="s">
        <v>18893</v>
      </c>
      <c r="AC984" t="s">
        <v>18894</v>
      </c>
      <c r="AD984" t="s">
        <v>18895</v>
      </c>
      <c r="AE984" t="s">
        <v>18896</v>
      </c>
      <c r="AF984" t="s">
        <v>74</v>
      </c>
      <c r="AG984">
        <v>76</v>
      </c>
      <c r="AH984">
        <v>0</v>
      </c>
      <c r="AI984">
        <v>0</v>
      </c>
      <c r="AJ984">
        <v>0</v>
      </c>
      <c r="AK984">
        <v>14</v>
      </c>
      <c r="AL984" t="s">
        <v>154</v>
      </c>
      <c r="AM984" t="s">
        <v>4016</v>
      </c>
      <c r="AN984" t="s">
        <v>4017</v>
      </c>
      <c r="AO984" t="s">
        <v>4018</v>
      </c>
      <c r="AP984" t="s">
        <v>4019</v>
      </c>
      <c r="AQ984" t="s">
        <v>74</v>
      </c>
      <c r="AR984" t="s">
        <v>4020</v>
      </c>
      <c r="AS984" t="s">
        <v>4021</v>
      </c>
      <c r="AT984" t="s">
        <v>6581</v>
      </c>
      <c r="AU984">
        <v>2019</v>
      </c>
      <c r="AV984">
        <v>42</v>
      </c>
      <c r="AW984">
        <v>5</v>
      </c>
      <c r="AX984" t="s">
        <v>74</v>
      </c>
      <c r="AY984" t="s">
        <v>74</v>
      </c>
      <c r="AZ984" t="s">
        <v>74</v>
      </c>
      <c r="BA984" t="s">
        <v>74</v>
      </c>
      <c r="BB984">
        <v>907</v>
      </c>
      <c r="BC984">
        <v>918</v>
      </c>
      <c r="BD984" t="s">
        <v>74</v>
      </c>
      <c r="BE984" t="s">
        <v>18897</v>
      </c>
      <c r="BF984" t="str">
        <f>HYPERLINK("http://dx.doi.org/10.1007/s00300-019-02486-4","http://dx.doi.org/10.1007/s00300-019-02486-4")</f>
        <v>http://dx.doi.org/10.1007/s00300-019-02486-4</v>
      </c>
      <c r="BG984" t="s">
        <v>74</v>
      </c>
      <c r="BH984" t="s">
        <v>74</v>
      </c>
      <c r="BI984">
        <v>12</v>
      </c>
      <c r="BJ984" t="s">
        <v>3802</v>
      </c>
      <c r="BK984" t="s">
        <v>101</v>
      </c>
      <c r="BL984" t="s">
        <v>1646</v>
      </c>
      <c r="BM984" t="s">
        <v>18880</v>
      </c>
      <c r="BN984" t="s">
        <v>74</v>
      </c>
      <c r="BO984" t="s">
        <v>74</v>
      </c>
      <c r="BP984" t="s">
        <v>74</v>
      </c>
      <c r="BQ984" t="s">
        <v>74</v>
      </c>
      <c r="BR984" t="s">
        <v>103</v>
      </c>
      <c r="BS984" t="s">
        <v>18898</v>
      </c>
      <c r="BT984" t="str">
        <f>HYPERLINK("https%3A%2F%2Fwww.webofscience.com%2Fwos%2Fwoscc%2Ffull-record%2FWOS:000466390100006","View Full Record in Web of Science")</f>
        <v>View Full Record in Web of Science</v>
      </c>
    </row>
    <row r="985" spans="1:72" x14ac:dyDescent="0.15">
      <c r="A985" t="s">
        <v>72</v>
      </c>
      <c r="B985" t="s">
        <v>18899</v>
      </c>
      <c r="C985" t="s">
        <v>74</v>
      </c>
      <c r="D985" t="s">
        <v>74</v>
      </c>
      <c r="E985" t="s">
        <v>74</v>
      </c>
      <c r="F985" t="s">
        <v>18900</v>
      </c>
      <c r="G985" t="s">
        <v>74</v>
      </c>
      <c r="H985" t="s">
        <v>74</v>
      </c>
      <c r="I985" t="s">
        <v>18901</v>
      </c>
      <c r="J985" t="s">
        <v>4003</v>
      </c>
      <c r="K985" t="s">
        <v>74</v>
      </c>
      <c r="L985" t="s">
        <v>74</v>
      </c>
      <c r="M985" t="s">
        <v>78</v>
      </c>
      <c r="N985" t="s">
        <v>108</v>
      </c>
      <c r="O985" t="s">
        <v>74</v>
      </c>
      <c r="P985" t="s">
        <v>74</v>
      </c>
      <c r="Q985" t="s">
        <v>74</v>
      </c>
      <c r="R985" t="s">
        <v>74</v>
      </c>
      <c r="S985" t="s">
        <v>74</v>
      </c>
      <c r="T985" t="s">
        <v>18902</v>
      </c>
      <c r="U985" t="s">
        <v>18903</v>
      </c>
      <c r="V985" t="s">
        <v>18904</v>
      </c>
      <c r="W985" t="s">
        <v>18905</v>
      </c>
      <c r="X985" t="s">
        <v>18906</v>
      </c>
      <c r="Y985" t="s">
        <v>18907</v>
      </c>
      <c r="Z985" t="s">
        <v>18908</v>
      </c>
      <c r="AA985" t="s">
        <v>18909</v>
      </c>
      <c r="AB985" t="s">
        <v>18910</v>
      </c>
      <c r="AC985" t="s">
        <v>18911</v>
      </c>
      <c r="AD985" t="s">
        <v>18911</v>
      </c>
      <c r="AE985" t="s">
        <v>18912</v>
      </c>
      <c r="AF985" t="s">
        <v>74</v>
      </c>
      <c r="AG985">
        <v>64</v>
      </c>
      <c r="AH985">
        <v>2</v>
      </c>
      <c r="AI985">
        <v>2</v>
      </c>
      <c r="AJ985">
        <v>1</v>
      </c>
      <c r="AK985">
        <v>15</v>
      </c>
      <c r="AL985" t="s">
        <v>154</v>
      </c>
      <c r="AM985" t="s">
        <v>4016</v>
      </c>
      <c r="AN985" t="s">
        <v>4017</v>
      </c>
      <c r="AO985" t="s">
        <v>4018</v>
      </c>
      <c r="AP985" t="s">
        <v>4019</v>
      </c>
      <c r="AQ985" t="s">
        <v>74</v>
      </c>
      <c r="AR985" t="s">
        <v>4020</v>
      </c>
      <c r="AS985" t="s">
        <v>4021</v>
      </c>
      <c r="AT985" t="s">
        <v>6581</v>
      </c>
      <c r="AU985">
        <v>2019</v>
      </c>
      <c r="AV985">
        <v>42</v>
      </c>
      <c r="AW985">
        <v>5</v>
      </c>
      <c r="AX985" t="s">
        <v>74</v>
      </c>
      <c r="AY985" t="s">
        <v>74</v>
      </c>
      <c r="AZ985" t="s">
        <v>74</v>
      </c>
      <c r="BA985" t="s">
        <v>74</v>
      </c>
      <c r="BB985">
        <v>943</v>
      </c>
      <c r="BC985">
        <v>952</v>
      </c>
      <c r="BD985" t="s">
        <v>74</v>
      </c>
      <c r="BE985" t="s">
        <v>18913</v>
      </c>
      <c r="BF985" t="str">
        <f>HYPERLINK("http://dx.doi.org/10.1007/s00300-019-02489-1","http://dx.doi.org/10.1007/s00300-019-02489-1")</f>
        <v>http://dx.doi.org/10.1007/s00300-019-02489-1</v>
      </c>
      <c r="BG985" t="s">
        <v>74</v>
      </c>
      <c r="BH985" t="s">
        <v>74</v>
      </c>
      <c r="BI985">
        <v>10</v>
      </c>
      <c r="BJ985" t="s">
        <v>3802</v>
      </c>
      <c r="BK985" t="s">
        <v>101</v>
      </c>
      <c r="BL985" t="s">
        <v>1646</v>
      </c>
      <c r="BM985" t="s">
        <v>18880</v>
      </c>
      <c r="BN985" t="s">
        <v>74</v>
      </c>
      <c r="BO985" t="s">
        <v>74</v>
      </c>
      <c r="BP985" t="s">
        <v>74</v>
      </c>
      <c r="BQ985" t="s">
        <v>74</v>
      </c>
      <c r="BR985" t="s">
        <v>103</v>
      </c>
      <c r="BS985" t="s">
        <v>18914</v>
      </c>
      <c r="BT985" t="str">
        <f>HYPERLINK("https%3A%2F%2Fwww.webofscience.com%2Fwos%2Fwoscc%2Ffull-record%2FWOS:000466390100009","View Full Record in Web of Science")</f>
        <v>View Full Record in Web of Science</v>
      </c>
    </row>
    <row r="986" spans="1:72" x14ac:dyDescent="0.15">
      <c r="A986" t="s">
        <v>72</v>
      </c>
      <c r="B986" t="s">
        <v>18915</v>
      </c>
      <c r="C986" t="s">
        <v>74</v>
      </c>
      <c r="D986" t="s">
        <v>74</v>
      </c>
      <c r="E986" t="s">
        <v>74</v>
      </c>
      <c r="F986" t="s">
        <v>18916</v>
      </c>
      <c r="G986" t="s">
        <v>74</v>
      </c>
      <c r="H986" t="s">
        <v>74</v>
      </c>
      <c r="I986" t="s">
        <v>18917</v>
      </c>
      <c r="J986" t="s">
        <v>4003</v>
      </c>
      <c r="K986" t="s">
        <v>74</v>
      </c>
      <c r="L986" t="s">
        <v>74</v>
      </c>
      <c r="M986" t="s">
        <v>78</v>
      </c>
      <c r="N986" t="s">
        <v>108</v>
      </c>
      <c r="O986" t="s">
        <v>74</v>
      </c>
      <c r="P986" t="s">
        <v>74</v>
      </c>
      <c r="Q986" t="s">
        <v>74</v>
      </c>
      <c r="R986" t="s">
        <v>74</v>
      </c>
      <c r="S986" t="s">
        <v>74</v>
      </c>
      <c r="T986" t="s">
        <v>18918</v>
      </c>
      <c r="U986" t="s">
        <v>18919</v>
      </c>
      <c r="V986" t="s">
        <v>18920</v>
      </c>
      <c r="W986" t="s">
        <v>18921</v>
      </c>
      <c r="X986" t="s">
        <v>18922</v>
      </c>
      <c r="Y986" t="s">
        <v>18923</v>
      </c>
      <c r="Z986" t="s">
        <v>18924</v>
      </c>
      <c r="AA986" t="s">
        <v>18925</v>
      </c>
      <c r="AB986" t="s">
        <v>18926</v>
      </c>
      <c r="AC986" t="s">
        <v>18927</v>
      </c>
      <c r="AD986" t="s">
        <v>18928</v>
      </c>
      <c r="AE986" t="s">
        <v>18929</v>
      </c>
      <c r="AF986" t="s">
        <v>74</v>
      </c>
      <c r="AG986">
        <v>65</v>
      </c>
      <c r="AH986">
        <v>8</v>
      </c>
      <c r="AI986">
        <v>9</v>
      </c>
      <c r="AJ986">
        <v>3</v>
      </c>
      <c r="AK986">
        <v>15</v>
      </c>
      <c r="AL986" t="s">
        <v>154</v>
      </c>
      <c r="AM986" t="s">
        <v>4016</v>
      </c>
      <c r="AN986" t="s">
        <v>4017</v>
      </c>
      <c r="AO986" t="s">
        <v>4018</v>
      </c>
      <c r="AP986" t="s">
        <v>4019</v>
      </c>
      <c r="AQ986" t="s">
        <v>74</v>
      </c>
      <c r="AR986" t="s">
        <v>4020</v>
      </c>
      <c r="AS986" t="s">
        <v>4021</v>
      </c>
      <c r="AT986" t="s">
        <v>6581</v>
      </c>
      <c r="AU986">
        <v>2019</v>
      </c>
      <c r="AV986">
        <v>42</v>
      </c>
      <c r="AW986">
        <v>5</v>
      </c>
      <c r="AX986" t="s">
        <v>74</v>
      </c>
      <c r="AY986" t="s">
        <v>74</v>
      </c>
      <c r="AZ986" t="s">
        <v>74</v>
      </c>
      <c r="BA986" t="s">
        <v>74</v>
      </c>
      <c r="BB986">
        <v>991</v>
      </c>
      <c r="BC986">
        <v>1003</v>
      </c>
      <c r="BD986" t="s">
        <v>74</v>
      </c>
      <c r="BE986" t="s">
        <v>18930</v>
      </c>
      <c r="BF986" t="str">
        <f>HYPERLINK("http://dx.doi.org/10.1007/s00300-019-02493-5","http://dx.doi.org/10.1007/s00300-019-02493-5")</f>
        <v>http://dx.doi.org/10.1007/s00300-019-02493-5</v>
      </c>
      <c r="BG986" t="s">
        <v>74</v>
      </c>
      <c r="BH986" t="s">
        <v>74</v>
      </c>
      <c r="BI986">
        <v>13</v>
      </c>
      <c r="BJ986" t="s">
        <v>3802</v>
      </c>
      <c r="BK986" t="s">
        <v>101</v>
      </c>
      <c r="BL986" t="s">
        <v>1646</v>
      </c>
      <c r="BM986" t="s">
        <v>18880</v>
      </c>
      <c r="BN986" t="s">
        <v>74</v>
      </c>
      <c r="BO986" t="s">
        <v>74</v>
      </c>
      <c r="BP986" t="s">
        <v>74</v>
      </c>
      <c r="BQ986" t="s">
        <v>74</v>
      </c>
      <c r="BR986" t="s">
        <v>103</v>
      </c>
      <c r="BS986" t="s">
        <v>18931</v>
      </c>
      <c r="BT986" t="str">
        <f>HYPERLINK("https%3A%2F%2Fwww.webofscience.com%2Fwos%2Fwoscc%2Ffull-record%2FWOS:000466390100012","View Full Record in Web of Science")</f>
        <v>View Full Record in Web of Science</v>
      </c>
    </row>
    <row r="987" spans="1:72" x14ac:dyDescent="0.15">
      <c r="A987" t="s">
        <v>72</v>
      </c>
      <c r="B987" t="s">
        <v>18932</v>
      </c>
      <c r="C987" t="s">
        <v>74</v>
      </c>
      <c r="D987" t="s">
        <v>74</v>
      </c>
      <c r="E987" t="s">
        <v>74</v>
      </c>
      <c r="F987" t="s">
        <v>18933</v>
      </c>
      <c r="G987" t="s">
        <v>74</v>
      </c>
      <c r="H987" t="s">
        <v>74</v>
      </c>
      <c r="I987" t="s">
        <v>18934</v>
      </c>
      <c r="J987" t="s">
        <v>4003</v>
      </c>
      <c r="K987" t="s">
        <v>74</v>
      </c>
      <c r="L987" t="s">
        <v>74</v>
      </c>
      <c r="M987" t="s">
        <v>78</v>
      </c>
      <c r="N987" t="s">
        <v>108</v>
      </c>
      <c r="O987" t="s">
        <v>74</v>
      </c>
      <c r="P987" t="s">
        <v>74</v>
      </c>
      <c r="Q987" t="s">
        <v>74</v>
      </c>
      <c r="R987" t="s">
        <v>74</v>
      </c>
      <c r="S987" t="s">
        <v>74</v>
      </c>
      <c r="T987" t="s">
        <v>18935</v>
      </c>
      <c r="U987" t="s">
        <v>18936</v>
      </c>
      <c r="V987" t="s">
        <v>18937</v>
      </c>
      <c r="W987" t="s">
        <v>18938</v>
      </c>
      <c r="X987" t="s">
        <v>18939</v>
      </c>
      <c r="Y987" t="s">
        <v>18940</v>
      </c>
      <c r="Z987" t="s">
        <v>18941</v>
      </c>
      <c r="AA987" t="s">
        <v>18942</v>
      </c>
      <c r="AB987" t="s">
        <v>18943</v>
      </c>
      <c r="AC987" t="s">
        <v>18944</v>
      </c>
      <c r="AD987" t="s">
        <v>18945</v>
      </c>
      <c r="AE987" t="s">
        <v>18946</v>
      </c>
      <c r="AF987" t="s">
        <v>74</v>
      </c>
      <c r="AG987">
        <v>35</v>
      </c>
      <c r="AH987">
        <v>22</v>
      </c>
      <c r="AI987">
        <v>23</v>
      </c>
      <c r="AJ987">
        <v>0</v>
      </c>
      <c r="AK987">
        <v>21</v>
      </c>
      <c r="AL987" t="s">
        <v>154</v>
      </c>
      <c r="AM987" t="s">
        <v>4016</v>
      </c>
      <c r="AN987" t="s">
        <v>4040</v>
      </c>
      <c r="AO987" t="s">
        <v>4018</v>
      </c>
      <c r="AP987" t="s">
        <v>4019</v>
      </c>
      <c r="AQ987" t="s">
        <v>74</v>
      </c>
      <c r="AR987" t="s">
        <v>4020</v>
      </c>
      <c r="AS987" t="s">
        <v>4021</v>
      </c>
      <c r="AT987" t="s">
        <v>6581</v>
      </c>
      <c r="AU987">
        <v>2019</v>
      </c>
      <c r="AV987">
        <v>42</v>
      </c>
      <c r="AW987">
        <v>5</v>
      </c>
      <c r="AX987" t="s">
        <v>74</v>
      </c>
      <c r="AY987" t="s">
        <v>74</v>
      </c>
      <c r="AZ987" t="s">
        <v>74</v>
      </c>
      <c r="BA987" t="s">
        <v>74</v>
      </c>
      <c r="BB987">
        <v>1025</v>
      </c>
      <c r="BC987">
        <v>1040</v>
      </c>
      <c r="BD987" t="s">
        <v>74</v>
      </c>
      <c r="BE987" t="s">
        <v>18947</v>
      </c>
      <c r="BF987" t="str">
        <f>HYPERLINK("http://dx.doi.org/10.1007/s00300-019-02495-3","http://dx.doi.org/10.1007/s00300-019-02495-3")</f>
        <v>http://dx.doi.org/10.1007/s00300-019-02495-3</v>
      </c>
      <c r="BG987" t="s">
        <v>74</v>
      </c>
      <c r="BH987" t="s">
        <v>74</v>
      </c>
      <c r="BI987">
        <v>16</v>
      </c>
      <c r="BJ987" t="s">
        <v>3802</v>
      </c>
      <c r="BK987" t="s">
        <v>101</v>
      </c>
      <c r="BL987" t="s">
        <v>1646</v>
      </c>
      <c r="BM987" t="s">
        <v>18880</v>
      </c>
      <c r="BN987" t="s">
        <v>74</v>
      </c>
      <c r="BO987" t="s">
        <v>261</v>
      </c>
      <c r="BP987" t="s">
        <v>74</v>
      </c>
      <c r="BQ987" t="s">
        <v>74</v>
      </c>
      <c r="BR987" t="s">
        <v>103</v>
      </c>
      <c r="BS987" t="s">
        <v>18948</v>
      </c>
      <c r="BT987" t="str">
        <f>HYPERLINK("https%3A%2F%2Fwww.webofscience.com%2Fwos%2Fwoscc%2Ffull-record%2FWOS:000466390100014","View Full Record in Web of Science")</f>
        <v>View Full Record in Web of Science</v>
      </c>
    </row>
    <row r="988" spans="1:72" x14ac:dyDescent="0.15">
      <c r="A988" t="s">
        <v>72</v>
      </c>
      <c r="B988" t="s">
        <v>18949</v>
      </c>
      <c r="C988" t="s">
        <v>74</v>
      </c>
      <c r="D988" t="s">
        <v>74</v>
      </c>
      <c r="E988" t="s">
        <v>74</v>
      </c>
      <c r="F988" t="s">
        <v>18950</v>
      </c>
      <c r="G988" t="s">
        <v>74</v>
      </c>
      <c r="H988" t="s">
        <v>74</v>
      </c>
      <c r="I988" t="s">
        <v>18951</v>
      </c>
      <c r="J988" t="s">
        <v>4003</v>
      </c>
      <c r="K988" t="s">
        <v>74</v>
      </c>
      <c r="L988" t="s">
        <v>74</v>
      </c>
      <c r="M988" t="s">
        <v>78</v>
      </c>
      <c r="N988" t="s">
        <v>108</v>
      </c>
      <c r="O988" t="s">
        <v>74</v>
      </c>
      <c r="P988" t="s">
        <v>74</v>
      </c>
      <c r="Q988" t="s">
        <v>74</v>
      </c>
      <c r="R988" t="s">
        <v>74</v>
      </c>
      <c r="S988" t="s">
        <v>74</v>
      </c>
      <c r="T988" t="s">
        <v>18952</v>
      </c>
      <c r="U988" t="s">
        <v>18953</v>
      </c>
      <c r="V988" t="s">
        <v>18954</v>
      </c>
      <c r="W988" t="s">
        <v>18955</v>
      </c>
      <c r="X988" t="s">
        <v>18956</v>
      </c>
      <c r="Y988" t="s">
        <v>18957</v>
      </c>
      <c r="Z988" t="s">
        <v>18958</v>
      </c>
      <c r="AA988" t="s">
        <v>74</v>
      </c>
      <c r="AB988" t="s">
        <v>18959</v>
      </c>
      <c r="AC988" t="s">
        <v>18960</v>
      </c>
      <c r="AD988" t="s">
        <v>18961</v>
      </c>
      <c r="AE988" t="s">
        <v>18962</v>
      </c>
      <c r="AF988" t="s">
        <v>74</v>
      </c>
      <c r="AG988">
        <v>41</v>
      </c>
      <c r="AH988">
        <v>6</v>
      </c>
      <c r="AI988">
        <v>9</v>
      </c>
      <c r="AJ988">
        <v>0</v>
      </c>
      <c r="AK988">
        <v>12</v>
      </c>
      <c r="AL988" t="s">
        <v>154</v>
      </c>
      <c r="AM988" t="s">
        <v>4016</v>
      </c>
      <c r="AN988" t="s">
        <v>4040</v>
      </c>
      <c r="AO988" t="s">
        <v>4018</v>
      </c>
      <c r="AP988" t="s">
        <v>4019</v>
      </c>
      <c r="AQ988" t="s">
        <v>74</v>
      </c>
      <c r="AR988" t="s">
        <v>4020</v>
      </c>
      <c r="AS988" t="s">
        <v>4021</v>
      </c>
      <c r="AT988" t="s">
        <v>6581</v>
      </c>
      <c r="AU988">
        <v>2019</v>
      </c>
      <c r="AV988">
        <v>42</v>
      </c>
      <c r="AW988">
        <v>5</v>
      </c>
      <c r="AX988" t="s">
        <v>74</v>
      </c>
      <c r="AY988" t="s">
        <v>74</v>
      </c>
      <c r="AZ988" t="s">
        <v>74</v>
      </c>
      <c r="BA988" t="s">
        <v>74</v>
      </c>
      <c r="BB988">
        <v>1041</v>
      </c>
      <c r="BC988">
        <v>1046</v>
      </c>
      <c r="BD988" t="s">
        <v>74</v>
      </c>
      <c r="BE988" t="s">
        <v>18963</v>
      </c>
      <c r="BF988" t="str">
        <f>HYPERLINK("http://dx.doi.org/10.1007/s00300-019-02479-3","http://dx.doi.org/10.1007/s00300-019-02479-3")</f>
        <v>http://dx.doi.org/10.1007/s00300-019-02479-3</v>
      </c>
      <c r="BG988" t="s">
        <v>74</v>
      </c>
      <c r="BH988" t="s">
        <v>74</v>
      </c>
      <c r="BI988">
        <v>6</v>
      </c>
      <c r="BJ988" t="s">
        <v>3802</v>
      </c>
      <c r="BK988" t="s">
        <v>101</v>
      </c>
      <c r="BL988" t="s">
        <v>1646</v>
      </c>
      <c r="BM988" t="s">
        <v>18880</v>
      </c>
      <c r="BN988" t="s">
        <v>74</v>
      </c>
      <c r="BO988" t="s">
        <v>74</v>
      </c>
      <c r="BP988" t="s">
        <v>74</v>
      </c>
      <c r="BQ988" t="s">
        <v>74</v>
      </c>
      <c r="BR988" t="s">
        <v>103</v>
      </c>
      <c r="BS988" t="s">
        <v>18964</v>
      </c>
      <c r="BT988" t="str">
        <f>HYPERLINK("https%3A%2F%2Fwww.webofscience.com%2Fwos%2Fwoscc%2Ffull-record%2FWOS:000466390100015","View Full Record in Web of Science")</f>
        <v>View Full Record in Web of Science</v>
      </c>
    </row>
    <row r="989" spans="1:72" x14ac:dyDescent="0.15">
      <c r="A989" t="s">
        <v>72</v>
      </c>
      <c r="B989" t="s">
        <v>18965</v>
      </c>
      <c r="C989" t="s">
        <v>74</v>
      </c>
      <c r="D989" t="s">
        <v>74</v>
      </c>
      <c r="E989" t="s">
        <v>74</v>
      </c>
      <c r="F989" t="s">
        <v>18966</v>
      </c>
      <c r="G989" t="s">
        <v>74</v>
      </c>
      <c r="H989" t="s">
        <v>74</v>
      </c>
      <c r="I989" t="s">
        <v>18967</v>
      </c>
      <c r="J989" t="s">
        <v>4003</v>
      </c>
      <c r="K989" t="s">
        <v>74</v>
      </c>
      <c r="L989" t="s">
        <v>74</v>
      </c>
      <c r="M989" t="s">
        <v>78</v>
      </c>
      <c r="N989" t="s">
        <v>108</v>
      </c>
      <c r="O989" t="s">
        <v>74</v>
      </c>
      <c r="P989" t="s">
        <v>74</v>
      </c>
      <c r="Q989" t="s">
        <v>74</v>
      </c>
      <c r="R989" t="s">
        <v>74</v>
      </c>
      <c r="S989" t="s">
        <v>74</v>
      </c>
      <c r="T989" t="s">
        <v>18968</v>
      </c>
      <c r="U989" t="s">
        <v>18969</v>
      </c>
      <c r="V989" t="s">
        <v>18970</v>
      </c>
      <c r="W989" t="s">
        <v>18971</v>
      </c>
      <c r="X989" t="s">
        <v>18972</v>
      </c>
      <c r="Y989" t="s">
        <v>18973</v>
      </c>
      <c r="Z989" t="s">
        <v>18974</v>
      </c>
      <c r="AA989" t="s">
        <v>18975</v>
      </c>
      <c r="AB989" t="s">
        <v>18976</v>
      </c>
      <c r="AC989" t="s">
        <v>18977</v>
      </c>
      <c r="AD989" t="s">
        <v>18978</v>
      </c>
      <c r="AE989" t="s">
        <v>18979</v>
      </c>
      <c r="AF989" t="s">
        <v>74</v>
      </c>
      <c r="AG989">
        <v>24</v>
      </c>
      <c r="AH989">
        <v>17</v>
      </c>
      <c r="AI989">
        <v>17</v>
      </c>
      <c r="AJ989">
        <v>1</v>
      </c>
      <c r="AK989">
        <v>9</v>
      </c>
      <c r="AL989" t="s">
        <v>154</v>
      </c>
      <c r="AM989" t="s">
        <v>4016</v>
      </c>
      <c r="AN989" t="s">
        <v>4040</v>
      </c>
      <c r="AO989" t="s">
        <v>4018</v>
      </c>
      <c r="AP989" t="s">
        <v>4019</v>
      </c>
      <c r="AQ989" t="s">
        <v>74</v>
      </c>
      <c r="AR989" t="s">
        <v>4020</v>
      </c>
      <c r="AS989" t="s">
        <v>4021</v>
      </c>
      <c r="AT989" t="s">
        <v>6581</v>
      </c>
      <c r="AU989">
        <v>2019</v>
      </c>
      <c r="AV989">
        <v>42</v>
      </c>
      <c r="AW989">
        <v>5</v>
      </c>
      <c r="AX989" t="s">
        <v>74</v>
      </c>
      <c r="AY989" t="s">
        <v>74</v>
      </c>
      <c r="AZ989" t="s">
        <v>74</v>
      </c>
      <c r="BA989" t="s">
        <v>74</v>
      </c>
      <c r="BB989">
        <v>1047</v>
      </c>
      <c r="BC989">
        <v>1051</v>
      </c>
      <c r="BD989" t="s">
        <v>74</v>
      </c>
      <c r="BE989" t="s">
        <v>18980</v>
      </c>
      <c r="BF989" t="str">
        <f>HYPERLINK("http://dx.doi.org/10.1007/s00300-019-02490-8","http://dx.doi.org/10.1007/s00300-019-02490-8")</f>
        <v>http://dx.doi.org/10.1007/s00300-019-02490-8</v>
      </c>
      <c r="BG989" t="s">
        <v>74</v>
      </c>
      <c r="BH989" t="s">
        <v>74</v>
      </c>
      <c r="BI989">
        <v>5</v>
      </c>
      <c r="BJ989" t="s">
        <v>3802</v>
      </c>
      <c r="BK989" t="s">
        <v>101</v>
      </c>
      <c r="BL989" t="s">
        <v>1646</v>
      </c>
      <c r="BM989" t="s">
        <v>18880</v>
      </c>
      <c r="BN989" t="s">
        <v>74</v>
      </c>
      <c r="BO989" t="s">
        <v>74</v>
      </c>
      <c r="BP989" t="s">
        <v>74</v>
      </c>
      <c r="BQ989" t="s">
        <v>74</v>
      </c>
      <c r="BR989" t="s">
        <v>103</v>
      </c>
      <c r="BS989" t="s">
        <v>18981</v>
      </c>
      <c r="BT989" t="str">
        <f>HYPERLINK("https%3A%2F%2Fwww.webofscience.com%2Fwos%2Fwoscc%2Ffull-record%2FWOS:000466390100016","View Full Record in Web of Science")</f>
        <v>View Full Record in Web of Science</v>
      </c>
    </row>
    <row r="990" spans="1:72" x14ac:dyDescent="0.15">
      <c r="A990" t="s">
        <v>72</v>
      </c>
      <c r="B990" t="s">
        <v>18982</v>
      </c>
      <c r="C990" t="s">
        <v>74</v>
      </c>
      <c r="D990" t="s">
        <v>74</v>
      </c>
      <c r="E990" t="s">
        <v>74</v>
      </c>
      <c r="F990" t="s">
        <v>18983</v>
      </c>
      <c r="G990" t="s">
        <v>74</v>
      </c>
      <c r="H990" t="s">
        <v>74</v>
      </c>
      <c r="I990" t="s">
        <v>18984</v>
      </c>
      <c r="J990" t="s">
        <v>4003</v>
      </c>
      <c r="K990" t="s">
        <v>74</v>
      </c>
      <c r="L990" t="s">
        <v>74</v>
      </c>
      <c r="M990" t="s">
        <v>78</v>
      </c>
      <c r="N990" t="s">
        <v>108</v>
      </c>
      <c r="O990" t="s">
        <v>74</v>
      </c>
      <c r="P990" t="s">
        <v>74</v>
      </c>
      <c r="Q990" t="s">
        <v>74</v>
      </c>
      <c r="R990" t="s">
        <v>74</v>
      </c>
      <c r="S990" t="s">
        <v>74</v>
      </c>
      <c r="T990" t="s">
        <v>18985</v>
      </c>
      <c r="U990" t="s">
        <v>18986</v>
      </c>
      <c r="V990" t="s">
        <v>18987</v>
      </c>
      <c r="W990" t="s">
        <v>18988</v>
      </c>
      <c r="X990" t="s">
        <v>18989</v>
      </c>
      <c r="Y990" t="s">
        <v>18990</v>
      </c>
      <c r="Z990" t="s">
        <v>18991</v>
      </c>
      <c r="AA990" t="s">
        <v>18992</v>
      </c>
      <c r="AB990" t="s">
        <v>18993</v>
      </c>
      <c r="AC990" t="s">
        <v>18994</v>
      </c>
      <c r="AD990" t="s">
        <v>18994</v>
      </c>
      <c r="AE990" t="s">
        <v>18995</v>
      </c>
      <c r="AF990" t="s">
        <v>74</v>
      </c>
      <c r="AG990">
        <v>25</v>
      </c>
      <c r="AH990">
        <v>1</v>
      </c>
      <c r="AI990">
        <v>1</v>
      </c>
      <c r="AJ990">
        <v>0</v>
      </c>
      <c r="AK990">
        <v>4</v>
      </c>
      <c r="AL990" t="s">
        <v>154</v>
      </c>
      <c r="AM990" t="s">
        <v>4016</v>
      </c>
      <c r="AN990" t="s">
        <v>4040</v>
      </c>
      <c r="AO990" t="s">
        <v>4018</v>
      </c>
      <c r="AP990" t="s">
        <v>4019</v>
      </c>
      <c r="AQ990" t="s">
        <v>74</v>
      </c>
      <c r="AR990" t="s">
        <v>4020</v>
      </c>
      <c r="AS990" t="s">
        <v>4021</v>
      </c>
      <c r="AT990" t="s">
        <v>6581</v>
      </c>
      <c r="AU990">
        <v>2019</v>
      </c>
      <c r="AV990">
        <v>42</v>
      </c>
      <c r="AW990">
        <v>5</v>
      </c>
      <c r="AX990" t="s">
        <v>74</v>
      </c>
      <c r="AY990" t="s">
        <v>74</v>
      </c>
      <c r="AZ990" t="s">
        <v>74</v>
      </c>
      <c r="BA990" t="s">
        <v>74</v>
      </c>
      <c r="BB990">
        <v>1053</v>
      </c>
      <c r="BC990">
        <v>1057</v>
      </c>
      <c r="BD990" t="s">
        <v>74</v>
      </c>
      <c r="BE990" t="s">
        <v>18996</v>
      </c>
      <c r="BF990" t="str">
        <f>HYPERLINK("http://dx.doi.org/10.1007/s00300-019-02487-3","http://dx.doi.org/10.1007/s00300-019-02487-3")</f>
        <v>http://dx.doi.org/10.1007/s00300-019-02487-3</v>
      </c>
      <c r="BG990" t="s">
        <v>74</v>
      </c>
      <c r="BH990" t="s">
        <v>74</v>
      </c>
      <c r="BI990">
        <v>5</v>
      </c>
      <c r="BJ990" t="s">
        <v>3802</v>
      </c>
      <c r="BK990" t="s">
        <v>101</v>
      </c>
      <c r="BL990" t="s">
        <v>1646</v>
      </c>
      <c r="BM990" t="s">
        <v>18880</v>
      </c>
      <c r="BN990" t="s">
        <v>74</v>
      </c>
      <c r="BO990" t="s">
        <v>74</v>
      </c>
      <c r="BP990" t="s">
        <v>74</v>
      </c>
      <c r="BQ990" t="s">
        <v>74</v>
      </c>
      <c r="BR990" t="s">
        <v>103</v>
      </c>
      <c r="BS990" t="s">
        <v>18997</v>
      </c>
      <c r="BT990" t="str">
        <f>HYPERLINK("https%3A%2F%2Fwww.webofscience.com%2Fwos%2Fwoscc%2Ffull-record%2FWOS:000466390100017","View Full Record in Web of Science")</f>
        <v>View Full Record in Web of Science</v>
      </c>
    </row>
    <row r="991" spans="1:72" x14ac:dyDescent="0.15">
      <c r="A991" t="s">
        <v>72</v>
      </c>
      <c r="B991" t="s">
        <v>18998</v>
      </c>
      <c r="C991" t="s">
        <v>74</v>
      </c>
      <c r="D991" t="s">
        <v>74</v>
      </c>
      <c r="E991" t="s">
        <v>74</v>
      </c>
      <c r="F991" t="s">
        <v>18999</v>
      </c>
      <c r="G991" t="s">
        <v>74</v>
      </c>
      <c r="H991" t="s">
        <v>74</v>
      </c>
      <c r="I991" t="s">
        <v>19000</v>
      </c>
      <c r="J991" t="s">
        <v>19001</v>
      </c>
      <c r="K991" t="s">
        <v>74</v>
      </c>
      <c r="L991" t="s">
        <v>74</v>
      </c>
      <c r="M991" t="s">
        <v>78</v>
      </c>
      <c r="N991" t="s">
        <v>108</v>
      </c>
      <c r="O991" t="s">
        <v>74</v>
      </c>
      <c r="P991" t="s">
        <v>74</v>
      </c>
      <c r="Q991" t="s">
        <v>74</v>
      </c>
      <c r="R991" t="s">
        <v>74</v>
      </c>
      <c r="S991" t="s">
        <v>74</v>
      </c>
      <c r="T991" t="s">
        <v>19002</v>
      </c>
      <c r="U991" t="s">
        <v>74</v>
      </c>
      <c r="V991" t="s">
        <v>19003</v>
      </c>
      <c r="W991" t="s">
        <v>19004</v>
      </c>
      <c r="X991" t="s">
        <v>19005</v>
      </c>
      <c r="Y991" t="s">
        <v>19006</v>
      </c>
      <c r="Z991" t="s">
        <v>74</v>
      </c>
      <c r="AA991" t="s">
        <v>74</v>
      </c>
      <c r="AB991" t="s">
        <v>74</v>
      </c>
      <c r="AC991" t="s">
        <v>74</v>
      </c>
      <c r="AD991" t="s">
        <v>74</v>
      </c>
      <c r="AE991" t="s">
        <v>74</v>
      </c>
      <c r="AF991" t="s">
        <v>74</v>
      </c>
      <c r="AG991">
        <v>7</v>
      </c>
      <c r="AH991">
        <v>4</v>
      </c>
      <c r="AI991">
        <v>4</v>
      </c>
      <c r="AJ991">
        <v>0</v>
      </c>
      <c r="AK991">
        <v>4</v>
      </c>
      <c r="AL991" t="s">
        <v>14198</v>
      </c>
      <c r="AM991" t="s">
        <v>4016</v>
      </c>
      <c r="AN991" t="s">
        <v>14199</v>
      </c>
      <c r="AO991" t="s">
        <v>19007</v>
      </c>
      <c r="AP991" t="s">
        <v>19008</v>
      </c>
      <c r="AQ991" t="s">
        <v>74</v>
      </c>
      <c r="AR991" t="s">
        <v>19009</v>
      </c>
      <c r="AS991" t="s">
        <v>19010</v>
      </c>
      <c r="AT991" t="s">
        <v>6581</v>
      </c>
      <c r="AU991">
        <v>2019</v>
      </c>
      <c r="AV991">
        <v>56</v>
      </c>
      <c r="AW991">
        <v>5</v>
      </c>
      <c r="AX991" t="s">
        <v>74</v>
      </c>
      <c r="AY991" t="s">
        <v>74</v>
      </c>
      <c r="AZ991" t="s">
        <v>74</v>
      </c>
      <c r="BA991" t="s">
        <v>74</v>
      </c>
      <c r="BB991">
        <v>544</v>
      </c>
      <c r="BC991">
        <v>550</v>
      </c>
      <c r="BD991" t="s">
        <v>74</v>
      </c>
      <c r="BE991" t="s">
        <v>19011</v>
      </c>
      <c r="BF991" t="str">
        <f>HYPERLINK("http://dx.doi.org/10.1016/j.jemermed.2019.01.009","http://dx.doi.org/10.1016/j.jemermed.2019.01.009")</f>
        <v>http://dx.doi.org/10.1016/j.jemermed.2019.01.009</v>
      </c>
      <c r="BG991" t="s">
        <v>74</v>
      </c>
      <c r="BH991" t="s">
        <v>74</v>
      </c>
      <c r="BI991">
        <v>7</v>
      </c>
      <c r="BJ991" t="s">
        <v>19012</v>
      </c>
      <c r="BK991" t="s">
        <v>101</v>
      </c>
      <c r="BL991" t="s">
        <v>19012</v>
      </c>
      <c r="BM991" t="s">
        <v>19013</v>
      </c>
      <c r="BN991">
        <v>30890375</v>
      </c>
      <c r="BO991" t="s">
        <v>261</v>
      </c>
      <c r="BP991" t="s">
        <v>74</v>
      </c>
      <c r="BQ991" t="s">
        <v>74</v>
      </c>
      <c r="BR991" t="s">
        <v>103</v>
      </c>
      <c r="BS991" t="s">
        <v>19014</v>
      </c>
      <c r="BT991" t="str">
        <f>HYPERLINK("https%3A%2F%2Fwww.webofscience.com%2Fwos%2Fwoscc%2Ffull-record%2FWOS:000466019400020","View Full Record in Web of Science")</f>
        <v>View Full Record in Web of Science</v>
      </c>
    </row>
    <row r="992" spans="1:72" x14ac:dyDescent="0.15">
      <c r="A992" t="s">
        <v>72</v>
      </c>
      <c r="B992" t="s">
        <v>19015</v>
      </c>
      <c r="C992" t="s">
        <v>74</v>
      </c>
      <c r="D992" t="s">
        <v>74</v>
      </c>
      <c r="E992" t="s">
        <v>74</v>
      </c>
      <c r="F992" t="s">
        <v>19016</v>
      </c>
      <c r="G992" t="s">
        <v>74</v>
      </c>
      <c r="H992" t="s">
        <v>74</v>
      </c>
      <c r="I992" t="s">
        <v>19017</v>
      </c>
      <c r="J992" t="s">
        <v>19018</v>
      </c>
      <c r="K992" t="s">
        <v>74</v>
      </c>
      <c r="L992" t="s">
        <v>74</v>
      </c>
      <c r="M992" t="s">
        <v>78</v>
      </c>
      <c r="N992" t="s">
        <v>108</v>
      </c>
      <c r="O992" t="s">
        <v>74</v>
      </c>
      <c r="P992" t="s">
        <v>74</v>
      </c>
      <c r="Q992" t="s">
        <v>74</v>
      </c>
      <c r="R992" t="s">
        <v>74</v>
      </c>
      <c r="S992" t="s">
        <v>74</v>
      </c>
      <c r="T992" t="s">
        <v>74</v>
      </c>
      <c r="U992" t="s">
        <v>19019</v>
      </c>
      <c r="V992" t="s">
        <v>19020</v>
      </c>
      <c r="W992" t="s">
        <v>19021</v>
      </c>
      <c r="X992" t="s">
        <v>19022</v>
      </c>
      <c r="Y992" t="s">
        <v>19023</v>
      </c>
      <c r="Z992" t="s">
        <v>19024</v>
      </c>
      <c r="AA992" t="s">
        <v>19025</v>
      </c>
      <c r="AB992" t="s">
        <v>19026</v>
      </c>
      <c r="AC992" t="s">
        <v>19027</v>
      </c>
      <c r="AD992" t="s">
        <v>19028</v>
      </c>
      <c r="AE992" t="s">
        <v>19029</v>
      </c>
      <c r="AF992" t="s">
        <v>74</v>
      </c>
      <c r="AG992">
        <v>179</v>
      </c>
      <c r="AH992">
        <v>20</v>
      </c>
      <c r="AI992">
        <v>21</v>
      </c>
      <c r="AJ992">
        <v>1</v>
      </c>
      <c r="AK992">
        <v>5</v>
      </c>
      <c r="AL992" t="s">
        <v>302</v>
      </c>
      <c r="AM992" t="s">
        <v>4016</v>
      </c>
      <c r="AN992" t="s">
        <v>4542</v>
      </c>
      <c r="AO992" t="s">
        <v>19030</v>
      </c>
      <c r="AP992" t="s">
        <v>19031</v>
      </c>
      <c r="AQ992" t="s">
        <v>74</v>
      </c>
      <c r="AR992" t="s">
        <v>19032</v>
      </c>
      <c r="AS992" t="s">
        <v>19033</v>
      </c>
      <c r="AT992" t="s">
        <v>6581</v>
      </c>
      <c r="AU992">
        <v>2019</v>
      </c>
      <c r="AV992">
        <v>93</v>
      </c>
      <c r="AW992">
        <v>3</v>
      </c>
      <c r="AX992" t="s">
        <v>74</v>
      </c>
      <c r="AY992" t="s">
        <v>74</v>
      </c>
      <c r="AZ992" t="s">
        <v>74</v>
      </c>
      <c r="BA992" t="s">
        <v>74</v>
      </c>
      <c r="BB992">
        <v>437</v>
      </c>
      <c r="BC992">
        <v>459</v>
      </c>
      <c r="BD992" t="s">
        <v>19034</v>
      </c>
      <c r="BE992" t="s">
        <v>19035</v>
      </c>
      <c r="BF992" t="str">
        <f>HYPERLINK("http://dx.doi.org/10.1017/jpa.2018.84","http://dx.doi.org/10.1017/jpa.2018.84")</f>
        <v>http://dx.doi.org/10.1017/jpa.2018.84</v>
      </c>
      <c r="BG992" t="s">
        <v>74</v>
      </c>
      <c r="BH992" t="s">
        <v>74</v>
      </c>
      <c r="BI992">
        <v>23</v>
      </c>
      <c r="BJ992" t="s">
        <v>9964</v>
      </c>
      <c r="BK992" t="s">
        <v>101</v>
      </c>
      <c r="BL992" t="s">
        <v>9964</v>
      </c>
      <c r="BM992" t="s">
        <v>19036</v>
      </c>
      <c r="BN992" t="s">
        <v>74</v>
      </c>
      <c r="BO992" t="s">
        <v>595</v>
      </c>
      <c r="BP992" t="s">
        <v>74</v>
      </c>
      <c r="BQ992" t="s">
        <v>74</v>
      </c>
      <c r="BR992" t="s">
        <v>103</v>
      </c>
      <c r="BS992" t="s">
        <v>19037</v>
      </c>
      <c r="BT992" t="str">
        <f>HYPERLINK("https%3A%2F%2Fwww.webofscience.com%2Fwos%2Fwoscc%2Ffull-record%2FWOS:000465284500003","View Full Record in Web of Science")</f>
        <v>View Full Record in Web of Science</v>
      </c>
    </row>
    <row r="993" spans="1:72" x14ac:dyDescent="0.15">
      <c r="A993" t="s">
        <v>72</v>
      </c>
      <c r="B993" t="s">
        <v>19038</v>
      </c>
      <c r="C993" t="s">
        <v>74</v>
      </c>
      <c r="D993" t="s">
        <v>74</v>
      </c>
      <c r="E993" t="s">
        <v>74</v>
      </c>
      <c r="F993" t="s">
        <v>19039</v>
      </c>
      <c r="G993" t="s">
        <v>74</v>
      </c>
      <c r="H993" t="s">
        <v>74</v>
      </c>
      <c r="I993" t="s">
        <v>19040</v>
      </c>
      <c r="J993" t="s">
        <v>19018</v>
      </c>
      <c r="K993" t="s">
        <v>74</v>
      </c>
      <c r="L993" t="s">
        <v>74</v>
      </c>
      <c r="M993" t="s">
        <v>78</v>
      </c>
      <c r="N993" t="s">
        <v>108</v>
      </c>
      <c r="O993" t="s">
        <v>74</v>
      </c>
      <c r="P993" t="s">
        <v>74</v>
      </c>
      <c r="Q993" t="s">
        <v>74</v>
      </c>
      <c r="R993" t="s">
        <v>74</v>
      </c>
      <c r="S993" t="s">
        <v>74</v>
      </c>
      <c r="T993" t="s">
        <v>74</v>
      </c>
      <c r="U993" t="s">
        <v>19041</v>
      </c>
      <c r="V993" t="s">
        <v>19042</v>
      </c>
      <c r="W993" t="s">
        <v>19043</v>
      </c>
      <c r="X993" t="s">
        <v>19044</v>
      </c>
      <c r="Y993" t="s">
        <v>19045</v>
      </c>
      <c r="Z993" t="s">
        <v>19046</v>
      </c>
      <c r="AA993" t="s">
        <v>19047</v>
      </c>
      <c r="AB993" t="s">
        <v>19048</v>
      </c>
      <c r="AC993" t="s">
        <v>19049</v>
      </c>
      <c r="AD993" t="s">
        <v>19049</v>
      </c>
      <c r="AE993" t="s">
        <v>19050</v>
      </c>
      <c r="AF993" t="s">
        <v>74</v>
      </c>
      <c r="AG993">
        <v>181</v>
      </c>
      <c r="AH993">
        <v>37</v>
      </c>
      <c r="AI993">
        <v>37</v>
      </c>
      <c r="AJ993">
        <v>0</v>
      </c>
      <c r="AK993">
        <v>6</v>
      </c>
      <c r="AL993" t="s">
        <v>302</v>
      </c>
      <c r="AM993" t="s">
        <v>4016</v>
      </c>
      <c r="AN993" t="s">
        <v>4542</v>
      </c>
      <c r="AO993" t="s">
        <v>19030</v>
      </c>
      <c r="AP993" t="s">
        <v>19031</v>
      </c>
      <c r="AQ993" t="s">
        <v>74</v>
      </c>
      <c r="AR993" t="s">
        <v>19032</v>
      </c>
      <c r="AS993" t="s">
        <v>19033</v>
      </c>
      <c r="AT993" t="s">
        <v>6581</v>
      </c>
      <c r="AU993">
        <v>2019</v>
      </c>
      <c r="AV993">
        <v>93</v>
      </c>
      <c r="AW993">
        <v>3</v>
      </c>
      <c r="AX993" t="s">
        <v>74</v>
      </c>
      <c r="AY993" t="s">
        <v>74</v>
      </c>
      <c r="AZ993" t="s">
        <v>74</v>
      </c>
      <c r="BA993" t="s">
        <v>74</v>
      </c>
      <c r="BB993">
        <v>543</v>
      </c>
      <c r="BC993">
        <v>584</v>
      </c>
      <c r="BD993" t="s">
        <v>19051</v>
      </c>
      <c r="BE993" t="s">
        <v>19052</v>
      </c>
      <c r="BF993" t="str">
        <f>HYPERLINK("http://dx.doi.org/10.1017/jpa.2018.95","http://dx.doi.org/10.1017/jpa.2018.95")</f>
        <v>http://dx.doi.org/10.1017/jpa.2018.95</v>
      </c>
      <c r="BG993" t="s">
        <v>74</v>
      </c>
      <c r="BH993" t="s">
        <v>74</v>
      </c>
      <c r="BI993">
        <v>42</v>
      </c>
      <c r="BJ993" t="s">
        <v>9964</v>
      </c>
      <c r="BK993" t="s">
        <v>101</v>
      </c>
      <c r="BL993" t="s">
        <v>9964</v>
      </c>
      <c r="BM993" t="s">
        <v>19036</v>
      </c>
      <c r="BN993" t="s">
        <v>74</v>
      </c>
      <c r="BO993" t="s">
        <v>6963</v>
      </c>
      <c r="BP993" t="s">
        <v>74</v>
      </c>
      <c r="BQ993" t="s">
        <v>74</v>
      </c>
      <c r="BR993" t="s">
        <v>103</v>
      </c>
      <c r="BS993" t="s">
        <v>19053</v>
      </c>
      <c r="BT993" t="str">
        <f>HYPERLINK("https%3A%2F%2Fwww.webofscience.com%2Fwos%2Fwoscc%2Ffull-record%2FWOS:000465284500009","View Full Record in Web of Science")</f>
        <v>View Full Record in Web of Science</v>
      </c>
    </row>
    <row r="994" spans="1:72" x14ac:dyDescent="0.15">
      <c r="A994" t="s">
        <v>72</v>
      </c>
      <c r="B994" t="s">
        <v>19054</v>
      </c>
      <c r="C994" t="s">
        <v>74</v>
      </c>
      <c r="D994" t="s">
        <v>74</v>
      </c>
      <c r="E994" t="s">
        <v>74</v>
      </c>
      <c r="F994" t="s">
        <v>19055</v>
      </c>
      <c r="G994" t="s">
        <v>74</v>
      </c>
      <c r="H994" t="s">
        <v>74</v>
      </c>
      <c r="I994" t="s">
        <v>19056</v>
      </c>
      <c r="J994" t="s">
        <v>7025</v>
      </c>
      <c r="K994" t="s">
        <v>74</v>
      </c>
      <c r="L994" t="s">
        <v>74</v>
      </c>
      <c r="M994" t="s">
        <v>78</v>
      </c>
      <c r="N994" t="s">
        <v>108</v>
      </c>
      <c r="O994" t="s">
        <v>74</v>
      </c>
      <c r="P994" t="s">
        <v>74</v>
      </c>
      <c r="Q994" t="s">
        <v>74</v>
      </c>
      <c r="R994" t="s">
        <v>74</v>
      </c>
      <c r="S994" t="s">
        <v>74</v>
      </c>
      <c r="T994" t="s">
        <v>19057</v>
      </c>
      <c r="U994" t="s">
        <v>19058</v>
      </c>
      <c r="V994" t="s">
        <v>19059</v>
      </c>
      <c r="W994" t="s">
        <v>19060</v>
      </c>
      <c r="X994" t="s">
        <v>19061</v>
      </c>
      <c r="Y994" t="s">
        <v>19062</v>
      </c>
      <c r="Z994" t="s">
        <v>19063</v>
      </c>
      <c r="AA994" t="s">
        <v>19064</v>
      </c>
      <c r="AB994" t="s">
        <v>19065</v>
      </c>
      <c r="AC994" t="s">
        <v>19066</v>
      </c>
      <c r="AD994" t="s">
        <v>19067</v>
      </c>
      <c r="AE994" t="s">
        <v>19068</v>
      </c>
      <c r="AF994" t="s">
        <v>74</v>
      </c>
      <c r="AG994">
        <v>72</v>
      </c>
      <c r="AH994">
        <v>39</v>
      </c>
      <c r="AI994">
        <v>42</v>
      </c>
      <c r="AJ994">
        <v>7</v>
      </c>
      <c r="AK994">
        <v>31</v>
      </c>
      <c r="AL994" t="s">
        <v>1140</v>
      </c>
      <c r="AM994" t="s">
        <v>1141</v>
      </c>
      <c r="AN994" t="s">
        <v>1142</v>
      </c>
      <c r="AO994" t="s">
        <v>7038</v>
      </c>
      <c r="AP994" t="s">
        <v>7039</v>
      </c>
      <c r="AQ994" t="s">
        <v>74</v>
      </c>
      <c r="AR994" t="s">
        <v>7040</v>
      </c>
      <c r="AS994" t="s">
        <v>7041</v>
      </c>
      <c r="AT994" t="s">
        <v>6581</v>
      </c>
      <c r="AU994">
        <v>2019</v>
      </c>
      <c r="AV994">
        <v>39</v>
      </c>
      <c r="AW994">
        <v>5</v>
      </c>
      <c r="AX994" t="s">
        <v>74</v>
      </c>
      <c r="AY994" t="s">
        <v>74</v>
      </c>
      <c r="AZ994" t="s">
        <v>74</v>
      </c>
      <c r="BA994" t="s">
        <v>74</v>
      </c>
      <c r="BB994">
        <v>1022</v>
      </c>
      <c r="BC994">
        <v>1043</v>
      </c>
      <c r="BD994" t="s">
        <v>74</v>
      </c>
      <c r="BE994" t="s">
        <v>19069</v>
      </c>
      <c r="BF994" t="str">
        <f>HYPERLINK("http://dx.doi.org/10.1111/risa.13229","http://dx.doi.org/10.1111/risa.13229")</f>
        <v>http://dx.doi.org/10.1111/risa.13229</v>
      </c>
      <c r="BG994" t="s">
        <v>74</v>
      </c>
      <c r="BH994" t="s">
        <v>74</v>
      </c>
      <c r="BI994">
        <v>22</v>
      </c>
      <c r="BJ994" t="s">
        <v>7043</v>
      </c>
      <c r="BK994" t="s">
        <v>3718</v>
      </c>
      <c r="BL994" t="s">
        <v>7044</v>
      </c>
      <c r="BM994" t="s">
        <v>19070</v>
      </c>
      <c r="BN994">
        <v>30408211</v>
      </c>
      <c r="BO994" t="s">
        <v>19071</v>
      </c>
      <c r="BP994" t="s">
        <v>74</v>
      </c>
      <c r="BQ994" t="s">
        <v>74</v>
      </c>
      <c r="BR994" t="s">
        <v>103</v>
      </c>
      <c r="BS994" t="s">
        <v>19072</v>
      </c>
      <c r="BT994" t="str">
        <f>HYPERLINK("https%3A%2F%2Fwww.webofscience.com%2Fwos%2Fwoscc%2Ffull-record%2FWOS:000466204800007","View Full Record in Web of Science")</f>
        <v>View Full Record in Web of Science</v>
      </c>
    </row>
    <row r="995" spans="1:72" x14ac:dyDescent="0.15">
      <c r="A995" t="s">
        <v>72</v>
      </c>
      <c r="B995" t="s">
        <v>19073</v>
      </c>
      <c r="C995" t="s">
        <v>74</v>
      </c>
      <c r="D995" t="s">
        <v>74</v>
      </c>
      <c r="E995" t="s">
        <v>74</v>
      </c>
      <c r="F995" t="s">
        <v>19074</v>
      </c>
      <c r="G995" t="s">
        <v>74</v>
      </c>
      <c r="H995" t="s">
        <v>74</v>
      </c>
      <c r="I995" t="s">
        <v>19075</v>
      </c>
      <c r="J995" t="s">
        <v>238</v>
      </c>
      <c r="K995" t="s">
        <v>74</v>
      </c>
      <c r="L995" t="s">
        <v>74</v>
      </c>
      <c r="M995" t="s">
        <v>78</v>
      </c>
      <c r="N995" t="s">
        <v>108</v>
      </c>
      <c r="O995" t="s">
        <v>74</v>
      </c>
      <c r="P995" t="s">
        <v>74</v>
      </c>
      <c r="Q995" t="s">
        <v>74</v>
      </c>
      <c r="R995" t="s">
        <v>74</v>
      </c>
      <c r="S995" t="s">
        <v>74</v>
      </c>
      <c r="T995" t="s">
        <v>19076</v>
      </c>
      <c r="U995" t="s">
        <v>19077</v>
      </c>
      <c r="V995" t="s">
        <v>19078</v>
      </c>
      <c r="W995" t="s">
        <v>19079</v>
      </c>
      <c r="X995" t="s">
        <v>19080</v>
      </c>
      <c r="Y995" t="s">
        <v>19081</v>
      </c>
      <c r="Z995" t="s">
        <v>19082</v>
      </c>
      <c r="AA995" t="s">
        <v>18858</v>
      </c>
      <c r="AB995" t="s">
        <v>18859</v>
      </c>
      <c r="AC995" t="s">
        <v>19083</v>
      </c>
      <c r="AD995" t="s">
        <v>19084</v>
      </c>
      <c r="AE995" t="s">
        <v>19085</v>
      </c>
      <c r="AF995" t="s">
        <v>74</v>
      </c>
      <c r="AG995">
        <v>47</v>
      </c>
      <c r="AH995">
        <v>26</v>
      </c>
      <c r="AI995">
        <v>29</v>
      </c>
      <c r="AJ995">
        <v>3</v>
      </c>
      <c r="AK995">
        <v>26</v>
      </c>
      <c r="AL995" t="s">
        <v>251</v>
      </c>
      <c r="AM995" t="s">
        <v>252</v>
      </c>
      <c r="AN995" t="s">
        <v>253</v>
      </c>
      <c r="AO995" t="s">
        <v>254</v>
      </c>
      <c r="AP995" t="s">
        <v>255</v>
      </c>
      <c r="AQ995" t="s">
        <v>74</v>
      </c>
      <c r="AR995" t="s">
        <v>256</v>
      </c>
      <c r="AS995" t="s">
        <v>257</v>
      </c>
      <c r="AT995" t="s">
        <v>6581</v>
      </c>
      <c r="AU995">
        <v>2019</v>
      </c>
      <c r="AV995">
        <v>32</v>
      </c>
      <c r="AW995">
        <v>9</v>
      </c>
      <c r="AX995" t="s">
        <v>74</v>
      </c>
      <c r="AY995" t="s">
        <v>74</v>
      </c>
      <c r="AZ995" t="s">
        <v>74</v>
      </c>
      <c r="BA995" t="s">
        <v>74</v>
      </c>
      <c r="BB995">
        <v>2537</v>
      </c>
      <c r="BC995">
        <v>2551</v>
      </c>
      <c r="BD995" t="s">
        <v>74</v>
      </c>
      <c r="BE995" t="s">
        <v>19086</v>
      </c>
      <c r="BF995" t="str">
        <f>HYPERLINK("http://dx.doi.org/10.1175/JCLI-D-18-0519.1","http://dx.doi.org/10.1175/JCLI-D-18-0519.1")</f>
        <v>http://dx.doi.org/10.1175/JCLI-D-18-0519.1</v>
      </c>
      <c r="BG995" t="s">
        <v>74</v>
      </c>
      <c r="BH995" t="s">
        <v>74</v>
      </c>
      <c r="BI995">
        <v>15</v>
      </c>
      <c r="BJ995" t="s">
        <v>259</v>
      </c>
      <c r="BK995" t="s">
        <v>101</v>
      </c>
      <c r="BL995" t="s">
        <v>259</v>
      </c>
      <c r="BM995" t="s">
        <v>19087</v>
      </c>
      <c r="BN995" t="s">
        <v>74</v>
      </c>
      <c r="BO995" t="s">
        <v>1125</v>
      </c>
      <c r="BP995" t="s">
        <v>74</v>
      </c>
      <c r="BQ995" t="s">
        <v>74</v>
      </c>
      <c r="BR995" t="s">
        <v>103</v>
      </c>
      <c r="BS995" t="s">
        <v>19088</v>
      </c>
      <c r="BT995" t="str">
        <f>HYPERLINK("https%3A%2F%2Fwww.webofscience.com%2Fwos%2Fwoscc%2Ffull-record%2FWOS:000465136000002","View Full Record in Web of Science")</f>
        <v>View Full Record in Web of Science</v>
      </c>
    </row>
    <row r="996" spans="1:72" x14ac:dyDescent="0.15">
      <c r="A996" t="s">
        <v>72</v>
      </c>
      <c r="B996" t="s">
        <v>19089</v>
      </c>
      <c r="C996" t="s">
        <v>74</v>
      </c>
      <c r="D996" t="s">
        <v>74</v>
      </c>
      <c r="E996" t="s">
        <v>74</v>
      </c>
      <c r="F996" t="s">
        <v>19090</v>
      </c>
      <c r="G996" t="s">
        <v>74</v>
      </c>
      <c r="H996" t="s">
        <v>74</v>
      </c>
      <c r="I996" t="s">
        <v>19091</v>
      </c>
      <c r="J996" t="s">
        <v>13035</v>
      </c>
      <c r="K996" t="s">
        <v>74</v>
      </c>
      <c r="L996" t="s">
        <v>74</v>
      </c>
      <c r="M996" t="s">
        <v>78</v>
      </c>
      <c r="N996" t="s">
        <v>108</v>
      </c>
      <c r="O996" t="s">
        <v>74</v>
      </c>
      <c r="P996" t="s">
        <v>74</v>
      </c>
      <c r="Q996" t="s">
        <v>74</v>
      </c>
      <c r="R996" t="s">
        <v>74</v>
      </c>
      <c r="S996" t="s">
        <v>74</v>
      </c>
      <c r="T996" t="s">
        <v>19092</v>
      </c>
      <c r="U996" t="s">
        <v>19093</v>
      </c>
      <c r="V996" t="s">
        <v>19094</v>
      </c>
      <c r="W996" t="s">
        <v>19095</v>
      </c>
      <c r="X996" t="s">
        <v>19096</v>
      </c>
      <c r="Y996" t="s">
        <v>19097</v>
      </c>
      <c r="Z996" t="s">
        <v>19098</v>
      </c>
      <c r="AA996" t="s">
        <v>19099</v>
      </c>
      <c r="AB996" t="s">
        <v>19100</v>
      </c>
      <c r="AC996" t="s">
        <v>19101</v>
      </c>
      <c r="AD996" t="s">
        <v>19102</v>
      </c>
      <c r="AE996" t="s">
        <v>19103</v>
      </c>
      <c r="AF996" t="s">
        <v>74</v>
      </c>
      <c r="AG996">
        <v>102</v>
      </c>
      <c r="AH996">
        <v>3</v>
      </c>
      <c r="AI996">
        <v>5</v>
      </c>
      <c r="AJ996">
        <v>3</v>
      </c>
      <c r="AK996">
        <v>63</v>
      </c>
      <c r="AL996" t="s">
        <v>92</v>
      </c>
      <c r="AM996" t="s">
        <v>93</v>
      </c>
      <c r="AN996" t="s">
        <v>94</v>
      </c>
      <c r="AO996" t="s">
        <v>13046</v>
      </c>
      <c r="AP996" t="s">
        <v>13047</v>
      </c>
      <c r="AQ996" t="s">
        <v>74</v>
      </c>
      <c r="AR996" t="s">
        <v>13048</v>
      </c>
      <c r="AS996" t="s">
        <v>13049</v>
      </c>
      <c r="AT996" t="s">
        <v>6581</v>
      </c>
      <c r="AU996">
        <v>2019</v>
      </c>
      <c r="AV996">
        <v>132</v>
      </c>
      <c r="AW996" t="s">
        <v>74</v>
      </c>
      <c r="AX996" t="s">
        <v>74</v>
      </c>
      <c r="AY996" t="s">
        <v>74</v>
      </c>
      <c r="AZ996" t="s">
        <v>74</v>
      </c>
      <c r="BA996" t="s">
        <v>74</v>
      </c>
      <c r="BB996">
        <v>174</v>
      </c>
      <c r="BC996">
        <v>186</v>
      </c>
      <c r="BD996" t="s">
        <v>74</v>
      </c>
      <c r="BE996" t="s">
        <v>19104</v>
      </c>
      <c r="BF996" t="str">
        <f>HYPERLINK("http://dx.doi.org/10.1016/j.soilbio.2019.02.002","http://dx.doi.org/10.1016/j.soilbio.2019.02.002")</f>
        <v>http://dx.doi.org/10.1016/j.soilbio.2019.02.002</v>
      </c>
      <c r="BG996" t="s">
        <v>74</v>
      </c>
      <c r="BH996" t="s">
        <v>74</v>
      </c>
      <c r="BI996">
        <v>13</v>
      </c>
      <c r="BJ996" t="s">
        <v>5978</v>
      </c>
      <c r="BK996" t="s">
        <v>101</v>
      </c>
      <c r="BL996" t="s">
        <v>5979</v>
      </c>
      <c r="BM996" t="s">
        <v>19105</v>
      </c>
      <c r="BN996" t="s">
        <v>74</v>
      </c>
      <c r="BO996" t="s">
        <v>74</v>
      </c>
      <c r="BP996" t="s">
        <v>74</v>
      </c>
      <c r="BQ996" t="s">
        <v>74</v>
      </c>
      <c r="BR996" t="s">
        <v>103</v>
      </c>
      <c r="BS996" t="s">
        <v>19106</v>
      </c>
      <c r="BT996" t="str">
        <f>HYPERLINK("https%3A%2F%2Fwww.webofscience.com%2Fwos%2Fwoscc%2Ffull-record%2FWOS:000465057200019","View Full Record in Web of Science")</f>
        <v>View Full Record in Web of Science</v>
      </c>
    </row>
    <row r="997" spans="1:72" x14ac:dyDescent="0.15">
      <c r="A997" t="s">
        <v>72</v>
      </c>
      <c r="B997" t="s">
        <v>19107</v>
      </c>
      <c r="C997" t="s">
        <v>74</v>
      </c>
      <c r="D997" t="s">
        <v>74</v>
      </c>
      <c r="E997" t="s">
        <v>74</v>
      </c>
      <c r="F997" t="s">
        <v>19108</v>
      </c>
      <c r="G997" t="s">
        <v>74</v>
      </c>
      <c r="H997" t="s">
        <v>74</v>
      </c>
      <c r="I997" t="s">
        <v>19109</v>
      </c>
      <c r="J997" t="s">
        <v>19110</v>
      </c>
      <c r="K997" t="s">
        <v>74</v>
      </c>
      <c r="L997" t="s">
        <v>74</v>
      </c>
      <c r="M997" t="s">
        <v>78</v>
      </c>
      <c r="N997" t="s">
        <v>108</v>
      </c>
      <c r="O997" t="s">
        <v>74</v>
      </c>
      <c r="P997" t="s">
        <v>74</v>
      </c>
      <c r="Q997" t="s">
        <v>74</v>
      </c>
      <c r="R997" t="s">
        <v>74</v>
      </c>
      <c r="S997" t="s">
        <v>74</v>
      </c>
      <c r="T997" t="s">
        <v>19111</v>
      </c>
      <c r="U997" t="s">
        <v>19112</v>
      </c>
      <c r="V997" t="s">
        <v>19113</v>
      </c>
      <c r="W997" t="s">
        <v>19114</v>
      </c>
      <c r="X997" t="s">
        <v>19115</v>
      </c>
      <c r="Y997" t="s">
        <v>19116</v>
      </c>
      <c r="Z997" t="s">
        <v>19117</v>
      </c>
      <c r="AA997" t="s">
        <v>19118</v>
      </c>
      <c r="AB997" t="s">
        <v>19119</v>
      </c>
      <c r="AC997" t="s">
        <v>19120</v>
      </c>
      <c r="AD997" t="s">
        <v>19121</v>
      </c>
      <c r="AE997" t="s">
        <v>19122</v>
      </c>
      <c r="AF997" t="s">
        <v>74</v>
      </c>
      <c r="AG997">
        <v>86</v>
      </c>
      <c r="AH997">
        <v>19</v>
      </c>
      <c r="AI997">
        <v>19</v>
      </c>
      <c r="AJ997">
        <v>6</v>
      </c>
      <c r="AK997">
        <v>42</v>
      </c>
      <c r="AL997" t="s">
        <v>438</v>
      </c>
      <c r="AM997" t="s">
        <v>439</v>
      </c>
      <c r="AN997" t="s">
        <v>440</v>
      </c>
      <c r="AO997" t="s">
        <v>19123</v>
      </c>
      <c r="AP997" t="s">
        <v>19124</v>
      </c>
      <c r="AQ997" t="s">
        <v>74</v>
      </c>
      <c r="AR997" t="s">
        <v>19125</v>
      </c>
      <c r="AS997" t="s">
        <v>19126</v>
      </c>
      <c r="AT997" t="s">
        <v>6581</v>
      </c>
      <c r="AU997">
        <v>2019</v>
      </c>
      <c r="AV997">
        <v>210</v>
      </c>
      <c r="AW997" t="s">
        <v>74</v>
      </c>
      <c r="AX997" t="s">
        <v>74</v>
      </c>
      <c r="AY997" t="s">
        <v>74</v>
      </c>
      <c r="AZ997" t="s">
        <v>74</v>
      </c>
      <c r="BA997" t="s">
        <v>74</v>
      </c>
      <c r="BB997">
        <v>19</v>
      </c>
      <c r="BC997">
        <v>29</v>
      </c>
      <c r="BD997" t="s">
        <v>74</v>
      </c>
      <c r="BE997" t="s">
        <v>19127</v>
      </c>
      <c r="BF997" t="str">
        <f>HYPERLINK("http://dx.doi.org/10.1016/j.aquatox.2019.02.012","http://dx.doi.org/10.1016/j.aquatox.2019.02.012")</f>
        <v>http://dx.doi.org/10.1016/j.aquatox.2019.02.012</v>
      </c>
      <c r="BG997" t="s">
        <v>74</v>
      </c>
      <c r="BH997" t="s">
        <v>74</v>
      </c>
      <c r="BI997">
        <v>11</v>
      </c>
      <c r="BJ997" t="s">
        <v>19128</v>
      </c>
      <c r="BK997" t="s">
        <v>101</v>
      </c>
      <c r="BL997" t="s">
        <v>19128</v>
      </c>
      <c r="BM997" t="s">
        <v>19129</v>
      </c>
      <c r="BN997">
        <v>30818112</v>
      </c>
      <c r="BO997" t="s">
        <v>1648</v>
      </c>
      <c r="BP997" t="s">
        <v>74</v>
      </c>
      <c r="BQ997" t="s">
        <v>74</v>
      </c>
      <c r="BR997" t="s">
        <v>103</v>
      </c>
      <c r="BS997" t="s">
        <v>19130</v>
      </c>
      <c r="BT997" t="str">
        <f>HYPERLINK("https%3A%2F%2Fwww.webofscience.com%2Fwos%2Fwoscc%2Ffull-record%2FWOS:000464481800003","View Full Record in Web of Science")</f>
        <v>View Full Record in Web of Science</v>
      </c>
    </row>
    <row r="998" spans="1:72" x14ac:dyDescent="0.15">
      <c r="A998" t="s">
        <v>72</v>
      </c>
      <c r="B998" t="s">
        <v>19131</v>
      </c>
      <c r="C998" t="s">
        <v>74</v>
      </c>
      <c r="D998" t="s">
        <v>74</v>
      </c>
      <c r="E998" t="s">
        <v>74</v>
      </c>
      <c r="F998" t="s">
        <v>19132</v>
      </c>
      <c r="G998" t="s">
        <v>74</v>
      </c>
      <c r="H998" t="s">
        <v>74</v>
      </c>
      <c r="I998" t="s">
        <v>19133</v>
      </c>
      <c r="J998" t="s">
        <v>19134</v>
      </c>
      <c r="K998" t="s">
        <v>74</v>
      </c>
      <c r="L998" t="s">
        <v>74</v>
      </c>
      <c r="M998" t="s">
        <v>78</v>
      </c>
      <c r="N998" t="s">
        <v>108</v>
      </c>
      <c r="O998" t="s">
        <v>74</v>
      </c>
      <c r="P998" t="s">
        <v>74</v>
      </c>
      <c r="Q998" t="s">
        <v>74</v>
      </c>
      <c r="R998" t="s">
        <v>74</v>
      </c>
      <c r="S998" t="s">
        <v>74</v>
      </c>
      <c r="T998" t="s">
        <v>19135</v>
      </c>
      <c r="U998" t="s">
        <v>19136</v>
      </c>
      <c r="V998" t="s">
        <v>19137</v>
      </c>
      <c r="W998" t="s">
        <v>19138</v>
      </c>
      <c r="X998" t="s">
        <v>19139</v>
      </c>
      <c r="Y998" t="s">
        <v>19140</v>
      </c>
      <c r="Z998" t="s">
        <v>19141</v>
      </c>
      <c r="AA998" t="s">
        <v>19142</v>
      </c>
      <c r="AB998" t="s">
        <v>19143</v>
      </c>
      <c r="AC998" t="s">
        <v>19144</v>
      </c>
      <c r="AD998" t="s">
        <v>19145</v>
      </c>
      <c r="AE998" t="s">
        <v>19146</v>
      </c>
      <c r="AF998" t="s">
        <v>74</v>
      </c>
      <c r="AG998">
        <v>17</v>
      </c>
      <c r="AH998">
        <v>9</v>
      </c>
      <c r="AI998">
        <v>9</v>
      </c>
      <c r="AJ998">
        <v>1</v>
      </c>
      <c r="AK998">
        <v>30</v>
      </c>
      <c r="AL998" t="s">
        <v>2723</v>
      </c>
      <c r="AM998" t="s">
        <v>657</v>
      </c>
      <c r="AN998" t="s">
        <v>2724</v>
      </c>
      <c r="AO998" t="s">
        <v>19147</v>
      </c>
      <c r="AP998" t="s">
        <v>19148</v>
      </c>
      <c r="AQ998" t="s">
        <v>74</v>
      </c>
      <c r="AR998" t="s">
        <v>19149</v>
      </c>
      <c r="AS998" t="s">
        <v>19150</v>
      </c>
      <c r="AT998" t="s">
        <v>18126</v>
      </c>
      <c r="AU998">
        <v>2019</v>
      </c>
      <c r="AV998">
        <v>15</v>
      </c>
      <c r="AW998">
        <v>5</v>
      </c>
      <c r="AX998" t="s">
        <v>74</v>
      </c>
      <c r="AY998" t="s">
        <v>74</v>
      </c>
      <c r="AZ998" t="s">
        <v>74</v>
      </c>
      <c r="BA998" t="s">
        <v>74</v>
      </c>
      <c r="BB998" t="s">
        <v>74</v>
      </c>
      <c r="BC998" t="s">
        <v>74</v>
      </c>
      <c r="BD998">
        <v>20180745</v>
      </c>
      <c r="BE998" t="s">
        <v>19151</v>
      </c>
      <c r="BF998" t="str">
        <f>HYPERLINK("http://dx.doi.org/10.1098/rsbl.2018.0745","http://dx.doi.org/10.1098/rsbl.2018.0745")</f>
        <v>http://dx.doi.org/10.1098/rsbl.2018.0745</v>
      </c>
      <c r="BG998" t="s">
        <v>74</v>
      </c>
      <c r="BH998" t="s">
        <v>74</v>
      </c>
      <c r="BI998">
        <v>5</v>
      </c>
      <c r="BJ998" t="s">
        <v>6524</v>
      </c>
      <c r="BK998" t="s">
        <v>101</v>
      </c>
      <c r="BL998" t="s">
        <v>6525</v>
      </c>
      <c r="BM998" t="s">
        <v>19152</v>
      </c>
      <c r="BN998">
        <v>31064310</v>
      </c>
      <c r="BO998" t="s">
        <v>6480</v>
      </c>
      <c r="BP998" t="s">
        <v>74</v>
      </c>
      <c r="BQ998" t="s">
        <v>74</v>
      </c>
      <c r="BR998" t="s">
        <v>103</v>
      </c>
      <c r="BS998" t="s">
        <v>19153</v>
      </c>
      <c r="BT998" t="str">
        <f>HYPERLINK("https%3A%2F%2Fwww.webofscience.com%2Fwos%2Fwoscc%2Ffull-record%2FWOS:000470116400002","View Full Record in Web of Science")</f>
        <v>View Full Record in Web of Science</v>
      </c>
    </row>
    <row r="999" spans="1:72" x14ac:dyDescent="0.15">
      <c r="A999" t="s">
        <v>72</v>
      </c>
      <c r="B999" t="s">
        <v>19154</v>
      </c>
      <c r="C999" t="s">
        <v>74</v>
      </c>
      <c r="D999" t="s">
        <v>74</v>
      </c>
      <c r="E999" t="s">
        <v>74</v>
      </c>
      <c r="F999" t="s">
        <v>19155</v>
      </c>
      <c r="G999" t="s">
        <v>74</v>
      </c>
      <c r="H999" t="s">
        <v>74</v>
      </c>
      <c r="I999" t="s">
        <v>19156</v>
      </c>
      <c r="J999" t="s">
        <v>10345</v>
      </c>
      <c r="K999" t="s">
        <v>74</v>
      </c>
      <c r="L999" t="s">
        <v>74</v>
      </c>
      <c r="M999" t="s">
        <v>78</v>
      </c>
      <c r="N999" t="s">
        <v>79</v>
      </c>
      <c r="O999" t="s">
        <v>74</v>
      </c>
      <c r="P999" t="s">
        <v>74</v>
      </c>
      <c r="Q999" t="s">
        <v>74</v>
      </c>
      <c r="R999" t="s">
        <v>74</v>
      </c>
      <c r="S999" t="s">
        <v>74</v>
      </c>
      <c r="T999" t="s">
        <v>19157</v>
      </c>
      <c r="U999" t="s">
        <v>19158</v>
      </c>
      <c r="V999" t="s">
        <v>19159</v>
      </c>
      <c r="W999" t="s">
        <v>19160</v>
      </c>
      <c r="X999" t="s">
        <v>19161</v>
      </c>
      <c r="Y999" t="s">
        <v>19162</v>
      </c>
      <c r="Z999" t="s">
        <v>17283</v>
      </c>
      <c r="AA999" t="s">
        <v>19163</v>
      </c>
      <c r="AB999" t="s">
        <v>19164</v>
      </c>
      <c r="AC999" t="s">
        <v>19165</v>
      </c>
      <c r="AD999" t="s">
        <v>19166</v>
      </c>
      <c r="AE999" t="s">
        <v>19167</v>
      </c>
      <c r="AF999" t="s">
        <v>74</v>
      </c>
      <c r="AG999">
        <v>346</v>
      </c>
      <c r="AH999">
        <v>56</v>
      </c>
      <c r="AI999">
        <v>57</v>
      </c>
      <c r="AJ999">
        <v>6</v>
      </c>
      <c r="AK999">
        <v>14</v>
      </c>
      <c r="AL999" t="s">
        <v>438</v>
      </c>
      <c r="AM999" t="s">
        <v>439</v>
      </c>
      <c r="AN999" t="s">
        <v>440</v>
      </c>
      <c r="AO999" t="s">
        <v>10356</v>
      </c>
      <c r="AP999" t="s">
        <v>10357</v>
      </c>
      <c r="AQ999" t="s">
        <v>74</v>
      </c>
      <c r="AR999" t="s">
        <v>10358</v>
      </c>
      <c r="AS999" t="s">
        <v>10359</v>
      </c>
      <c r="AT999" t="s">
        <v>6581</v>
      </c>
      <c r="AU999">
        <v>2019</v>
      </c>
      <c r="AV999">
        <v>192</v>
      </c>
      <c r="AW999" t="s">
        <v>74</v>
      </c>
      <c r="AX999" t="s">
        <v>74</v>
      </c>
      <c r="AY999" t="s">
        <v>74</v>
      </c>
      <c r="AZ999" t="s">
        <v>74</v>
      </c>
      <c r="BA999" t="s">
        <v>74</v>
      </c>
      <c r="BB999">
        <v>564</v>
      </c>
      <c r="BC999">
        <v>600</v>
      </c>
      <c r="BD999" t="s">
        <v>74</v>
      </c>
      <c r="BE999" t="s">
        <v>19168</v>
      </c>
      <c r="BF999" t="str">
        <f>HYPERLINK("http://dx.doi.org/10.1016/j.earscirev.2019.03.015","http://dx.doi.org/10.1016/j.earscirev.2019.03.015")</f>
        <v>http://dx.doi.org/10.1016/j.earscirev.2019.03.015</v>
      </c>
      <c r="BG999" t="s">
        <v>74</v>
      </c>
      <c r="BH999" t="s">
        <v>74</v>
      </c>
      <c r="BI999">
        <v>37</v>
      </c>
      <c r="BJ999" t="s">
        <v>471</v>
      </c>
      <c r="BK999" t="s">
        <v>101</v>
      </c>
      <c r="BL999" t="s">
        <v>472</v>
      </c>
      <c r="BM999" t="s">
        <v>17537</v>
      </c>
      <c r="BN999" t="s">
        <v>74</v>
      </c>
      <c r="BO999" t="s">
        <v>1648</v>
      </c>
      <c r="BP999" t="s">
        <v>74</v>
      </c>
      <c r="BQ999" t="s">
        <v>74</v>
      </c>
      <c r="BR999" t="s">
        <v>103</v>
      </c>
      <c r="BS999" t="s">
        <v>19169</v>
      </c>
      <c r="BT999" t="str">
        <f>HYPERLINK("https%3A%2F%2Fwww.webofscience.com%2Fwos%2Fwoscc%2Ffull-record%2FWOS:000474499500024","View Full Record in Web of Science")</f>
        <v>View Full Record in Web of Science</v>
      </c>
    </row>
    <row r="1000" spans="1:72" x14ac:dyDescent="0.15">
      <c r="A1000" t="s">
        <v>72</v>
      </c>
      <c r="B1000" t="s">
        <v>19170</v>
      </c>
      <c r="C1000" t="s">
        <v>74</v>
      </c>
      <c r="D1000" t="s">
        <v>74</v>
      </c>
      <c r="E1000" t="s">
        <v>74</v>
      </c>
      <c r="F1000" t="s">
        <v>19171</v>
      </c>
      <c r="G1000" t="s">
        <v>74</v>
      </c>
      <c r="H1000" t="s">
        <v>74</v>
      </c>
      <c r="I1000" t="s">
        <v>19172</v>
      </c>
      <c r="J1000" t="s">
        <v>2867</v>
      </c>
      <c r="K1000" t="s">
        <v>74</v>
      </c>
      <c r="L1000" t="s">
        <v>74</v>
      </c>
      <c r="M1000" t="s">
        <v>78</v>
      </c>
      <c r="N1000" t="s">
        <v>108</v>
      </c>
      <c r="O1000" t="s">
        <v>74</v>
      </c>
      <c r="P1000" t="s">
        <v>74</v>
      </c>
      <c r="Q1000" t="s">
        <v>74</v>
      </c>
      <c r="R1000" t="s">
        <v>74</v>
      </c>
      <c r="S1000" t="s">
        <v>74</v>
      </c>
      <c r="T1000" t="s">
        <v>19173</v>
      </c>
      <c r="U1000" t="s">
        <v>19174</v>
      </c>
      <c r="V1000" t="s">
        <v>19175</v>
      </c>
      <c r="W1000" t="s">
        <v>19176</v>
      </c>
      <c r="X1000" t="s">
        <v>19177</v>
      </c>
      <c r="Y1000" t="s">
        <v>19178</v>
      </c>
      <c r="Z1000" t="s">
        <v>19179</v>
      </c>
      <c r="AA1000" t="s">
        <v>19180</v>
      </c>
      <c r="AB1000" t="s">
        <v>19181</v>
      </c>
      <c r="AC1000" t="s">
        <v>19182</v>
      </c>
      <c r="AD1000" t="s">
        <v>19183</v>
      </c>
      <c r="AE1000" t="s">
        <v>19184</v>
      </c>
      <c r="AF1000" t="s">
        <v>74</v>
      </c>
      <c r="AG1000">
        <v>79</v>
      </c>
      <c r="AH1000">
        <v>19</v>
      </c>
      <c r="AI1000">
        <v>25</v>
      </c>
      <c r="AJ1000">
        <v>0</v>
      </c>
      <c r="AK1000">
        <v>14</v>
      </c>
      <c r="AL1000" t="s">
        <v>1140</v>
      </c>
      <c r="AM1000" t="s">
        <v>1141</v>
      </c>
      <c r="AN1000" t="s">
        <v>1142</v>
      </c>
      <c r="AO1000" t="s">
        <v>2879</v>
      </c>
      <c r="AP1000" t="s">
        <v>74</v>
      </c>
      <c r="AQ1000" t="s">
        <v>74</v>
      </c>
      <c r="AR1000" t="s">
        <v>2880</v>
      </c>
      <c r="AS1000" t="s">
        <v>2881</v>
      </c>
      <c r="AT1000" t="s">
        <v>6581</v>
      </c>
      <c r="AU1000">
        <v>2019</v>
      </c>
      <c r="AV1000">
        <v>9</v>
      </c>
      <c r="AW1000">
        <v>10</v>
      </c>
      <c r="AX1000" t="s">
        <v>74</v>
      </c>
      <c r="AY1000" t="s">
        <v>74</v>
      </c>
      <c r="AZ1000" t="s">
        <v>74</v>
      </c>
      <c r="BA1000" t="s">
        <v>74</v>
      </c>
      <c r="BB1000">
        <v>5664</v>
      </c>
      <c r="BC1000">
        <v>5682</v>
      </c>
      <c r="BD1000" t="s">
        <v>74</v>
      </c>
      <c r="BE1000" t="s">
        <v>19185</v>
      </c>
      <c r="BF1000" t="str">
        <f>HYPERLINK("http://dx.doi.org/10.1002/ece3.5149","http://dx.doi.org/10.1002/ece3.5149")</f>
        <v>http://dx.doi.org/10.1002/ece3.5149</v>
      </c>
      <c r="BG1000" t="s">
        <v>74</v>
      </c>
      <c r="BH1000" t="s">
        <v>74</v>
      </c>
      <c r="BI1000">
        <v>19</v>
      </c>
      <c r="BJ1000" t="s">
        <v>2883</v>
      </c>
      <c r="BK1000" t="s">
        <v>101</v>
      </c>
      <c r="BL1000" t="s">
        <v>2884</v>
      </c>
      <c r="BM1000" t="s">
        <v>19186</v>
      </c>
      <c r="BN1000">
        <v>31160989</v>
      </c>
      <c r="BO1000" t="s">
        <v>313</v>
      </c>
      <c r="BP1000" t="s">
        <v>74</v>
      </c>
      <c r="BQ1000" t="s">
        <v>74</v>
      </c>
      <c r="BR1000" t="s">
        <v>103</v>
      </c>
      <c r="BS1000" t="s">
        <v>19187</v>
      </c>
      <c r="BT1000" t="str">
        <f>HYPERLINK("https%3A%2F%2Fwww.webofscience.com%2Fwos%2Fwoscc%2Ffull-record%2FWOS:000470923500010","View Full Record in Web of Science")</f>
        <v>View Full Record in Web of Science</v>
      </c>
    </row>
    <row r="1001" spans="1:72" x14ac:dyDescent="0.15">
      <c r="A1001" t="s">
        <v>72</v>
      </c>
      <c r="B1001" t="s">
        <v>19188</v>
      </c>
      <c r="C1001" t="s">
        <v>74</v>
      </c>
      <c r="D1001" t="s">
        <v>74</v>
      </c>
      <c r="E1001" t="s">
        <v>74</v>
      </c>
      <c r="F1001" t="s">
        <v>19189</v>
      </c>
      <c r="G1001" t="s">
        <v>74</v>
      </c>
      <c r="H1001" t="s">
        <v>74</v>
      </c>
      <c r="I1001" t="s">
        <v>19190</v>
      </c>
      <c r="J1001" t="s">
        <v>197</v>
      </c>
      <c r="K1001" t="s">
        <v>74</v>
      </c>
      <c r="L1001" t="s">
        <v>74</v>
      </c>
      <c r="M1001" t="s">
        <v>78</v>
      </c>
      <c r="N1001" t="s">
        <v>108</v>
      </c>
      <c r="O1001" t="s">
        <v>74</v>
      </c>
      <c r="P1001" t="s">
        <v>74</v>
      </c>
      <c r="Q1001" t="s">
        <v>74</v>
      </c>
      <c r="R1001" t="s">
        <v>74</v>
      </c>
      <c r="S1001" t="s">
        <v>74</v>
      </c>
      <c r="T1001" t="s">
        <v>19191</v>
      </c>
      <c r="U1001" t="s">
        <v>19192</v>
      </c>
      <c r="V1001" t="s">
        <v>19193</v>
      </c>
      <c r="W1001" t="s">
        <v>19194</v>
      </c>
      <c r="X1001" t="s">
        <v>19195</v>
      </c>
      <c r="Y1001" t="s">
        <v>19196</v>
      </c>
      <c r="Z1001" t="s">
        <v>10251</v>
      </c>
      <c r="AA1001" t="s">
        <v>19197</v>
      </c>
      <c r="AB1001" t="s">
        <v>19198</v>
      </c>
      <c r="AC1001" t="s">
        <v>19199</v>
      </c>
      <c r="AD1001" t="s">
        <v>19200</v>
      </c>
      <c r="AE1001" t="s">
        <v>19201</v>
      </c>
      <c r="AF1001" t="s">
        <v>74</v>
      </c>
      <c r="AG1001">
        <v>47</v>
      </c>
      <c r="AH1001">
        <v>17</v>
      </c>
      <c r="AI1001">
        <v>21</v>
      </c>
      <c r="AJ1001">
        <v>2</v>
      </c>
      <c r="AK1001">
        <v>17</v>
      </c>
      <c r="AL1001" t="s">
        <v>210</v>
      </c>
      <c r="AM1001" t="s">
        <v>211</v>
      </c>
      <c r="AN1001" t="s">
        <v>212</v>
      </c>
      <c r="AO1001" t="s">
        <v>213</v>
      </c>
      <c r="AP1001" t="s">
        <v>214</v>
      </c>
      <c r="AQ1001" t="s">
        <v>74</v>
      </c>
      <c r="AR1001" t="s">
        <v>197</v>
      </c>
      <c r="AS1001" t="s">
        <v>215</v>
      </c>
      <c r="AT1001" t="s">
        <v>6581</v>
      </c>
      <c r="AU1001">
        <v>2019</v>
      </c>
      <c r="AV1001">
        <v>23</v>
      </c>
      <c r="AW1001">
        <v>3</v>
      </c>
      <c r="AX1001" t="s">
        <v>74</v>
      </c>
      <c r="AY1001" t="s">
        <v>74</v>
      </c>
      <c r="AZ1001" t="s">
        <v>74</v>
      </c>
      <c r="BA1001" t="s">
        <v>74</v>
      </c>
      <c r="BB1001">
        <v>327</v>
      </c>
      <c r="BC1001">
        <v>336</v>
      </c>
      <c r="BD1001" t="s">
        <v>74</v>
      </c>
      <c r="BE1001" t="s">
        <v>19202</v>
      </c>
      <c r="BF1001" t="str">
        <f>HYPERLINK("http://dx.doi.org/10.1007/s00792-019-01086-8","http://dx.doi.org/10.1007/s00792-019-01086-8")</f>
        <v>http://dx.doi.org/10.1007/s00792-019-01086-8</v>
      </c>
      <c r="BG1001" t="s">
        <v>74</v>
      </c>
      <c r="BH1001" t="s">
        <v>74</v>
      </c>
      <c r="BI1001">
        <v>10</v>
      </c>
      <c r="BJ1001" t="s">
        <v>217</v>
      </c>
      <c r="BK1001" t="s">
        <v>101</v>
      </c>
      <c r="BL1001" t="s">
        <v>217</v>
      </c>
      <c r="BM1001" t="s">
        <v>19203</v>
      </c>
      <c r="BN1001">
        <v>30852677</v>
      </c>
      <c r="BO1001" t="s">
        <v>74</v>
      </c>
      <c r="BP1001" t="s">
        <v>74</v>
      </c>
      <c r="BQ1001" t="s">
        <v>74</v>
      </c>
      <c r="BR1001" t="s">
        <v>103</v>
      </c>
      <c r="BS1001" t="s">
        <v>19204</v>
      </c>
      <c r="BT1001" t="str">
        <f>HYPERLINK("https%3A%2F%2Fwww.webofscience.com%2Fwos%2Fwoscc%2Ffull-record%2FWOS:000464832200007","View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2024-07-28T15:23:46Z</dcterms:created>
  <dcterms:modified xsi:type="dcterms:W3CDTF">2024-07-28T15:23:46Z</dcterms:modified>
</cp:coreProperties>
</file>